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kash7.gupta/Downloads/"/>
    </mc:Choice>
  </mc:AlternateContent>
  <xr:revisionPtr revIDLastSave="0" documentId="13_ncr:1_{C16F9542-A717-7641-830C-C60C327DED63}" xr6:coauthVersionLast="47" xr6:coauthVersionMax="47" xr10:uidLastSave="{00000000-0000-0000-0000-000000000000}"/>
  <bookViews>
    <workbookView xWindow="0" yWindow="760" windowWidth="34560" windowHeight="19880" activeTab="1" xr2:uid="{00000000-000D-0000-FFFF-FFFF00000000}"/>
  </bookViews>
  <sheets>
    <sheet name="CLIENT SECTOR ALLOC" sheetId="1" r:id="rId1"/>
    <sheet name="Hold_flagmap" sheetId="2" r:id="rId2"/>
    <sheet name="Vikaas" sheetId="3" r:id="rId3"/>
    <sheet name="NikhilZ1" sheetId="4" r:id="rId4"/>
    <sheet name="kredent-new" sheetId="5" r:id="rId5"/>
    <sheet name="Rohit" sheetId="6" r:id="rId6"/>
    <sheet name="Rajesh sir" sheetId="7" r:id="rId7"/>
    <sheet name="sheela maam" sheetId="8" r:id="rId8"/>
    <sheet name="Tanvi Gupta" sheetId="9" r:id="rId9"/>
    <sheet name="Arushi Gupta" sheetId="10" r:id="rId10"/>
    <sheet name="Taarini" sheetId="11" r:id="rId11"/>
    <sheet name="akhilesh" sheetId="12" r:id="rId12"/>
    <sheet name="MTM TRACKER" sheetId="13" r:id="rId13"/>
    <sheet name="fno testing" sheetId="14" r:id="rId14"/>
    <sheet name="rough_check" sheetId="15" r:id="rId15"/>
    <sheet name="khaitan_fund" sheetId="16" r:id="rId16"/>
    <sheet name="all stocks &gt; 500 cr" sheetId="17" r:id="rId17"/>
    <sheet name="trail SL" sheetId="18" r:id="rId18"/>
  </sheets>
  <calcPr calcId="191029"/>
  <pivotCaches>
    <pivotCache cacheId="11" r:id="rId19"/>
    <pivotCache cacheId="15" r:id="rId20"/>
    <pivotCache cacheId="19" r:id="rId21"/>
    <pivotCache cacheId="23" r:id="rId22"/>
    <pivotCache cacheId="27" r:id="rId23"/>
    <pivotCache cacheId="31" r:id="rId24"/>
    <pivotCache cacheId="35" r:id="rId25"/>
    <pivotCache cacheId="39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0" roundtripDataChecksum="eVxwaIaQF9qiwkSw0ifpj7AEHr8KejzzfUyxB65Sxy8="/>
    </ext>
  </extLst>
</workbook>
</file>

<file path=xl/calcChain.xml><?xml version="1.0" encoding="utf-8"?>
<calcChain xmlns="http://schemas.openxmlformats.org/spreadsheetml/2006/main">
  <c r="Z907" i="18" l="1"/>
  <c r="M907" i="18"/>
  <c r="L907" i="18"/>
  <c r="M103" i="18"/>
  <c r="O103" i="18" s="1"/>
  <c r="H103" i="18"/>
  <c r="I103" i="18" s="1"/>
  <c r="J103" i="18" s="1"/>
  <c r="K103" i="18" s="1"/>
  <c r="M102" i="18"/>
  <c r="U102" i="18" s="1"/>
  <c r="H102" i="18"/>
  <c r="I102" i="18" s="1"/>
  <c r="J102" i="18" s="1"/>
  <c r="K102" i="18" s="1"/>
  <c r="M101" i="18"/>
  <c r="O101" i="18" s="1"/>
  <c r="H101" i="18"/>
  <c r="I101" i="18" s="1"/>
  <c r="J101" i="18" s="1"/>
  <c r="K101" i="18" s="1"/>
  <c r="M100" i="18"/>
  <c r="U100" i="18" s="1"/>
  <c r="H100" i="18"/>
  <c r="I100" i="18" s="1"/>
  <c r="J100" i="18" s="1"/>
  <c r="K100" i="18" s="1"/>
  <c r="M99" i="18"/>
  <c r="O99" i="18" s="1"/>
  <c r="H99" i="18"/>
  <c r="I99" i="18" s="1"/>
  <c r="J99" i="18" s="1"/>
  <c r="K99" i="18" s="1"/>
  <c r="M98" i="18"/>
  <c r="U98" i="18" s="1"/>
  <c r="H98" i="18"/>
  <c r="I98" i="18" s="1"/>
  <c r="J98" i="18" s="1"/>
  <c r="K98" i="18" s="1"/>
  <c r="M97" i="18"/>
  <c r="O97" i="18" s="1"/>
  <c r="H97" i="18"/>
  <c r="I97" i="18" s="1"/>
  <c r="J97" i="18" s="1"/>
  <c r="K97" i="18" s="1"/>
  <c r="M96" i="18"/>
  <c r="U96" i="18" s="1"/>
  <c r="H96" i="18"/>
  <c r="I96" i="18" s="1"/>
  <c r="J96" i="18" s="1"/>
  <c r="K96" i="18" s="1"/>
  <c r="M95" i="18"/>
  <c r="O95" i="18" s="1"/>
  <c r="H95" i="18"/>
  <c r="I95" i="18" s="1"/>
  <c r="J95" i="18" s="1"/>
  <c r="K95" i="18" s="1"/>
  <c r="M94" i="18"/>
  <c r="U94" i="18" s="1"/>
  <c r="H94" i="18"/>
  <c r="I94" i="18" s="1"/>
  <c r="J94" i="18" s="1"/>
  <c r="K94" i="18" s="1"/>
  <c r="M93" i="18"/>
  <c r="R93" i="18" s="1"/>
  <c r="H93" i="18"/>
  <c r="I93" i="18" s="1"/>
  <c r="J93" i="18" s="1"/>
  <c r="K93" i="18" s="1"/>
  <c r="M92" i="18"/>
  <c r="H92" i="18"/>
  <c r="I92" i="18" s="1"/>
  <c r="J92" i="18" s="1"/>
  <c r="K92" i="18" s="1"/>
  <c r="M91" i="18"/>
  <c r="O91" i="18" s="1"/>
  <c r="H91" i="18"/>
  <c r="I91" i="18" s="1"/>
  <c r="J91" i="18" s="1"/>
  <c r="K91" i="18" s="1"/>
  <c r="M90" i="18"/>
  <c r="X90" i="18" s="1"/>
  <c r="H90" i="18"/>
  <c r="I90" i="18" s="1"/>
  <c r="J90" i="18" s="1"/>
  <c r="K90" i="18" s="1"/>
  <c r="M89" i="18"/>
  <c r="U89" i="18" s="1"/>
  <c r="H89" i="18"/>
  <c r="I89" i="18" s="1"/>
  <c r="J89" i="18" s="1"/>
  <c r="K89" i="18" s="1"/>
  <c r="M88" i="18"/>
  <c r="AB88" i="18" s="1"/>
  <c r="Z88" i="18" s="1"/>
  <c r="AA88" i="18" s="1"/>
  <c r="H88" i="18"/>
  <c r="I88" i="18" s="1"/>
  <c r="J88" i="18" s="1"/>
  <c r="K88" i="18" s="1"/>
  <c r="M87" i="18"/>
  <c r="H87" i="18"/>
  <c r="I87" i="18" s="1"/>
  <c r="J87" i="18" s="1"/>
  <c r="K87" i="18" s="1"/>
  <c r="M86" i="18"/>
  <c r="AB86" i="18" s="1"/>
  <c r="Z86" i="18" s="1"/>
  <c r="AA86" i="18" s="1"/>
  <c r="H86" i="18"/>
  <c r="I86" i="18" s="1"/>
  <c r="J86" i="18" s="1"/>
  <c r="K86" i="18" s="1"/>
  <c r="M85" i="18"/>
  <c r="U85" i="18" s="1"/>
  <c r="H85" i="18"/>
  <c r="I85" i="18" s="1"/>
  <c r="J85" i="18" s="1"/>
  <c r="K85" i="18" s="1"/>
  <c r="M84" i="18"/>
  <c r="X84" i="18" s="1"/>
  <c r="H84" i="18"/>
  <c r="I84" i="18" s="1"/>
  <c r="J84" i="18" s="1"/>
  <c r="K84" i="18" s="1"/>
  <c r="M83" i="18"/>
  <c r="L83" i="18" s="1"/>
  <c r="H83" i="18"/>
  <c r="I83" i="18" s="1"/>
  <c r="J83" i="18" s="1"/>
  <c r="K83" i="18" s="1"/>
  <c r="M82" i="18"/>
  <c r="H82" i="18"/>
  <c r="I82" i="18" s="1"/>
  <c r="J82" i="18" s="1"/>
  <c r="K82" i="18" s="1"/>
  <c r="M81" i="18"/>
  <c r="AB81" i="18" s="1"/>
  <c r="Z81" i="18" s="1"/>
  <c r="AA81" i="18" s="1"/>
  <c r="H81" i="18"/>
  <c r="I81" i="18" s="1"/>
  <c r="J81" i="18" s="1"/>
  <c r="K81" i="18" s="1"/>
  <c r="M80" i="18"/>
  <c r="H80" i="18"/>
  <c r="I80" i="18" s="1"/>
  <c r="J80" i="18" s="1"/>
  <c r="K80" i="18" s="1"/>
  <c r="M79" i="18"/>
  <c r="H79" i="18"/>
  <c r="I79" i="18" s="1"/>
  <c r="J79" i="18" s="1"/>
  <c r="K79" i="18" s="1"/>
  <c r="M78" i="18"/>
  <c r="O78" i="18" s="1"/>
  <c r="H78" i="18"/>
  <c r="I78" i="18" s="1"/>
  <c r="J78" i="18" s="1"/>
  <c r="K78" i="18" s="1"/>
  <c r="M77" i="18"/>
  <c r="H77" i="18"/>
  <c r="I77" i="18" s="1"/>
  <c r="J77" i="18" s="1"/>
  <c r="K77" i="18" s="1"/>
  <c r="M76" i="18"/>
  <c r="AB76" i="18" s="1"/>
  <c r="Z76" i="18" s="1"/>
  <c r="AA76" i="18" s="1"/>
  <c r="H76" i="18"/>
  <c r="I76" i="18" s="1"/>
  <c r="J76" i="18" s="1"/>
  <c r="K76" i="18" s="1"/>
  <c r="M75" i="18"/>
  <c r="U75" i="18" s="1"/>
  <c r="H75" i="18"/>
  <c r="I75" i="18" s="1"/>
  <c r="J75" i="18" s="1"/>
  <c r="K75" i="18" s="1"/>
  <c r="M74" i="18"/>
  <c r="L74" i="18" s="1"/>
  <c r="H74" i="18"/>
  <c r="I74" i="18" s="1"/>
  <c r="J74" i="18" s="1"/>
  <c r="K74" i="18" s="1"/>
  <c r="M73" i="18"/>
  <c r="L73" i="18" s="1"/>
  <c r="H73" i="18"/>
  <c r="I73" i="18" s="1"/>
  <c r="J73" i="18" s="1"/>
  <c r="K73" i="18" s="1"/>
  <c r="M72" i="18"/>
  <c r="H72" i="18"/>
  <c r="I72" i="18" s="1"/>
  <c r="J72" i="18" s="1"/>
  <c r="K72" i="18" s="1"/>
  <c r="M71" i="18"/>
  <c r="L71" i="18" s="1"/>
  <c r="H71" i="18"/>
  <c r="I71" i="18" s="1"/>
  <c r="J71" i="18" s="1"/>
  <c r="K71" i="18" s="1"/>
  <c r="M70" i="18"/>
  <c r="R70" i="18" s="1"/>
  <c r="H70" i="18"/>
  <c r="I70" i="18" s="1"/>
  <c r="J70" i="18" s="1"/>
  <c r="K70" i="18" s="1"/>
  <c r="M69" i="18"/>
  <c r="R69" i="18" s="1"/>
  <c r="H69" i="18"/>
  <c r="I69" i="18" s="1"/>
  <c r="J69" i="18" s="1"/>
  <c r="K69" i="18" s="1"/>
  <c r="M68" i="18"/>
  <c r="AB68" i="18" s="1"/>
  <c r="Z68" i="18" s="1"/>
  <c r="AA68" i="18" s="1"/>
  <c r="H68" i="18"/>
  <c r="I68" i="18" s="1"/>
  <c r="J68" i="18" s="1"/>
  <c r="K68" i="18" s="1"/>
  <c r="M67" i="18"/>
  <c r="X67" i="18" s="1"/>
  <c r="H67" i="18"/>
  <c r="I67" i="18" s="1"/>
  <c r="J67" i="18" s="1"/>
  <c r="K67" i="18" s="1"/>
  <c r="M66" i="18"/>
  <c r="AB66" i="18" s="1"/>
  <c r="Z66" i="18" s="1"/>
  <c r="AA66" i="18" s="1"/>
  <c r="H66" i="18"/>
  <c r="I66" i="18" s="1"/>
  <c r="J66" i="18" s="1"/>
  <c r="K66" i="18" s="1"/>
  <c r="M65" i="18"/>
  <c r="X65" i="18" s="1"/>
  <c r="H65" i="18"/>
  <c r="I65" i="18" s="1"/>
  <c r="J65" i="18" s="1"/>
  <c r="K65" i="18" s="1"/>
  <c r="M64" i="18"/>
  <c r="X64" i="18" s="1"/>
  <c r="H64" i="18"/>
  <c r="I64" i="18" s="1"/>
  <c r="J64" i="18" s="1"/>
  <c r="K64" i="18" s="1"/>
  <c r="M63" i="18"/>
  <c r="AB63" i="18" s="1"/>
  <c r="Z63" i="18" s="1"/>
  <c r="AA63" i="18" s="1"/>
  <c r="H63" i="18"/>
  <c r="I63" i="18" s="1"/>
  <c r="J63" i="18" s="1"/>
  <c r="K63" i="18" s="1"/>
  <c r="M62" i="18"/>
  <c r="H62" i="18"/>
  <c r="I62" i="18" s="1"/>
  <c r="J62" i="18" s="1"/>
  <c r="K62" i="18" s="1"/>
  <c r="M61" i="18"/>
  <c r="U61" i="18" s="1"/>
  <c r="H61" i="18"/>
  <c r="I61" i="18" s="1"/>
  <c r="J61" i="18" s="1"/>
  <c r="K61" i="18" s="1"/>
  <c r="M60" i="18"/>
  <c r="AB60" i="18" s="1"/>
  <c r="Z60" i="18" s="1"/>
  <c r="AA60" i="18" s="1"/>
  <c r="H60" i="18"/>
  <c r="I60" i="18" s="1"/>
  <c r="J60" i="18" s="1"/>
  <c r="K60" i="18" s="1"/>
  <c r="M59" i="18"/>
  <c r="L59" i="18" s="1"/>
  <c r="H59" i="18"/>
  <c r="I59" i="18" s="1"/>
  <c r="J59" i="18" s="1"/>
  <c r="K59" i="18" s="1"/>
  <c r="M58" i="18"/>
  <c r="L58" i="18" s="1"/>
  <c r="H58" i="18"/>
  <c r="I58" i="18" s="1"/>
  <c r="J58" i="18" s="1"/>
  <c r="K58" i="18" s="1"/>
  <c r="M57" i="18"/>
  <c r="U57" i="18" s="1"/>
  <c r="H57" i="18"/>
  <c r="I57" i="18" s="1"/>
  <c r="J57" i="18" s="1"/>
  <c r="K57" i="18" s="1"/>
  <c r="M56" i="18"/>
  <c r="L56" i="18" s="1"/>
  <c r="H56" i="18"/>
  <c r="I56" i="18" s="1"/>
  <c r="J56" i="18" s="1"/>
  <c r="K56" i="18" s="1"/>
  <c r="M55" i="18"/>
  <c r="L55" i="18" s="1"/>
  <c r="H55" i="18"/>
  <c r="I55" i="18" s="1"/>
  <c r="J55" i="18" s="1"/>
  <c r="K55" i="18" s="1"/>
  <c r="M54" i="18"/>
  <c r="L54" i="18" s="1"/>
  <c r="H54" i="18"/>
  <c r="I54" i="18" s="1"/>
  <c r="J54" i="18" s="1"/>
  <c r="K54" i="18" s="1"/>
  <c r="M53" i="18"/>
  <c r="N53" i="18" s="1"/>
  <c r="H53" i="18"/>
  <c r="I53" i="18" s="1"/>
  <c r="J53" i="18" s="1"/>
  <c r="K53" i="18" s="1"/>
  <c r="M52" i="18"/>
  <c r="H52" i="18"/>
  <c r="I52" i="18" s="1"/>
  <c r="J52" i="18" s="1"/>
  <c r="K52" i="18" s="1"/>
  <c r="M51" i="18"/>
  <c r="L51" i="18" s="1"/>
  <c r="H51" i="18"/>
  <c r="I51" i="18" s="1"/>
  <c r="J51" i="18" s="1"/>
  <c r="K51" i="18" s="1"/>
  <c r="M50" i="18"/>
  <c r="AB50" i="18" s="1"/>
  <c r="Z50" i="18" s="1"/>
  <c r="AA50" i="18" s="1"/>
  <c r="H50" i="18"/>
  <c r="I50" i="18" s="1"/>
  <c r="J50" i="18" s="1"/>
  <c r="K50" i="18" s="1"/>
  <c r="M49" i="18"/>
  <c r="L49" i="18" s="1"/>
  <c r="H49" i="18"/>
  <c r="I49" i="18" s="1"/>
  <c r="J49" i="18" s="1"/>
  <c r="K49" i="18" s="1"/>
  <c r="M48" i="18"/>
  <c r="L48" i="18" s="1"/>
  <c r="H48" i="18"/>
  <c r="I48" i="18" s="1"/>
  <c r="J48" i="18" s="1"/>
  <c r="K48" i="18" s="1"/>
  <c r="M47" i="18"/>
  <c r="L47" i="18" s="1"/>
  <c r="H47" i="18"/>
  <c r="I47" i="18" s="1"/>
  <c r="J47" i="18" s="1"/>
  <c r="K47" i="18" s="1"/>
  <c r="M46" i="18"/>
  <c r="H46" i="18"/>
  <c r="I46" i="18" s="1"/>
  <c r="J46" i="18" s="1"/>
  <c r="K46" i="18" s="1"/>
  <c r="M45" i="18"/>
  <c r="N45" i="18" s="1"/>
  <c r="H45" i="18"/>
  <c r="I45" i="18" s="1"/>
  <c r="J45" i="18" s="1"/>
  <c r="K45" i="18" s="1"/>
  <c r="M44" i="18"/>
  <c r="L44" i="18" s="1"/>
  <c r="H44" i="18"/>
  <c r="I44" i="18" s="1"/>
  <c r="J44" i="18" s="1"/>
  <c r="K44" i="18" s="1"/>
  <c r="M43" i="18"/>
  <c r="AB43" i="18" s="1"/>
  <c r="Z43" i="18" s="1"/>
  <c r="AA43" i="18" s="1"/>
  <c r="H43" i="18"/>
  <c r="I43" i="18" s="1"/>
  <c r="J43" i="18" s="1"/>
  <c r="K43" i="18" s="1"/>
  <c r="M42" i="18"/>
  <c r="H42" i="18"/>
  <c r="I42" i="18" s="1"/>
  <c r="J42" i="18" s="1"/>
  <c r="K42" i="18" s="1"/>
  <c r="M41" i="18"/>
  <c r="X41" i="18" s="1"/>
  <c r="H41" i="18"/>
  <c r="I41" i="18" s="1"/>
  <c r="J41" i="18" s="1"/>
  <c r="K41" i="18" s="1"/>
  <c r="M40" i="18"/>
  <c r="AB40" i="18" s="1"/>
  <c r="Z40" i="18" s="1"/>
  <c r="AA40" i="18" s="1"/>
  <c r="H40" i="18"/>
  <c r="I40" i="18" s="1"/>
  <c r="J40" i="18" s="1"/>
  <c r="K40" i="18" s="1"/>
  <c r="M39" i="18"/>
  <c r="L39" i="18" s="1"/>
  <c r="H39" i="18"/>
  <c r="I39" i="18" s="1"/>
  <c r="J39" i="18" s="1"/>
  <c r="K39" i="18" s="1"/>
  <c r="M38" i="18"/>
  <c r="AB38" i="18" s="1"/>
  <c r="Z38" i="18" s="1"/>
  <c r="AA38" i="18" s="1"/>
  <c r="H38" i="18"/>
  <c r="I38" i="18" s="1"/>
  <c r="J38" i="18" s="1"/>
  <c r="K38" i="18" s="1"/>
  <c r="M37" i="18"/>
  <c r="U37" i="18" s="1"/>
  <c r="H37" i="18"/>
  <c r="I37" i="18" s="1"/>
  <c r="J37" i="18" s="1"/>
  <c r="K37" i="18" s="1"/>
  <c r="M36" i="18"/>
  <c r="R36" i="18" s="1"/>
  <c r="H36" i="18"/>
  <c r="I36" i="18" s="1"/>
  <c r="J36" i="18" s="1"/>
  <c r="K36" i="18" s="1"/>
  <c r="M35" i="18"/>
  <c r="X35" i="18" s="1"/>
  <c r="H35" i="18"/>
  <c r="I35" i="18" s="1"/>
  <c r="J35" i="18" s="1"/>
  <c r="K35" i="18" s="1"/>
  <c r="M34" i="18"/>
  <c r="AB34" i="18" s="1"/>
  <c r="Z34" i="18" s="1"/>
  <c r="AA34" i="18" s="1"/>
  <c r="H34" i="18"/>
  <c r="I34" i="18" s="1"/>
  <c r="J34" i="18" s="1"/>
  <c r="K34" i="18" s="1"/>
  <c r="M33" i="18"/>
  <c r="AB33" i="18" s="1"/>
  <c r="Z33" i="18" s="1"/>
  <c r="AA33" i="18" s="1"/>
  <c r="H33" i="18"/>
  <c r="I33" i="18" s="1"/>
  <c r="J33" i="18" s="1"/>
  <c r="K33" i="18" s="1"/>
  <c r="M32" i="18"/>
  <c r="U32" i="18" s="1"/>
  <c r="H32" i="18"/>
  <c r="I32" i="18" s="1"/>
  <c r="J32" i="18" s="1"/>
  <c r="K32" i="18" s="1"/>
  <c r="M31" i="18"/>
  <c r="H31" i="18"/>
  <c r="I31" i="18" s="1"/>
  <c r="J31" i="18" s="1"/>
  <c r="K31" i="18" s="1"/>
  <c r="M30" i="18"/>
  <c r="H30" i="18"/>
  <c r="I30" i="18" s="1"/>
  <c r="J30" i="18" s="1"/>
  <c r="K30" i="18" s="1"/>
  <c r="M29" i="18"/>
  <c r="X29" i="18" s="1"/>
  <c r="H29" i="18"/>
  <c r="I29" i="18" s="1"/>
  <c r="J29" i="18" s="1"/>
  <c r="K29" i="18" s="1"/>
  <c r="M28" i="18"/>
  <c r="AB28" i="18" s="1"/>
  <c r="Z28" i="18" s="1"/>
  <c r="AA28" i="18" s="1"/>
  <c r="H28" i="18"/>
  <c r="I28" i="18" s="1"/>
  <c r="J28" i="18" s="1"/>
  <c r="K28" i="18" s="1"/>
  <c r="M27" i="18"/>
  <c r="H27" i="18"/>
  <c r="I27" i="18" s="1"/>
  <c r="J27" i="18" s="1"/>
  <c r="K27" i="18" s="1"/>
  <c r="M26" i="18"/>
  <c r="L26" i="18" s="1"/>
  <c r="H26" i="18"/>
  <c r="I26" i="18" s="1"/>
  <c r="J26" i="18" s="1"/>
  <c r="K26" i="18" s="1"/>
  <c r="M25" i="18"/>
  <c r="L25" i="18" s="1"/>
  <c r="H25" i="18"/>
  <c r="I25" i="18" s="1"/>
  <c r="J25" i="18" s="1"/>
  <c r="K25" i="18" s="1"/>
  <c r="M24" i="18"/>
  <c r="N24" i="18" s="1"/>
  <c r="H24" i="18"/>
  <c r="I24" i="18" s="1"/>
  <c r="J24" i="18" s="1"/>
  <c r="K24" i="18" s="1"/>
  <c r="M23" i="18"/>
  <c r="L23" i="18" s="1"/>
  <c r="H23" i="18"/>
  <c r="I23" i="18" s="1"/>
  <c r="J23" i="18" s="1"/>
  <c r="K23" i="18" s="1"/>
  <c r="M22" i="18"/>
  <c r="L22" i="18" s="1"/>
  <c r="H22" i="18"/>
  <c r="I22" i="18" s="1"/>
  <c r="J22" i="18" s="1"/>
  <c r="K22" i="18" s="1"/>
  <c r="M21" i="18"/>
  <c r="N21" i="18" s="1"/>
  <c r="H21" i="18"/>
  <c r="I21" i="18" s="1"/>
  <c r="J21" i="18" s="1"/>
  <c r="K21" i="18" s="1"/>
  <c r="M20" i="18"/>
  <c r="L20" i="18" s="1"/>
  <c r="H20" i="18"/>
  <c r="I20" i="18" s="1"/>
  <c r="J20" i="18" s="1"/>
  <c r="K20" i="18" s="1"/>
  <c r="M19" i="18"/>
  <c r="L19" i="18" s="1"/>
  <c r="H19" i="18"/>
  <c r="I19" i="18" s="1"/>
  <c r="J19" i="18" s="1"/>
  <c r="K19" i="18" s="1"/>
  <c r="M18" i="18"/>
  <c r="L18" i="18" s="1"/>
  <c r="H18" i="18"/>
  <c r="I18" i="18" s="1"/>
  <c r="J18" i="18" s="1"/>
  <c r="K18" i="18" s="1"/>
  <c r="M17" i="18"/>
  <c r="O17" i="18" s="1"/>
  <c r="H17" i="18"/>
  <c r="I17" i="18" s="1"/>
  <c r="J17" i="18" s="1"/>
  <c r="K17" i="18" s="1"/>
  <c r="M16" i="18"/>
  <c r="L16" i="18" s="1"/>
  <c r="H16" i="18"/>
  <c r="I16" i="18" s="1"/>
  <c r="J16" i="18" s="1"/>
  <c r="K16" i="18" s="1"/>
  <c r="M15" i="18"/>
  <c r="U15" i="18" s="1"/>
  <c r="H15" i="18"/>
  <c r="I15" i="18" s="1"/>
  <c r="J15" i="18" s="1"/>
  <c r="K15" i="18" s="1"/>
  <c r="M14" i="18"/>
  <c r="AB14" i="18" s="1"/>
  <c r="Z14" i="18" s="1"/>
  <c r="AA14" i="18" s="1"/>
  <c r="H14" i="18"/>
  <c r="I14" i="18" s="1"/>
  <c r="J14" i="18" s="1"/>
  <c r="K14" i="18" s="1"/>
  <c r="M13" i="18"/>
  <c r="X13" i="18" s="1"/>
  <c r="H13" i="18"/>
  <c r="I13" i="18" s="1"/>
  <c r="J13" i="18" s="1"/>
  <c r="K13" i="18" s="1"/>
  <c r="M12" i="18"/>
  <c r="O12" i="18" s="1"/>
  <c r="H12" i="18"/>
  <c r="I12" i="18" s="1"/>
  <c r="J12" i="18" s="1"/>
  <c r="K12" i="18" s="1"/>
  <c r="M11" i="18"/>
  <c r="L11" i="18" s="1"/>
  <c r="H11" i="18"/>
  <c r="I11" i="18" s="1"/>
  <c r="J11" i="18" s="1"/>
  <c r="K11" i="18" s="1"/>
  <c r="M10" i="18"/>
  <c r="U10" i="18" s="1"/>
  <c r="H10" i="18"/>
  <c r="I10" i="18" s="1"/>
  <c r="J10" i="18" s="1"/>
  <c r="K10" i="18" s="1"/>
  <c r="M9" i="18"/>
  <c r="AB9" i="18" s="1"/>
  <c r="Z9" i="18" s="1"/>
  <c r="AA9" i="18" s="1"/>
  <c r="H9" i="18"/>
  <c r="I9" i="18" s="1"/>
  <c r="J9" i="18" s="1"/>
  <c r="K9" i="18" s="1"/>
  <c r="M8" i="18"/>
  <c r="AB8" i="18" s="1"/>
  <c r="Z8" i="18" s="1"/>
  <c r="AA8" i="18" s="1"/>
  <c r="H8" i="18"/>
  <c r="I8" i="18" s="1"/>
  <c r="J8" i="18" s="1"/>
  <c r="K8" i="18" s="1"/>
  <c r="M7" i="18"/>
  <c r="L7" i="18" s="1"/>
  <c r="H7" i="18"/>
  <c r="I7" i="18" s="1"/>
  <c r="J7" i="18" s="1"/>
  <c r="K7" i="18" s="1"/>
  <c r="M6" i="18"/>
  <c r="L6" i="18" s="1"/>
  <c r="H6" i="18"/>
  <c r="I6" i="18" s="1"/>
  <c r="J6" i="18" s="1"/>
  <c r="K6" i="18" s="1"/>
  <c r="M5" i="18"/>
  <c r="U5" i="18" s="1"/>
  <c r="H5" i="18"/>
  <c r="I5" i="18" s="1"/>
  <c r="J5" i="18" s="1"/>
  <c r="K5" i="18" s="1"/>
  <c r="M4" i="18"/>
  <c r="AB4" i="18" s="1"/>
  <c r="Z4" i="18" s="1"/>
  <c r="AA4" i="18" s="1"/>
  <c r="H4" i="18"/>
  <c r="I4" i="18" s="1"/>
  <c r="J4" i="18" s="1"/>
  <c r="K4" i="18" s="1"/>
  <c r="M3" i="18"/>
  <c r="H3" i="18"/>
  <c r="I3" i="18" s="1"/>
  <c r="J3" i="18" s="1"/>
  <c r="K3" i="18" s="1"/>
  <c r="I1593" i="17"/>
  <c r="I1592" i="17"/>
  <c r="I1591" i="17"/>
  <c r="I1590" i="17"/>
  <c r="I1589" i="17"/>
  <c r="I1588" i="17"/>
  <c r="I1587" i="17"/>
  <c r="I1586" i="17"/>
  <c r="I1585" i="17"/>
  <c r="I1584" i="17"/>
  <c r="I1583" i="17"/>
  <c r="I1582" i="17"/>
  <c r="I1581" i="17"/>
  <c r="I1580" i="17"/>
  <c r="I1579" i="17"/>
  <c r="I1578" i="17"/>
  <c r="I1577" i="17"/>
  <c r="I1576" i="17"/>
  <c r="I1575" i="17"/>
  <c r="I1574" i="17"/>
  <c r="I1573" i="17"/>
  <c r="I1572" i="17"/>
  <c r="I1571" i="17"/>
  <c r="I1570" i="17"/>
  <c r="I1569" i="17"/>
  <c r="I1568" i="17"/>
  <c r="I1567" i="17"/>
  <c r="I1566" i="17"/>
  <c r="I1565" i="17"/>
  <c r="I1564" i="17"/>
  <c r="I1563" i="17"/>
  <c r="I1562" i="17"/>
  <c r="I1561" i="17"/>
  <c r="I1560" i="17"/>
  <c r="I1559" i="17"/>
  <c r="I1558" i="17"/>
  <c r="I1557" i="17"/>
  <c r="I1556" i="17"/>
  <c r="I1555" i="17"/>
  <c r="I1554" i="17"/>
  <c r="I1553" i="17"/>
  <c r="I1552" i="17"/>
  <c r="I1551" i="17"/>
  <c r="I1550" i="17"/>
  <c r="I1549" i="17"/>
  <c r="I1548" i="17"/>
  <c r="I1547" i="17"/>
  <c r="I1546" i="17"/>
  <c r="I1545" i="17"/>
  <c r="I1544" i="17"/>
  <c r="I1543" i="17"/>
  <c r="I1542" i="17"/>
  <c r="I1541" i="17"/>
  <c r="I1540" i="17"/>
  <c r="I1539" i="17"/>
  <c r="I1538" i="17"/>
  <c r="I1537" i="17"/>
  <c r="I1536" i="17"/>
  <c r="I1535" i="17"/>
  <c r="I1534" i="17"/>
  <c r="I1533" i="17"/>
  <c r="I1532" i="17"/>
  <c r="I1531" i="17"/>
  <c r="I1530" i="17"/>
  <c r="I1529" i="17"/>
  <c r="I1528" i="17"/>
  <c r="I1527" i="17"/>
  <c r="I1526" i="17"/>
  <c r="I1525" i="17"/>
  <c r="I1524" i="17"/>
  <c r="I1523" i="17"/>
  <c r="I1522" i="17"/>
  <c r="I1521" i="17"/>
  <c r="I1520" i="17"/>
  <c r="I1519" i="17"/>
  <c r="I1518" i="17"/>
  <c r="I1517" i="17"/>
  <c r="I1516" i="17"/>
  <c r="I1515" i="17"/>
  <c r="I1514" i="17"/>
  <c r="I1513" i="17"/>
  <c r="I1512" i="17"/>
  <c r="I1511" i="17"/>
  <c r="I1510" i="17"/>
  <c r="I1509" i="17"/>
  <c r="I1508" i="17"/>
  <c r="I1507" i="17"/>
  <c r="I1506" i="17"/>
  <c r="I1505" i="17"/>
  <c r="I1504" i="17"/>
  <c r="I1503" i="17"/>
  <c r="I1502" i="17"/>
  <c r="I1501" i="17"/>
  <c r="I1500" i="17"/>
  <c r="I1499" i="17"/>
  <c r="I1498" i="17"/>
  <c r="I1497" i="17"/>
  <c r="I1496" i="17"/>
  <c r="I1495" i="17"/>
  <c r="I1494" i="17"/>
  <c r="I1493" i="17"/>
  <c r="I1492" i="17"/>
  <c r="I1491" i="17"/>
  <c r="I1490" i="17"/>
  <c r="I1489" i="17"/>
  <c r="I1488" i="17"/>
  <c r="I1487" i="17"/>
  <c r="I1486" i="17"/>
  <c r="I1485" i="17"/>
  <c r="I1484" i="17"/>
  <c r="I1483" i="17"/>
  <c r="I1482" i="17"/>
  <c r="I1481" i="17"/>
  <c r="I1480" i="17"/>
  <c r="I1479" i="17"/>
  <c r="I1478" i="17"/>
  <c r="I1477" i="17"/>
  <c r="I1476" i="17"/>
  <c r="I1475" i="17"/>
  <c r="I1474" i="17"/>
  <c r="I1473" i="17"/>
  <c r="I1472" i="17"/>
  <c r="I1471" i="17"/>
  <c r="I1470" i="17"/>
  <c r="I1469" i="17"/>
  <c r="I1468" i="17"/>
  <c r="I1467" i="17"/>
  <c r="I1466" i="17"/>
  <c r="I1465" i="17"/>
  <c r="I1464" i="17"/>
  <c r="I1463" i="17"/>
  <c r="I1462" i="17"/>
  <c r="I1461" i="17"/>
  <c r="I1460" i="17"/>
  <c r="I1459" i="17"/>
  <c r="I1458" i="17"/>
  <c r="I1457" i="17"/>
  <c r="I1456" i="17"/>
  <c r="I1455" i="17"/>
  <c r="I1454" i="17"/>
  <c r="I1453" i="17"/>
  <c r="I1452" i="17"/>
  <c r="I1451" i="17"/>
  <c r="I1450" i="17"/>
  <c r="I1449" i="17"/>
  <c r="I1448" i="17"/>
  <c r="I1447" i="17"/>
  <c r="I1446" i="17"/>
  <c r="I1445" i="17"/>
  <c r="I1444" i="17"/>
  <c r="I1443" i="17"/>
  <c r="I1442" i="17"/>
  <c r="I1441" i="17"/>
  <c r="I1440" i="17"/>
  <c r="I1439" i="17"/>
  <c r="I1438" i="17"/>
  <c r="I1437" i="17"/>
  <c r="I1436" i="17"/>
  <c r="I1435" i="17"/>
  <c r="I1434" i="17"/>
  <c r="I1433" i="17"/>
  <c r="I1432" i="17"/>
  <c r="I1431" i="17"/>
  <c r="I1430" i="17"/>
  <c r="I1429" i="17"/>
  <c r="I1428" i="17"/>
  <c r="I1427" i="17"/>
  <c r="I1426" i="17"/>
  <c r="I1425" i="17"/>
  <c r="I1424" i="17"/>
  <c r="I1423" i="17"/>
  <c r="I1422" i="17"/>
  <c r="I1421" i="17"/>
  <c r="I1420" i="17"/>
  <c r="I1419" i="17"/>
  <c r="I1418" i="17"/>
  <c r="I1417" i="17"/>
  <c r="I1416" i="17"/>
  <c r="I1415" i="17"/>
  <c r="I1414" i="17"/>
  <c r="I1413" i="17"/>
  <c r="I1412" i="17"/>
  <c r="I1411" i="17"/>
  <c r="I1410" i="17"/>
  <c r="I1409" i="17"/>
  <c r="I1408" i="17"/>
  <c r="I1407" i="17"/>
  <c r="I1406" i="17"/>
  <c r="I1405" i="17"/>
  <c r="I1404" i="17"/>
  <c r="I1403" i="17"/>
  <c r="I1402" i="17"/>
  <c r="I1401" i="17"/>
  <c r="I1400" i="17"/>
  <c r="I1399" i="17"/>
  <c r="I1398" i="17"/>
  <c r="I1397" i="17"/>
  <c r="I1396" i="17"/>
  <c r="I1395" i="17"/>
  <c r="I1394" i="17"/>
  <c r="I1393" i="17"/>
  <c r="I1392" i="17"/>
  <c r="I1391" i="17"/>
  <c r="I1390" i="17"/>
  <c r="I1389" i="17"/>
  <c r="I1388" i="17"/>
  <c r="I1387" i="17"/>
  <c r="I1386" i="17"/>
  <c r="I1385" i="17"/>
  <c r="I1384" i="17"/>
  <c r="I1383" i="17"/>
  <c r="I1382" i="17"/>
  <c r="I1381" i="17"/>
  <c r="I1380" i="17"/>
  <c r="I1379" i="17"/>
  <c r="I1378" i="17"/>
  <c r="I1377" i="17"/>
  <c r="I1376" i="17"/>
  <c r="I1375" i="17"/>
  <c r="I1374" i="17"/>
  <c r="I1373" i="17"/>
  <c r="I1372" i="17"/>
  <c r="I1371" i="17"/>
  <c r="I1370" i="17"/>
  <c r="I1369" i="17"/>
  <c r="I1368" i="17"/>
  <c r="I1367" i="17"/>
  <c r="I1366" i="17"/>
  <c r="I1365" i="17"/>
  <c r="I1364" i="17"/>
  <c r="I1363" i="17"/>
  <c r="I1362" i="17"/>
  <c r="I1361" i="17"/>
  <c r="I1360" i="17"/>
  <c r="I1359" i="17"/>
  <c r="I1358" i="17"/>
  <c r="I1357" i="17"/>
  <c r="I1356" i="17"/>
  <c r="I1355" i="17"/>
  <c r="I1354" i="17"/>
  <c r="I1353" i="17"/>
  <c r="I1352" i="17"/>
  <c r="I1351" i="17"/>
  <c r="I1350" i="17"/>
  <c r="I1349" i="17"/>
  <c r="I1348" i="17"/>
  <c r="I1347" i="17"/>
  <c r="I1346" i="17"/>
  <c r="I1345" i="17"/>
  <c r="I1344" i="17"/>
  <c r="I1343" i="17"/>
  <c r="I1342" i="17"/>
  <c r="I1341" i="17"/>
  <c r="I1340" i="17"/>
  <c r="I1339" i="17"/>
  <c r="I1338" i="17"/>
  <c r="I1337" i="17"/>
  <c r="I1336" i="17"/>
  <c r="I1335" i="17"/>
  <c r="I1334" i="17"/>
  <c r="I1333" i="17"/>
  <c r="I1332" i="17"/>
  <c r="I1331" i="17"/>
  <c r="I1330" i="17"/>
  <c r="I1329" i="17"/>
  <c r="I1328" i="17"/>
  <c r="I1327" i="17"/>
  <c r="I1326" i="17"/>
  <c r="I1325" i="17"/>
  <c r="I1324" i="17"/>
  <c r="I1323" i="17"/>
  <c r="I1322" i="17"/>
  <c r="I1321" i="17"/>
  <c r="I1320" i="17"/>
  <c r="I1319" i="17"/>
  <c r="I1318" i="17"/>
  <c r="I1317" i="17"/>
  <c r="I1316" i="17"/>
  <c r="I1315" i="17"/>
  <c r="I1314" i="17"/>
  <c r="I1313" i="17"/>
  <c r="I1312" i="17"/>
  <c r="I1311" i="17"/>
  <c r="I1310" i="17"/>
  <c r="I1309" i="17"/>
  <c r="I1308" i="17"/>
  <c r="I1307" i="17"/>
  <c r="I1306" i="17"/>
  <c r="I1305" i="17"/>
  <c r="I1304" i="17"/>
  <c r="I1303" i="17"/>
  <c r="I1302" i="17"/>
  <c r="I1301" i="17"/>
  <c r="I1300" i="17"/>
  <c r="I1299" i="17"/>
  <c r="I1298" i="17"/>
  <c r="I1297" i="17"/>
  <c r="I1296" i="17"/>
  <c r="I1295" i="17"/>
  <c r="I1294" i="17"/>
  <c r="I1293" i="17"/>
  <c r="I1292" i="17"/>
  <c r="I1291" i="17"/>
  <c r="I1290" i="17"/>
  <c r="I1289" i="17"/>
  <c r="I1288" i="17"/>
  <c r="I1287" i="17"/>
  <c r="I1286" i="17"/>
  <c r="I1285" i="17"/>
  <c r="I1284" i="17"/>
  <c r="I1283" i="17"/>
  <c r="I1282" i="17"/>
  <c r="I1281" i="17"/>
  <c r="I1280" i="17"/>
  <c r="I1279" i="17"/>
  <c r="I1278" i="17"/>
  <c r="I1277" i="17"/>
  <c r="I1276" i="17"/>
  <c r="I1275" i="17"/>
  <c r="I1274" i="17"/>
  <c r="I1273" i="17"/>
  <c r="I1272" i="17"/>
  <c r="I1271" i="17"/>
  <c r="I1270" i="17"/>
  <c r="I1269" i="17"/>
  <c r="I1268" i="17"/>
  <c r="I1267" i="17"/>
  <c r="I1266" i="17"/>
  <c r="I1265" i="17"/>
  <c r="I1264" i="17"/>
  <c r="I1263" i="17"/>
  <c r="I1262" i="17"/>
  <c r="I1261" i="17"/>
  <c r="I1260" i="17"/>
  <c r="I1259" i="17"/>
  <c r="I1258" i="17"/>
  <c r="I1257" i="17"/>
  <c r="I1256" i="17"/>
  <c r="I1255" i="17"/>
  <c r="I1254" i="17"/>
  <c r="I1253" i="17"/>
  <c r="I1252" i="17"/>
  <c r="I1251" i="17"/>
  <c r="I1250" i="17"/>
  <c r="I1249" i="17"/>
  <c r="I1248" i="17"/>
  <c r="I1247" i="17"/>
  <c r="I1246" i="17"/>
  <c r="I1245" i="17"/>
  <c r="I1244" i="17"/>
  <c r="I1243" i="17"/>
  <c r="I1242" i="17"/>
  <c r="I1241" i="17"/>
  <c r="I1240" i="17"/>
  <c r="I1239" i="17"/>
  <c r="I1238" i="17"/>
  <c r="I1237" i="17"/>
  <c r="I1236" i="17"/>
  <c r="I1235" i="17"/>
  <c r="I1234" i="17"/>
  <c r="I1233" i="17"/>
  <c r="I1232" i="17"/>
  <c r="I1231" i="17"/>
  <c r="I1230" i="17"/>
  <c r="I1229" i="17"/>
  <c r="I1228" i="17"/>
  <c r="I1227" i="17"/>
  <c r="I1226" i="17"/>
  <c r="I1225" i="17"/>
  <c r="I1224" i="17"/>
  <c r="I1223" i="17"/>
  <c r="I1222" i="17"/>
  <c r="I1221" i="17"/>
  <c r="I1220" i="17"/>
  <c r="I1219" i="17"/>
  <c r="I1218" i="17"/>
  <c r="I1217" i="17"/>
  <c r="I1216" i="17"/>
  <c r="I1215" i="17"/>
  <c r="I1214" i="17"/>
  <c r="I1213" i="17"/>
  <c r="I1212" i="17"/>
  <c r="I1211" i="17"/>
  <c r="I1210" i="17"/>
  <c r="I1209" i="17"/>
  <c r="I1208" i="17"/>
  <c r="I1207" i="17"/>
  <c r="I1206" i="17"/>
  <c r="I1205" i="17"/>
  <c r="I1204" i="17"/>
  <c r="I1203" i="17"/>
  <c r="I1202" i="17"/>
  <c r="I1201" i="17"/>
  <c r="I1200" i="17"/>
  <c r="I1199" i="17"/>
  <c r="I1198" i="17"/>
  <c r="I1197" i="17"/>
  <c r="I1196" i="17"/>
  <c r="I1195" i="17"/>
  <c r="I1194" i="17"/>
  <c r="I1193" i="17"/>
  <c r="I1192" i="17"/>
  <c r="I1191" i="17"/>
  <c r="I1190" i="17"/>
  <c r="I1189" i="17"/>
  <c r="I1188" i="17"/>
  <c r="I1187" i="17"/>
  <c r="I1186" i="17"/>
  <c r="I1185" i="17"/>
  <c r="I1184" i="17"/>
  <c r="I1183" i="17"/>
  <c r="I1182" i="17"/>
  <c r="I1181" i="17"/>
  <c r="I1180" i="17"/>
  <c r="I1179" i="17"/>
  <c r="I1178" i="17"/>
  <c r="I1177" i="17"/>
  <c r="I1176" i="17"/>
  <c r="I1175" i="17"/>
  <c r="I1174" i="17"/>
  <c r="I1173" i="17"/>
  <c r="I1172" i="17"/>
  <c r="I1171" i="17"/>
  <c r="I1170" i="17"/>
  <c r="I1169" i="17"/>
  <c r="I1168" i="17"/>
  <c r="I1167" i="17"/>
  <c r="I1166" i="17"/>
  <c r="I1165" i="17"/>
  <c r="I1164" i="17"/>
  <c r="I1163" i="17"/>
  <c r="I1162" i="17"/>
  <c r="I1161" i="17"/>
  <c r="I1160" i="17"/>
  <c r="I1159" i="17"/>
  <c r="I1158" i="17"/>
  <c r="I1157" i="17"/>
  <c r="I1156" i="17"/>
  <c r="I1155" i="17"/>
  <c r="I1154" i="17"/>
  <c r="I1153" i="17"/>
  <c r="I1152" i="17"/>
  <c r="I1151" i="17"/>
  <c r="I1150" i="17"/>
  <c r="I1149" i="17"/>
  <c r="I1148" i="17"/>
  <c r="I1147" i="17"/>
  <c r="I1146" i="17"/>
  <c r="I1145" i="17"/>
  <c r="I1144" i="17"/>
  <c r="I1143" i="17"/>
  <c r="I1142" i="17"/>
  <c r="I1141" i="17"/>
  <c r="I1140" i="17"/>
  <c r="I1139" i="17"/>
  <c r="I1138" i="17"/>
  <c r="I1137" i="17"/>
  <c r="I1136" i="17"/>
  <c r="I1135" i="17"/>
  <c r="I1134" i="17"/>
  <c r="I1133" i="17"/>
  <c r="I1132" i="17"/>
  <c r="I1131" i="17"/>
  <c r="I1130" i="17"/>
  <c r="I1129" i="17"/>
  <c r="I1128" i="17"/>
  <c r="I1127" i="17"/>
  <c r="I1126" i="17"/>
  <c r="I1125" i="17"/>
  <c r="I1124" i="17"/>
  <c r="I1123" i="17"/>
  <c r="I1122" i="17"/>
  <c r="I1121" i="17"/>
  <c r="I1120" i="17"/>
  <c r="I1119" i="17"/>
  <c r="I1118" i="17"/>
  <c r="I1117" i="17"/>
  <c r="I1116" i="17"/>
  <c r="I1115" i="17"/>
  <c r="I1114" i="17"/>
  <c r="I1113" i="17"/>
  <c r="I1112" i="17"/>
  <c r="I1111" i="17"/>
  <c r="I1110" i="17"/>
  <c r="I1109" i="17"/>
  <c r="I1108" i="17"/>
  <c r="I1107" i="17"/>
  <c r="I1106" i="17"/>
  <c r="I1105" i="17"/>
  <c r="I1104" i="17"/>
  <c r="I1103" i="17"/>
  <c r="I1102" i="17"/>
  <c r="I1101" i="17"/>
  <c r="I1100" i="17"/>
  <c r="I1099" i="17"/>
  <c r="I1098" i="17"/>
  <c r="I1097" i="17"/>
  <c r="I1096" i="17"/>
  <c r="I1095" i="17"/>
  <c r="I1094" i="17"/>
  <c r="I1093" i="17"/>
  <c r="I1092" i="17"/>
  <c r="I1091" i="17"/>
  <c r="I1090" i="17"/>
  <c r="I1089" i="17"/>
  <c r="I1088" i="17"/>
  <c r="I1087" i="17"/>
  <c r="I1086" i="17"/>
  <c r="I1085" i="17"/>
  <c r="I1084" i="17"/>
  <c r="I1083" i="17"/>
  <c r="I1082" i="17"/>
  <c r="I1081" i="17"/>
  <c r="I1080" i="17"/>
  <c r="I1079" i="17"/>
  <c r="I1078" i="17"/>
  <c r="I1077" i="17"/>
  <c r="I1076" i="17"/>
  <c r="I1075" i="17"/>
  <c r="I1074" i="17"/>
  <c r="I1073" i="17"/>
  <c r="I1072" i="17"/>
  <c r="I1071" i="17"/>
  <c r="I1070" i="17"/>
  <c r="I1069" i="17"/>
  <c r="I1068" i="17"/>
  <c r="I1067" i="17"/>
  <c r="I1066" i="17"/>
  <c r="I1065" i="17"/>
  <c r="I1064" i="17"/>
  <c r="I1063" i="17"/>
  <c r="I1062" i="17"/>
  <c r="I1061" i="17"/>
  <c r="I1060" i="17"/>
  <c r="I1059" i="17"/>
  <c r="I1058" i="17"/>
  <c r="I1057" i="17"/>
  <c r="I1056" i="17"/>
  <c r="I1055" i="17"/>
  <c r="I1054" i="17"/>
  <c r="I1053" i="17"/>
  <c r="I1052" i="17"/>
  <c r="I1051" i="17"/>
  <c r="I1050" i="17"/>
  <c r="I1049" i="17"/>
  <c r="I1048" i="17"/>
  <c r="I1047" i="17"/>
  <c r="I1046" i="17"/>
  <c r="I1045" i="17"/>
  <c r="I1044" i="17"/>
  <c r="I1043" i="17"/>
  <c r="I1042" i="17"/>
  <c r="I1041" i="17"/>
  <c r="I1040" i="17"/>
  <c r="I1039" i="17"/>
  <c r="I1038" i="17"/>
  <c r="I1037" i="17"/>
  <c r="I1036" i="17"/>
  <c r="I1035" i="17"/>
  <c r="I1034" i="17"/>
  <c r="I1033" i="17"/>
  <c r="I1032" i="17"/>
  <c r="I1031" i="17"/>
  <c r="I1030" i="17"/>
  <c r="I1029" i="17"/>
  <c r="I1028" i="17"/>
  <c r="I1027" i="17"/>
  <c r="I1026" i="17"/>
  <c r="I1025" i="17"/>
  <c r="I1024" i="17"/>
  <c r="I1023" i="17"/>
  <c r="I1022" i="17"/>
  <c r="I1021" i="17"/>
  <c r="I1020" i="17"/>
  <c r="I1019" i="17"/>
  <c r="I1018" i="17"/>
  <c r="I1017" i="17"/>
  <c r="I1016" i="17"/>
  <c r="I1015" i="17"/>
  <c r="I1014" i="17"/>
  <c r="I1013" i="17"/>
  <c r="I1012" i="17"/>
  <c r="I1011" i="17"/>
  <c r="I1010" i="17"/>
  <c r="I1009" i="17"/>
  <c r="I1008" i="17"/>
  <c r="I1007" i="17"/>
  <c r="I1006" i="17"/>
  <c r="I1005" i="17"/>
  <c r="I1004" i="17"/>
  <c r="I1003" i="17"/>
  <c r="I100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967" i="17"/>
  <c r="I966" i="17"/>
  <c r="I965" i="17"/>
  <c r="I964" i="17"/>
  <c r="I963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8" i="17"/>
  <c r="I677" i="17"/>
  <c r="I676" i="17"/>
  <c r="I675" i="17"/>
  <c r="I674" i="17"/>
  <c r="I673" i="17"/>
  <c r="I672" i="17"/>
  <c r="I671" i="17"/>
  <c r="I670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N16" i="16"/>
  <c r="M16" i="16"/>
  <c r="L16" i="16"/>
  <c r="K16" i="16"/>
  <c r="H16" i="16"/>
  <c r="N15" i="16"/>
  <c r="K15" i="16"/>
  <c r="H15" i="16"/>
  <c r="K14" i="16"/>
  <c r="H14" i="16"/>
  <c r="N13" i="16"/>
  <c r="K13" i="16"/>
  <c r="H13" i="16"/>
  <c r="M13" i="16" s="1"/>
  <c r="K12" i="16"/>
  <c r="H12" i="16"/>
  <c r="N11" i="16"/>
  <c r="L11" i="16"/>
  <c r="K11" i="16"/>
  <c r="H11" i="16"/>
  <c r="M11" i="16" s="1"/>
  <c r="K10" i="16"/>
  <c r="H10" i="16"/>
  <c r="N9" i="16"/>
  <c r="L9" i="16"/>
  <c r="K9" i="16"/>
  <c r="H9" i="16"/>
  <c r="M9" i="16" s="1"/>
  <c r="N8" i="16"/>
  <c r="M8" i="16"/>
  <c r="K8" i="16"/>
  <c r="H8" i="16"/>
  <c r="L8" i="16" s="1"/>
  <c r="K7" i="16"/>
  <c r="H7" i="16"/>
  <c r="M7" i="16" s="1"/>
  <c r="N6" i="16"/>
  <c r="M6" i="16"/>
  <c r="L6" i="16"/>
  <c r="K6" i="16"/>
  <c r="H6" i="16"/>
  <c r="K5" i="16"/>
  <c r="H5" i="16"/>
  <c r="N4" i="16"/>
  <c r="M4" i="16"/>
  <c r="L4" i="16"/>
  <c r="K4" i="16"/>
  <c r="H4" i="16"/>
  <c r="K3" i="16"/>
  <c r="H3" i="16"/>
  <c r="K2" i="16"/>
  <c r="H2" i="16"/>
  <c r="N2" i="16" s="1"/>
  <c r="H49" i="15"/>
  <c r="E49" i="15"/>
  <c r="G49" i="15" s="1"/>
  <c r="H48" i="15"/>
  <c r="E48" i="15"/>
  <c r="G48" i="15" s="1"/>
  <c r="H47" i="15"/>
  <c r="E47" i="15"/>
  <c r="G47" i="15" s="1"/>
  <c r="H46" i="15"/>
  <c r="E46" i="15"/>
  <c r="G46" i="15" s="1"/>
  <c r="H45" i="15"/>
  <c r="E45" i="15"/>
  <c r="G45" i="15" s="1"/>
  <c r="H44" i="15"/>
  <c r="E44" i="15"/>
  <c r="G44" i="15" s="1"/>
  <c r="H43" i="15"/>
  <c r="E43" i="15"/>
  <c r="G43" i="15" s="1"/>
  <c r="H42" i="15"/>
  <c r="E42" i="15"/>
  <c r="G42" i="15" s="1"/>
  <c r="H41" i="15"/>
  <c r="E41" i="15"/>
  <c r="H40" i="15"/>
  <c r="E40" i="15"/>
  <c r="G40" i="15" s="1"/>
  <c r="H39" i="15"/>
  <c r="E39" i="15"/>
  <c r="G39" i="15" s="1"/>
  <c r="H38" i="15"/>
  <c r="E38" i="15"/>
  <c r="G38" i="15" s="1"/>
  <c r="AC37" i="15"/>
  <c r="W37" i="15"/>
  <c r="AB37" i="15" s="1"/>
  <c r="R37" i="15"/>
  <c r="M37" i="15"/>
  <c r="Q37" i="15" s="1"/>
  <c r="H37" i="15"/>
  <c r="E37" i="15"/>
  <c r="G37" i="15" s="1"/>
  <c r="AC36" i="15"/>
  <c r="W36" i="15"/>
  <c r="AB36" i="15" s="1"/>
  <c r="R36" i="15"/>
  <c r="M36" i="15"/>
  <c r="H36" i="15"/>
  <c r="E36" i="15"/>
  <c r="F36" i="15" s="1"/>
  <c r="AC35" i="15"/>
  <c r="W35" i="15"/>
  <c r="AB35" i="15" s="1"/>
  <c r="R35" i="15"/>
  <c r="M35" i="15"/>
  <c r="Q35" i="15" s="1"/>
  <c r="H35" i="15"/>
  <c r="E35" i="15"/>
  <c r="G35" i="15" s="1"/>
  <c r="AC34" i="15"/>
  <c r="W34" i="15"/>
  <c r="AB34" i="15" s="1"/>
  <c r="R34" i="15"/>
  <c r="M34" i="15"/>
  <c r="Q34" i="15" s="1"/>
  <c r="H34" i="15"/>
  <c r="E34" i="15"/>
  <c r="G34" i="15" s="1"/>
  <c r="AC33" i="15"/>
  <c r="W33" i="15"/>
  <c r="AB33" i="15" s="1"/>
  <c r="R33" i="15"/>
  <c r="M33" i="15"/>
  <c r="Q33" i="15" s="1"/>
  <c r="H33" i="15"/>
  <c r="E33" i="15"/>
  <c r="G33" i="15" s="1"/>
  <c r="AC32" i="15"/>
  <c r="W32" i="15"/>
  <c r="AB32" i="15" s="1"/>
  <c r="R32" i="15"/>
  <c r="M32" i="15"/>
  <c r="Q32" i="15" s="1"/>
  <c r="H32" i="15"/>
  <c r="E32" i="15"/>
  <c r="AC31" i="15"/>
  <c r="W31" i="15"/>
  <c r="AB31" i="15" s="1"/>
  <c r="R31" i="15"/>
  <c r="M31" i="15"/>
  <c r="H31" i="15"/>
  <c r="E31" i="15"/>
  <c r="G31" i="15" s="1"/>
  <c r="AC30" i="15"/>
  <c r="W30" i="15"/>
  <c r="AB30" i="15" s="1"/>
  <c r="R30" i="15"/>
  <c r="M30" i="15"/>
  <c r="Q30" i="15" s="1"/>
  <c r="H30" i="15"/>
  <c r="E30" i="15"/>
  <c r="G30" i="15" s="1"/>
  <c r="AC29" i="15"/>
  <c r="W29" i="15"/>
  <c r="AB29" i="15" s="1"/>
  <c r="R29" i="15"/>
  <c r="M29" i="15"/>
  <c r="H29" i="15"/>
  <c r="E29" i="15"/>
  <c r="G29" i="15" s="1"/>
  <c r="AC28" i="15"/>
  <c r="W28" i="15"/>
  <c r="AB28" i="15" s="1"/>
  <c r="R28" i="15"/>
  <c r="M28" i="15"/>
  <c r="Q28" i="15" s="1"/>
  <c r="H28" i="15"/>
  <c r="E28" i="15"/>
  <c r="AC27" i="15"/>
  <c r="W27" i="15"/>
  <c r="R27" i="15"/>
  <c r="M27" i="15"/>
  <c r="Q27" i="15" s="1"/>
  <c r="H27" i="15"/>
  <c r="E27" i="15"/>
  <c r="G27" i="15" s="1"/>
  <c r="AC26" i="15"/>
  <c r="W26" i="15"/>
  <c r="AB26" i="15" s="1"/>
  <c r="R26" i="15"/>
  <c r="M26" i="15"/>
  <c r="Q26" i="15" s="1"/>
  <c r="H26" i="15"/>
  <c r="E26" i="15"/>
  <c r="AC25" i="15"/>
  <c r="W25" i="15"/>
  <c r="AB25" i="15" s="1"/>
  <c r="R25" i="15"/>
  <c r="M25" i="15"/>
  <c r="H25" i="15"/>
  <c r="E25" i="15"/>
  <c r="G25" i="15" s="1"/>
  <c r="AC24" i="15"/>
  <c r="W24" i="15"/>
  <c r="AB24" i="15" s="1"/>
  <c r="R24" i="15"/>
  <c r="M24" i="15"/>
  <c r="H24" i="15"/>
  <c r="E24" i="15"/>
  <c r="F24" i="15" s="1"/>
  <c r="AC23" i="15"/>
  <c r="W23" i="15"/>
  <c r="AB23" i="15" s="1"/>
  <c r="R23" i="15"/>
  <c r="M23" i="15"/>
  <c r="H23" i="15"/>
  <c r="E23" i="15"/>
  <c r="G23" i="15" s="1"/>
  <c r="AC22" i="15"/>
  <c r="W22" i="15"/>
  <c r="R22" i="15"/>
  <c r="M22" i="15"/>
  <c r="H22" i="15"/>
  <c r="E22" i="15"/>
  <c r="AC21" i="15"/>
  <c r="W21" i="15"/>
  <c r="AB21" i="15" s="1"/>
  <c r="R21" i="15"/>
  <c r="M21" i="15"/>
  <c r="Q21" i="15" s="1"/>
  <c r="H21" i="15"/>
  <c r="E21" i="15"/>
  <c r="AC20" i="15"/>
  <c r="W20" i="15"/>
  <c r="AB20" i="15" s="1"/>
  <c r="R20" i="15"/>
  <c r="M20" i="15"/>
  <c r="Q20" i="15" s="1"/>
  <c r="H20" i="15"/>
  <c r="E20" i="15"/>
  <c r="G20" i="15" s="1"/>
  <c r="AC19" i="15"/>
  <c r="W19" i="15"/>
  <c r="R19" i="15"/>
  <c r="M19" i="15"/>
  <c r="H19" i="15"/>
  <c r="E19" i="15"/>
  <c r="G19" i="15" s="1"/>
  <c r="AC18" i="15"/>
  <c r="W18" i="15"/>
  <c r="R18" i="15"/>
  <c r="M18" i="15"/>
  <c r="Q18" i="15" s="1"/>
  <c r="H18" i="15"/>
  <c r="E18" i="15"/>
  <c r="G18" i="15" s="1"/>
  <c r="AC17" i="15"/>
  <c r="W17" i="15"/>
  <c r="R17" i="15"/>
  <c r="M17" i="15"/>
  <c r="Q17" i="15" s="1"/>
  <c r="H17" i="15"/>
  <c r="E17" i="15"/>
  <c r="F17" i="15" s="1"/>
  <c r="AC16" i="15"/>
  <c r="W16" i="15"/>
  <c r="AB16" i="15" s="1"/>
  <c r="R16" i="15"/>
  <c r="M16" i="15"/>
  <c r="H16" i="15"/>
  <c r="E16" i="15"/>
  <c r="AC15" i="15"/>
  <c r="W15" i="15"/>
  <c r="AB15" i="15" s="1"/>
  <c r="R15" i="15"/>
  <c r="M15" i="15"/>
  <c r="H15" i="15"/>
  <c r="E15" i="15"/>
  <c r="AC14" i="15"/>
  <c r="W14" i="15"/>
  <c r="AB14" i="15" s="1"/>
  <c r="R14" i="15"/>
  <c r="M14" i="15"/>
  <c r="H14" i="15"/>
  <c r="E14" i="15"/>
  <c r="AC13" i="15"/>
  <c r="W13" i="15"/>
  <c r="AB13" i="15" s="1"/>
  <c r="R13" i="15"/>
  <c r="M13" i="15"/>
  <c r="Q13" i="15" s="1"/>
  <c r="H13" i="15"/>
  <c r="E13" i="15"/>
  <c r="G13" i="15" s="1"/>
  <c r="AC12" i="15"/>
  <c r="W12" i="15"/>
  <c r="R12" i="15"/>
  <c r="M12" i="15"/>
  <c r="Q12" i="15" s="1"/>
  <c r="H12" i="15"/>
  <c r="E12" i="15"/>
  <c r="G12" i="15" s="1"/>
  <c r="AC11" i="15"/>
  <c r="W11" i="15"/>
  <c r="R11" i="15"/>
  <c r="M11" i="15"/>
  <c r="H11" i="15"/>
  <c r="E11" i="15"/>
  <c r="AC10" i="15"/>
  <c r="W10" i="15"/>
  <c r="AB10" i="15" s="1"/>
  <c r="R10" i="15"/>
  <c r="M10" i="15"/>
  <c r="Q10" i="15" s="1"/>
  <c r="H10" i="15"/>
  <c r="E10" i="15"/>
  <c r="G10" i="15" s="1"/>
  <c r="AC9" i="15"/>
  <c r="W9" i="15"/>
  <c r="AB9" i="15" s="1"/>
  <c r="R9" i="15"/>
  <c r="M9" i="15"/>
  <c r="H9" i="15"/>
  <c r="E9" i="15"/>
  <c r="G9" i="15" s="1"/>
  <c r="AC8" i="15"/>
  <c r="W8" i="15"/>
  <c r="AB8" i="15" s="1"/>
  <c r="R8" i="15"/>
  <c r="M8" i="15"/>
  <c r="Q8" i="15" s="1"/>
  <c r="H8" i="15"/>
  <c r="E8" i="15"/>
  <c r="G8" i="15" s="1"/>
  <c r="AC7" i="15"/>
  <c r="W7" i="15"/>
  <c r="R7" i="15"/>
  <c r="M7" i="15"/>
  <c r="Q7" i="15" s="1"/>
  <c r="H7" i="15"/>
  <c r="E7" i="15"/>
  <c r="F7" i="15" s="1"/>
  <c r="AC6" i="15"/>
  <c r="W6" i="15"/>
  <c r="R6" i="15"/>
  <c r="M6" i="15"/>
  <c r="Q6" i="15" s="1"/>
  <c r="H6" i="15"/>
  <c r="E6" i="15"/>
  <c r="AC5" i="15"/>
  <c r="W5" i="15"/>
  <c r="R5" i="15"/>
  <c r="M5" i="15"/>
  <c r="Q5" i="15" s="1"/>
  <c r="H5" i="15"/>
  <c r="E5" i="15"/>
  <c r="G5" i="15" s="1"/>
  <c r="AC4" i="15"/>
  <c r="W4" i="15"/>
  <c r="R4" i="15"/>
  <c r="M4" i="15"/>
  <c r="H4" i="15"/>
  <c r="E4" i="15"/>
  <c r="G4" i="15" s="1"/>
  <c r="AC3" i="15"/>
  <c r="W3" i="15"/>
  <c r="X3" i="15" s="1"/>
  <c r="R3" i="15"/>
  <c r="M3" i="15"/>
  <c r="H3" i="15"/>
  <c r="E3" i="15"/>
  <c r="G3" i="15" s="1"/>
  <c r="AC2" i="15"/>
  <c r="W2" i="15"/>
  <c r="R2" i="15"/>
  <c r="M2" i="15"/>
  <c r="Q2" i="15" s="1"/>
  <c r="H2" i="15"/>
  <c r="E2" i="15"/>
  <c r="K396" i="14"/>
  <c r="J396" i="14"/>
  <c r="K395" i="14"/>
  <c r="J395" i="14"/>
  <c r="K394" i="14"/>
  <c r="J394" i="14"/>
  <c r="K393" i="14"/>
  <c r="J393" i="14"/>
  <c r="K392" i="14"/>
  <c r="J392" i="14"/>
  <c r="K391" i="14"/>
  <c r="J391" i="14"/>
  <c r="K390" i="14"/>
  <c r="J390" i="14"/>
  <c r="K389" i="14"/>
  <c r="J389" i="14"/>
  <c r="K388" i="14"/>
  <c r="J388" i="14"/>
  <c r="K387" i="14"/>
  <c r="J387" i="14"/>
  <c r="K386" i="14"/>
  <c r="J386" i="14"/>
  <c r="K385" i="14"/>
  <c r="J385" i="14"/>
  <c r="K384" i="14"/>
  <c r="J384" i="14"/>
  <c r="K383" i="14"/>
  <c r="J383" i="14"/>
  <c r="K382" i="14"/>
  <c r="J382" i="14"/>
  <c r="K381" i="14"/>
  <c r="J381" i="14"/>
  <c r="K380" i="14"/>
  <c r="J380" i="14"/>
  <c r="K379" i="14"/>
  <c r="J379" i="14"/>
  <c r="K378" i="14"/>
  <c r="J378" i="14"/>
  <c r="K377" i="14"/>
  <c r="J377" i="14"/>
  <c r="K376" i="14"/>
  <c r="J376" i="14"/>
  <c r="K375" i="14"/>
  <c r="J375" i="14"/>
  <c r="K374" i="14"/>
  <c r="J374" i="14"/>
  <c r="K373" i="14"/>
  <c r="J373" i="14"/>
  <c r="K372" i="14"/>
  <c r="J372" i="14"/>
  <c r="K371" i="14"/>
  <c r="J371" i="14"/>
  <c r="K370" i="14"/>
  <c r="J370" i="14"/>
  <c r="K369" i="14"/>
  <c r="J369" i="14"/>
  <c r="K368" i="14"/>
  <c r="J368" i="14"/>
  <c r="K367" i="14"/>
  <c r="J367" i="14"/>
  <c r="K366" i="14"/>
  <c r="J366" i="14"/>
  <c r="K365" i="14"/>
  <c r="J365" i="14"/>
  <c r="K364" i="14"/>
  <c r="J364" i="14"/>
  <c r="K363" i="14"/>
  <c r="J363" i="14"/>
  <c r="K362" i="14"/>
  <c r="J362" i="14"/>
  <c r="K361" i="14"/>
  <c r="J361" i="14"/>
  <c r="K360" i="14"/>
  <c r="J360" i="14"/>
  <c r="K359" i="14"/>
  <c r="J359" i="14"/>
  <c r="K358" i="14"/>
  <c r="J358" i="14"/>
  <c r="K357" i="14"/>
  <c r="J357" i="14"/>
  <c r="K356" i="14"/>
  <c r="J356" i="14"/>
  <c r="K355" i="14"/>
  <c r="J355" i="14"/>
  <c r="K354" i="14"/>
  <c r="J354" i="14"/>
  <c r="K353" i="14"/>
  <c r="J353" i="14"/>
  <c r="K352" i="14"/>
  <c r="J352" i="14"/>
  <c r="K351" i="14"/>
  <c r="J351" i="14"/>
  <c r="K350" i="14"/>
  <c r="J350" i="14"/>
  <c r="K349" i="14"/>
  <c r="J349" i="14"/>
  <c r="K348" i="14"/>
  <c r="J348" i="14"/>
  <c r="K347" i="14"/>
  <c r="J347" i="14"/>
  <c r="K346" i="14"/>
  <c r="J346" i="14"/>
  <c r="K345" i="14"/>
  <c r="J345" i="14"/>
  <c r="K344" i="14"/>
  <c r="J344" i="14"/>
  <c r="K343" i="14"/>
  <c r="J343" i="14"/>
  <c r="K342" i="14"/>
  <c r="J342" i="14"/>
  <c r="K341" i="14"/>
  <c r="J341" i="14"/>
  <c r="K340" i="14"/>
  <c r="J340" i="14"/>
  <c r="K339" i="14"/>
  <c r="J339" i="14"/>
  <c r="K338" i="14"/>
  <c r="J338" i="14"/>
  <c r="K337" i="14"/>
  <c r="J337" i="14"/>
  <c r="K336" i="14"/>
  <c r="J336" i="14"/>
  <c r="K335" i="14"/>
  <c r="J335" i="14"/>
  <c r="K334" i="14"/>
  <c r="J334" i="14"/>
  <c r="K333" i="14"/>
  <c r="J333" i="14"/>
  <c r="K332" i="14"/>
  <c r="J332" i="14"/>
  <c r="K331" i="14"/>
  <c r="J331" i="14"/>
  <c r="K330" i="14"/>
  <c r="J330" i="14"/>
  <c r="K329" i="14"/>
  <c r="J329" i="14"/>
  <c r="K328" i="14"/>
  <c r="J328" i="14"/>
  <c r="K327" i="14"/>
  <c r="J327" i="14"/>
  <c r="K326" i="14"/>
  <c r="J326" i="14"/>
  <c r="K325" i="14"/>
  <c r="J325" i="14"/>
  <c r="K324" i="14"/>
  <c r="J324" i="14"/>
  <c r="K323" i="14"/>
  <c r="J323" i="14"/>
  <c r="K322" i="14"/>
  <c r="J322" i="14"/>
  <c r="K321" i="14"/>
  <c r="J321" i="14"/>
  <c r="K320" i="14"/>
  <c r="J320" i="14"/>
  <c r="K319" i="14"/>
  <c r="J319" i="14"/>
  <c r="K318" i="14"/>
  <c r="J318" i="14"/>
  <c r="K317" i="14"/>
  <c r="J317" i="14"/>
  <c r="K316" i="14"/>
  <c r="J316" i="14"/>
  <c r="K315" i="14"/>
  <c r="J315" i="14"/>
  <c r="K314" i="14"/>
  <c r="J314" i="14"/>
  <c r="K313" i="14"/>
  <c r="J313" i="14"/>
  <c r="K312" i="14"/>
  <c r="J312" i="14"/>
  <c r="K311" i="14"/>
  <c r="J311" i="14"/>
  <c r="K310" i="14"/>
  <c r="J310" i="14"/>
  <c r="K309" i="14"/>
  <c r="J309" i="14"/>
  <c r="K308" i="14"/>
  <c r="J308" i="14"/>
  <c r="K307" i="14"/>
  <c r="J307" i="14"/>
  <c r="K306" i="14"/>
  <c r="J306" i="14"/>
  <c r="K305" i="14"/>
  <c r="J305" i="14"/>
  <c r="K304" i="14"/>
  <c r="J304" i="14"/>
  <c r="K303" i="14"/>
  <c r="J303" i="14"/>
  <c r="K302" i="14"/>
  <c r="J302" i="14"/>
  <c r="K301" i="14"/>
  <c r="J301" i="14"/>
  <c r="K300" i="14"/>
  <c r="J300" i="14"/>
  <c r="K299" i="14"/>
  <c r="J299" i="14"/>
  <c r="K298" i="14"/>
  <c r="J298" i="14"/>
  <c r="K297" i="14"/>
  <c r="J297" i="14"/>
  <c r="K296" i="14"/>
  <c r="J296" i="14"/>
  <c r="K295" i="14"/>
  <c r="J295" i="14"/>
  <c r="K294" i="14"/>
  <c r="J294" i="14"/>
  <c r="K293" i="14"/>
  <c r="J293" i="14"/>
  <c r="K292" i="14"/>
  <c r="J292" i="14"/>
  <c r="K291" i="14"/>
  <c r="J291" i="14"/>
  <c r="K290" i="14"/>
  <c r="J290" i="14"/>
  <c r="K289" i="14"/>
  <c r="J289" i="14"/>
  <c r="K288" i="14"/>
  <c r="J288" i="14"/>
  <c r="K287" i="14"/>
  <c r="J287" i="14"/>
  <c r="K286" i="14"/>
  <c r="J286" i="14"/>
  <c r="K285" i="14"/>
  <c r="J285" i="14"/>
  <c r="K284" i="14"/>
  <c r="J284" i="14"/>
  <c r="K283" i="14"/>
  <c r="J283" i="14"/>
  <c r="K282" i="14"/>
  <c r="J282" i="14"/>
  <c r="K281" i="14"/>
  <c r="J281" i="14"/>
  <c r="K280" i="14"/>
  <c r="J280" i="14"/>
  <c r="K279" i="14"/>
  <c r="J279" i="14"/>
  <c r="K278" i="14"/>
  <c r="J278" i="14"/>
  <c r="K277" i="14"/>
  <c r="J277" i="14"/>
  <c r="K276" i="14"/>
  <c r="J276" i="14"/>
  <c r="K275" i="14"/>
  <c r="J275" i="14"/>
  <c r="K274" i="14"/>
  <c r="J274" i="14"/>
  <c r="K273" i="14"/>
  <c r="J273" i="14"/>
  <c r="K272" i="14"/>
  <c r="J272" i="14"/>
  <c r="K271" i="14"/>
  <c r="J271" i="14"/>
  <c r="K270" i="14"/>
  <c r="J270" i="14"/>
  <c r="K269" i="14"/>
  <c r="J269" i="14"/>
  <c r="K268" i="14"/>
  <c r="J268" i="14"/>
  <c r="K267" i="14"/>
  <c r="J267" i="14"/>
  <c r="K266" i="14"/>
  <c r="J266" i="14"/>
  <c r="K265" i="14"/>
  <c r="J265" i="14"/>
  <c r="K264" i="14"/>
  <c r="J264" i="14"/>
  <c r="K263" i="14"/>
  <c r="J263" i="14"/>
  <c r="K262" i="14"/>
  <c r="J262" i="14"/>
  <c r="K261" i="14"/>
  <c r="J261" i="14"/>
  <c r="K260" i="14"/>
  <c r="J260" i="14"/>
  <c r="K259" i="14"/>
  <c r="J259" i="14"/>
  <c r="K258" i="14"/>
  <c r="J258" i="14"/>
  <c r="K257" i="14"/>
  <c r="J257" i="14"/>
  <c r="K256" i="14"/>
  <c r="J256" i="14"/>
  <c r="K255" i="14"/>
  <c r="J255" i="14"/>
  <c r="K254" i="14"/>
  <c r="J254" i="14"/>
  <c r="K253" i="14"/>
  <c r="J253" i="14"/>
  <c r="K252" i="14"/>
  <c r="J252" i="14"/>
  <c r="K251" i="14"/>
  <c r="J251" i="14"/>
  <c r="K250" i="14"/>
  <c r="J250" i="14"/>
  <c r="K249" i="14"/>
  <c r="J249" i="14"/>
  <c r="K248" i="14"/>
  <c r="J248" i="14"/>
  <c r="K247" i="14"/>
  <c r="J247" i="14"/>
  <c r="K246" i="14"/>
  <c r="J246" i="14"/>
  <c r="K245" i="14"/>
  <c r="J245" i="14"/>
  <c r="K244" i="14"/>
  <c r="J244" i="14"/>
  <c r="K243" i="14"/>
  <c r="J243" i="14"/>
  <c r="K242" i="14"/>
  <c r="J242" i="14"/>
  <c r="K241" i="14"/>
  <c r="J241" i="14"/>
  <c r="K240" i="14"/>
  <c r="J240" i="14"/>
  <c r="K239" i="14"/>
  <c r="J239" i="14"/>
  <c r="K238" i="14"/>
  <c r="J238" i="14"/>
  <c r="K237" i="14"/>
  <c r="J237" i="14"/>
  <c r="K236" i="14"/>
  <c r="J236" i="14"/>
  <c r="K235" i="14"/>
  <c r="J235" i="14"/>
  <c r="K234" i="14"/>
  <c r="J234" i="14"/>
  <c r="K233" i="14"/>
  <c r="J233" i="14"/>
  <c r="K232" i="14"/>
  <c r="J232" i="14"/>
  <c r="K231" i="14"/>
  <c r="J231" i="14"/>
  <c r="K230" i="14"/>
  <c r="J230" i="14"/>
  <c r="K229" i="14"/>
  <c r="J229" i="14"/>
  <c r="K228" i="14"/>
  <c r="J228" i="14"/>
  <c r="K227" i="14"/>
  <c r="J227" i="14"/>
  <c r="K226" i="14"/>
  <c r="J226" i="14"/>
  <c r="K225" i="14"/>
  <c r="J225" i="14"/>
  <c r="K224" i="14"/>
  <c r="J224" i="14"/>
  <c r="K223" i="14"/>
  <c r="J223" i="14"/>
  <c r="K222" i="14"/>
  <c r="J222" i="14"/>
  <c r="K221" i="14"/>
  <c r="J221" i="14"/>
  <c r="K220" i="14"/>
  <c r="J220" i="14"/>
  <c r="K219" i="14"/>
  <c r="J219" i="14"/>
  <c r="K218" i="14"/>
  <c r="J218" i="14"/>
  <c r="K217" i="14"/>
  <c r="J217" i="14"/>
  <c r="K216" i="14"/>
  <c r="J216" i="14"/>
  <c r="K215" i="14"/>
  <c r="J215" i="14"/>
  <c r="K214" i="14"/>
  <c r="J214" i="14"/>
  <c r="K213" i="14"/>
  <c r="J213" i="14"/>
  <c r="K212" i="14"/>
  <c r="J212" i="14"/>
  <c r="K211" i="14"/>
  <c r="J211" i="14"/>
  <c r="K210" i="14"/>
  <c r="J210" i="14"/>
  <c r="K209" i="14"/>
  <c r="J209" i="14"/>
  <c r="K208" i="14"/>
  <c r="J208" i="14"/>
  <c r="K207" i="14"/>
  <c r="J207" i="14"/>
  <c r="K206" i="14"/>
  <c r="J206" i="14"/>
  <c r="K205" i="14"/>
  <c r="J205" i="14"/>
  <c r="K204" i="14"/>
  <c r="J204" i="14"/>
  <c r="K203" i="14"/>
  <c r="J203" i="14"/>
  <c r="K202" i="14"/>
  <c r="J202" i="14"/>
  <c r="K201" i="14"/>
  <c r="J201" i="14"/>
  <c r="K200" i="14"/>
  <c r="J200" i="14"/>
  <c r="K199" i="14"/>
  <c r="J199" i="14"/>
  <c r="K198" i="14"/>
  <c r="J198" i="14"/>
  <c r="K197" i="14"/>
  <c r="J197" i="14"/>
  <c r="K196" i="14"/>
  <c r="J196" i="14"/>
  <c r="K195" i="14"/>
  <c r="J195" i="14"/>
  <c r="K194" i="14"/>
  <c r="J194" i="14"/>
  <c r="K193" i="14"/>
  <c r="J193" i="14"/>
  <c r="K192" i="14"/>
  <c r="J192" i="14"/>
  <c r="K191" i="14"/>
  <c r="J191" i="14"/>
  <c r="K190" i="14"/>
  <c r="J190" i="14"/>
  <c r="K189" i="14"/>
  <c r="J189" i="14"/>
  <c r="K188" i="14"/>
  <c r="J188" i="14"/>
  <c r="K187" i="14"/>
  <c r="J187" i="14"/>
  <c r="K186" i="14"/>
  <c r="J186" i="14"/>
  <c r="K185" i="14"/>
  <c r="J185" i="14"/>
  <c r="K184" i="14"/>
  <c r="J184" i="14"/>
  <c r="K183" i="14"/>
  <c r="J183" i="14"/>
  <c r="K182" i="14"/>
  <c r="J182" i="14"/>
  <c r="K181" i="14"/>
  <c r="J181" i="14"/>
  <c r="K180" i="14"/>
  <c r="J180" i="14"/>
  <c r="K179" i="14"/>
  <c r="J179" i="14"/>
  <c r="K178" i="14"/>
  <c r="J178" i="14"/>
  <c r="K177" i="14"/>
  <c r="J177" i="14"/>
  <c r="K176" i="14"/>
  <c r="J176" i="14"/>
  <c r="K175" i="14"/>
  <c r="J175" i="14"/>
  <c r="K174" i="14"/>
  <c r="J174" i="14"/>
  <c r="K173" i="14"/>
  <c r="J173" i="14"/>
  <c r="K172" i="14"/>
  <c r="J172" i="14"/>
  <c r="K171" i="14"/>
  <c r="J171" i="14"/>
  <c r="K170" i="14"/>
  <c r="J170" i="14"/>
  <c r="K169" i="14"/>
  <c r="J169" i="14"/>
  <c r="K168" i="14"/>
  <c r="J168" i="14"/>
  <c r="K167" i="14"/>
  <c r="J167" i="14"/>
  <c r="K166" i="14"/>
  <c r="J166" i="14"/>
  <c r="K165" i="14"/>
  <c r="J165" i="14"/>
  <c r="K164" i="14"/>
  <c r="J164" i="14"/>
  <c r="K163" i="14"/>
  <c r="J163" i="14"/>
  <c r="K162" i="14"/>
  <c r="J162" i="14"/>
  <c r="K161" i="14"/>
  <c r="J161" i="14"/>
  <c r="K160" i="14"/>
  <c r="J160" i="14"/>
  <c r="K159" i="14"/>
  <c r="J159" i="14"/>
  <c r="K158" i="14"/>
  <c r="J158" i="14"/>
  <c r="K157" i="14"/>
  <c r="J157" i="14"/>
  <c r="K156" i="14"/>
  <c r="J156" i="14"/>
  <c r="K155" i="14"/>
  <c r="J155" i="14"/>
  <c r="K154" i="14"/>
  <c r="J154" i="14"/>
  <c r="K153" i="14"/>
  <c r="J153" i="14"/>
  <c r="K152" i="14"/>
  <c r="J152" i="14"/>
  <c r="K151" i="14"/>
  <c r="J151" i="14"/>
  <c r="K150" i="14"/>
  <c r="J150" i="14"/>
  <c r="K149" i="14"/>
  <c r="J149" i="14"/>
  <c r="K148" i="14"/>
  <c r="J148" i="14"/>
  <c r="K147" i="14"/>
  <c r="J147" i="14"/>
  <c r="K146" i="14"/>
  <c r="J146" i="14"/>
  <c r="K145" i="14"/>
  <c r="J145" i="14"/>
  <c r="K144" i="14"/>
  <c r="J144" i="14"/>
  <c r="K143" i="14"/>
  <c r="J143" i="14"/>
  <c r="K142" i="14"/>
  <c r="J142" i="14"/>
  <c r="K141" i="14"/>
  <c r="J141" i="14"/>
  <c r="K140" i="14"/>
  <c r="J140" i="14"/>
  <c r="K139" i="14"/>
  <c r="J139" i="14"/>
  <c r="K138" i="14"/>
  <c r="J138" i="14"/>
  <c r="K137" i="14"/>
  <c r="J137" i="14"/>
  <c r="K136" i="14"/>
  <c r="J136" i="14"/>
  <c r="K135" i="14"/>
  <c r="J135" i="14"/>
  <c r="K134" i="14"/>
  <c r="J134" i="14"/>
  <c r="K133" i="14"/>
  <c r="J133" i="14"/>
  <c r="K132" i="14"/>
  <c r="J132" i="14"/>
  <c r="K131" i="14"/>
  <c r="J131" i="14"/>
  <c r="K130" i="14"/>
  <c r="J130" i="14"/>
  <c r="K129" i="14"/>
  <c r="J129" i="14"/>
  <c r="K128" i="14"/>
  <c r="J128" i="14"/>
  <c r="K127" i="14"/>
  <c r="J127" i="14"/>
  <c r="K126" i="14"/>
  <c r="J126" i="14"/>
  <c r="K125" i="14"/>
  <c r="J125" i="14"/>
  <c r="K124" i="14"/>
  <c r="J124" i="14"/>
  <c r="K123" i="14"/>
  <c r="J123" i="14"/>
  <c r="K122" i="14"/>
  <c r="J122" i="14"/>
  <c r="K121" i="14"/>
  <c r="J121" i="14"/>
  <c r="K120" i="14"/>
  <c r="J120" i="14"/>
  <c r="K119" i="14"/>
  <c r="J119" i="14"/>
  <c r="K118" i="14"/>
  <c r="J118" i="14"/>
  <c r="K117" i="14"/>
  <c r="J117" i="14"/>
  <c r="K116" i="14"/>
  <c r="J116" i="14"/>
  <c r="K115" i="14"/>
  <c r="J115" i="14"/>
  <c r="K114" i="14"/>
  <c r="J114" i="14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K1" i="14"/>
  <c r="J1" i="14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Z85" i="13"/>
  <c r="X85" i="13"/>
  <c r="W85" i="13"/>
  <c r="V85" i="13"/>
  <c r="U85" i="13"/>
  <c r="T85" i="13"/>
  <c r="S85" i="13"/>
  <c r="R85" i="13"/>
  <c r="Q85" i="13"/>
  <c r="P85" i="13"/>
  <c r="O85" i="13"/>
  <c r="Z84" i="13"/>
  <c r="X84" i="13"/>
  <c r="W84" i="13"/>
  <c r="V84" i="13"/>
  <c r="U84" i="13"/>
  <c r="T84" i="13"/>
  <c r="S84" i="13"/>
  <c r="R84" i="13"/>
  <c r="Q84" i="13"/>
  <c r="P84" i="13"/>
  <c r="O84" i="13"/>
  <c r="Z83" i="13"/>
  <c r="X83" i="13"/>
  <c r="W83" i="13"/>
  <c r="V83" i="13"/>
  <c r="U83" i="13"/>
  <c r="T83" i="13"/>
  <c r="S83" i="13"/>
  <c r="R83" i="13"/>
  <c r="Q83" i="13"/>
  <c r="P83" i="13"/>
  <c r="O83" i="13"/>
  <c r="Z82" i="13"/>
  <c r="X82" i="13"/>
  <c r="W82" i="13"/>
  <c r="V82" i="13"/>
  <c r="U82" i="13"/>
  <c r="T82" i="13"/>
  <c r="S82" i="13"/>
  <c r="R82" i="13"/>
  <c r="Q82" i="13"/>
  <c r="P82" i="13"/>
  <c r="O82" i="13"/>
  <c r="Z81" i="13"/>
  <c r="X81" i="13"/>
  <c r="W81" i="13"/>
  <c r="V81" i="13"/>
  <c r="U81" i="13"/>
  <c r="T81" i="13"/>
  <c r="S81" i="13"/>
  <c r="R81" i="13"/>
  <c r="Q81" i="13"/>
  <c r="P81" i="13"/>
  <c r="O81" i="13"/>
  <c r="Z80" i="13"/>
  <c r="X80" i="13"/>
  <c r="W80" i="13"/>
  <c r="V80" i="13"/>
  <c r="U80" i="13"/>
  <c r="T80" i="13"/>
  <c r="S80" i="13"/>
  <c r="R80" i="13"/>
  <c r="Q80" i="13"/>
  <c r="P80" i="13"/>
  <c r="O80" i="13"/>
  <c r="Z79" i="13"/>
  <c r="X79" i="13"/>
  <c r="W79" i="13"/>
  <c r="U79" i="13"/>
  <c r="T79" i="13"/>
  <c r="S79" i="13"/>
  <c r="R79" i="13"/>
  <c r="Q79" i="13"/>
  <c r="P79" i="13"/>
  <c r="O79" i="13"/>
  <c r="Z78" i="13"/>
  <c r="X78" i="13"/>
  <c r="W78" i="13"/>
  <c r="U78" i="13"/>
  <c r="T78" i="13"/>
  <c r="S78" i="13"/>
  <c r="R78" i="13"/>
  <c r="Q78" i="13"/>
  <c r="P78" i="13"/>
  <c r="O78" i="13"/>
  <c r="Z77" i="13"/>
  <c r="X77" i="13"/>
  <c r="W77" i="13"/>
  <c r="U77" i="13"/>
  <c r="T77" i="13"/>
  <c r="S77" i="13"/>
  <c r="R77" i="13"/>
  <c r="Q77" i="13"/>
  <c r="P77" i="13"/>
  <c r="O77" i="13"/>
  <c r="Z76" i="13"/>
  <c r="X76" i="13"/>
  <c r="W76" i="13"/>
  <c r="U76" i="13"/>
  <c r="T76" i="13"/>
  <c r="S76" i="13"/>
  <c r="R76" i="13"/>
  <c r="Q76" i="13"/>
  <c r="P76" i="13"/>
  <c r="O76" i="13"/>
  <c r="Z75" i="13"/>
  <c r="X75" i="13"/>
  <c r="W75" i="13"/>
  <c r="T75" i="13"/>
  <c r="S75" i="13"/>
  <c r="R75" i="13"/>
  <c r="Q75" i="13"/>
  <c r="P75" i="13"/>
  <c r="O75" i="13"/>
  <c r="Z74" i="13"/>
  <c r="X74" i="13"/>
  <c r="W74" i="13"/>
  <c r="T74" i="13"/>
  <c r="S74" i="13"/>
  <c r="R74" i="13"/>
  <c r="Q74" i="13"/>
  <c r="P74" i="13"/>
  <c r="O74" i="13"/>
  <c r="Z73" i="13"/>
  <c r="X73" i="13"/>
  <c r="W73" i="13"/>
  <c r="T73" i="13"/>
  <c r="S73" i="13"/>
  <c r="R73" i="13"/>
  <c r="Q73" i="13"/>
  <c r="P73" i="13"/>
  <c r="O73" i="13"/>
  <c r="Z72" i="13"/>
  <c r="X72" i="13"/>
  <c r="W72" i="13"/>
  <c r="T72" i="13"/>
  <c r="S72" i="13"/>
  <c r="R72" i="13"/>
  <c r="Q72" i="13"/>
  <c r="P72" i="13"/>
  <c r="O72" i="13"/>
  <c r="Z71" i="13"/>
  <c r="X71" i="13"/>
  <c r="W71" i="13"/>
  <c r="T71" i="13"/>
  <c r="S71" i="13"/>
  <c r="R71" i="13"/>
  <c r="Q71" i="13"/>
  <c r="P71" i="13"/>
  <c r="O71" i="13"/>
  <c r="Z70" i="13"/>
  <c r="X70" i="13"/>
  <c r="W70" i="13"/>
  <c r="T70" i="13"/>
  <c r="S70" i="13"/>
  <c r="R70" i="13"/>
  <c r="Q70" i="13"/>
  <c r="P70" i="13"/>
  <c r="O70" i="13"/>
  <c r="Z69" i="13"/>
  <c r="X69" i="13"/>
  <c r="W69" i="13"/>
  <c r="T69" i="13"/>
  <c r="S69" i="13"/>
  <c r="R69" i="13"/>
  <c r="Q69" i="13"/>
  <c r="P69" i="13"/>
  <c r="O69" i="13"/>
  <c r="Z68" i="13"/>
  <c r="X68" i="13"/>
  <c r="W68" i="13"/>
  <c r="T68" i="13"/>
  <c r="S68" i="13"/>
  <c r="R68" i="13"/>
  <c r="Q68" i="13"/>
  <c r="P68" i="13"/>
  <c r="O68" i="13"/>
  <c r="Z67" i="13"/>
  <c r="X67" i="13"/>
  <c r="W67" i="13"/>
  <c r="T67" i="13"/>
  <c r="S67" i="13"/>
  <c r="R67" i="13"/>
  <c r="Q67" i="13"/>
  <c r="P67" i="13"/>
  <c r="O67" i="13"/>
  <c r="Z66" i="13"/>
  <c r="X66" i="13"/>
  <c r="W66" i="13"/>
  <c r="T66" i="13"/>
  <c r="S66" i="13"/>
  <c r="R66" i="13"/>
  <c r="Q66" i="13"/>
  <c r="P66" i="13"/>
  <c r="O66" i="13"/>
  <c r="Z65" i="13"/>
  <c r="X65" i="13"/>
  <c r="W65" i="13"/>
  <c r="T65" i="13"/>
  <c r="S65" i="13"/>
  <c r="R65" i="13"/>
  <c r="Q65" i="13"/>
  <c r="P65" i="13"/>
  <c r="O65" i="13"/>
  <c r="Z64" i="13"/>
  <c r="X64" i="13"/>
  <c r="W64" i="13"/>
  <c r="T64" i="13"/>
  <c r="S64" i="13"/>
  <c r="R64" i="13"/>
  <c r="Q64" i="13"/>
  <c r="P64" i="13"/>
  <c r="O64" i="13"/>
  <c r="Z63" i="13"/>
  <c r="X63" i="13"/>
  <c r="W63" i="13"/>
  <c r="T63" i="13"/>
  <c r="S63" i="13"/>
  <c r="R63" i="13"/>
  <c r="Q63" i="13"/>
  <c r="P63" i="13"/>
  <c r="O63" i="13"/>
  <c r="Z62" i="13"/>
  <c r="X62" i="13"/>
  <c r="W62" i="13"/>
  <c r="T62" i="13"/>
  <c r="S62" i="13"/>
  <c r="R62" i="13"/>
  <c r="Q62" i="13"/>
  <c r="P62" i="13"/>
  <c r="O62" i="13"/>
  <c r="Z61" i="13"/>
  <c r="X61" i="13"/>
  <c r="W61" i="13"/>
  <c r="T61" i="13"/>
  <c r="S61" i="13"/>
  <c r="R61" i="13"/>
  <c r="Q61" i="13"/>
  <c r="P61" i="13"/>
  <c r="O61" i="13"/>
  <c r="Z60" i="13"/>
  <c r="X60" i="13"/>
  <c r="W60" i="13"/>
  <c r="T60" i="13"/>
  <c r="S60" i="13"/>
  <c r="R60" i="13"/>
  <c r="Q60" i="13"/>
  <c r="P60" i="13"/>
  <c r="O60" i="13"/>
  <c r="Z59" i="13"/>
  <c r="X59" i="13"/>
  <c r="W59" i="13"/>
  <c r="T59" i="13"/>
  <c r="S59" i="13"/>
  <c r="R59" i="13"/>
  <c r="Q59" i="13"/>
  <c r="P59" i="13"/>
  <c r="O59" i="13"/>
  <c r="Z58" i="13"/>
  <c r="X58" i="13"/>
  <c r="W58" i="13"/>
  <c r="T58" i="13"/>
  <c r="S58" i="13"/>
  <c r="R58" i="13"/>
  <c r="Q58" i="13"/>
  <c r="P58" i="13"/>
  <c r="O58" i="13"/>
  <c r="Z57" i="13"/>
  <c r="X57" i="13"/>
  <c r="W57" i="13"/>
  <c r="T57" i="13"/>
  <c r="S57" i="13"/>
  <c r="R57" i="13"/>
  <c r="Q57" i="13"/>
  <c r="P57" i="13"/>
  <c r="O57" i="13"/>
  <c r="Z56" i="13"/>
  <c r="X56" i="13"/>
  <c r="W56" i="13"/>
  <c r="T56" i="13"/>
  <c r="S56" i="13"/>
  <c r="R56" i="13"/>
  <c r="Q56" i="13"/>
  <c r="P56" i="13"/>
  <c r="O56" i="13"/>
  <c r="Z55" i="13"/>
  <c r="X55" i="13"/>
  <c r="W55" i="13"/>
  <c r="T55" i="13"/>
  <c r="S55" i="13"/>
  <c r="R55" i="13"/>
  <c r="Q55" i="13"/>
  <c r="P55" i="13"/>
  <c r="O55" i="13"/>
  <c r="Z54" i="13"/>
  <c r="X54" i="13"/>
  <c r="W54" i="13"/>
  <c r="T54" i="13"/>
  <c r="S54" i="13"/>
  <c r="R54" i="13"/>
  <c r="Q54" i="13"/>
  <c r="P54" i="13"/>
  <c r="O54" i="13"/>
  <c r="Z53" i="13"/>
  <c r="X53" i="13"/>
  <c r="W53" i="13"/>
  <c r="T53" i="13"/>
  <c r="S53" i="13"/>
  <c r="R53" i="13"/>
  <c r="Q53" i="13"/>
  <c r="P53" i="13"/>
  <c r="O53" i="13"/>
  <c r="Z52" i="13"/>
  <c r="X52" i="13"/>
  <c r="W52" i="13"/>
  <c r="T52" i="13"/>
  <c r="S52" i="13"/>
  <c r="R52" i="13"/>
  <c r="Q52" i="13"/>
  <c r="P52" i="13"/>
  <c r="O52" i="13"/>
  <c r="Z51" i="13"/>
  <c r="X51" i="13"/>
  <c r="W51" i="13"/>
  <c r="T51" i="13"/>
  <c r="S51" i="13"/>
  <c r="R51" i="13"/>
  <c r="Q51" i="13"/>
  <c r="P51" i="13"/>
  <c r="O51" i="13"/>
  <c r="Z50" i="13"/>
  <c r="X50" i="13"/>
  <c r="W50" i="13"/>
  <c r="T50" i="13"/>
  <c r="S50" i="13"/>
  <c r="R50" i="13"/>
  <c r="Q50" i="13"/>
  <c r="P50" i="13"/>
  <c r="O50" i="13"/>
  <c r="Z49" i="13"/>
  <c r="X49" i="13"/>
  <c r="W49" i="13"/>
  <c r="T49" i="13"/>
  <c r="S49" i="13"/>
  <c r="R49" i="13"/>
  <c r="Q49" i="13"/>
  <c r="P49" i="13"/>
  <c r="O49" i="13"/>
  <c r="X48" i="13"/>
  <c r="W48" i="13"/>
  <c r="T48" i="13"/>
  <c r="S48" i="13"/>
  <c r="R48" i="13"/>
  <c r="Q48" i="13"/>
  <c r="P48" i="13"/>
  <c r="O48" i="13"/>
  <c r="X47" i="13"/>
  <c r="W47" i="13"/>
  <c r="T47" i="13"/>
  <c r="S47" i="13"/>
  <c r="R47" i="13"/>
  <c r="Q47" i="13"/>
  <c r="P47" i="13"/>
  <c r="O47" i="13"/>
  <c r="N47" i="13"/>
  <c r="Z47" i="13" s="1"/>
  <c r="Z46" i="13"/>
  <c r="X46" i="13"/>
  <c r="W46" i="13"/>
  <c r="T46" i="13"/>
  <c r="S46" i="13"/>
  <c r="R46" i="13"/>
  <c r="Q46" i="13"/>
  <c r="P46" i="13"/>
  <c r="O46" i="13"/>
  <c r="Z45" i="13"/>
  <c r="X45" i="13"/>
  <c r="W45" i="13"/>
  <c r="T45" i="13"/>
  <c r="S45" i="13"/>
  <c r="R45" i="13"/>
  <c r="Q45" i="13"/>
  <c r="P45" i="13"/>
  <c r="O45" i="13"/>
  <c r="Z44" i="13"/>
  <c r="X44" i="13"/>
  <c r="W44" i="13"/>
  <c r="T44" i="13"/>
  <c r="S44" i="13"/>
  <c r="R44" i="13"/>
  <c r="Q44" i="13"/>
  <c r="P44" i="13"/>
  <c r="O44" i="13"/>
  <c r="Z43" i="13"/>
  <c r="X43" i="13"/>
  <c r="W43" i="13"/>
  <c r="T43" i="13"/>
  <c r="S43" i="13"/>
  <c r="R43" i="13"/>
  <c r="Q43" i="13"/>
  <c r="P43" i="13"/>
  <c r="O43" i="13"/>
  <c r="Z42" i="13"/>
  <c r="X42" i="13"/>
  <c r="W42" i="13"/>
  <c r="T42" i="13"/>
  <c r="S42" i="13"/>
  <c r="R42" i="13"/>
  <c r="Q42" i="13"/>
  <c r="P42" i="13"/>
  <c r="O42" i="13"/>
  <c r="Z41" i="13"/>
  <c r="X41" i="13"/>
  <c r="W41" i="13"/>
  <c r="Q41" i="13"/>
  <c r="P41" i="13"/>
  <c r="O41" i="13"/>
  <c r="Z40" i="13"/>
  <c r="X40" i="13"/>
  <c r="W40" i="13"/>
  <c r="Q40" i="13"/>
  <c r="P40" i="13"/>
  <c r="O40" i="13"/>
  <c r="Z39" i="13"/>
  <c r="X39" i="13"/>
  <c r="W39" i="13"/>
  <c r="Q39" i="13"/>
  <c r="P39" i="13"/>
  <c r="O39" i="13"/>
  <c r="N38" i="13"/>
  <c r="W37" i="13"/>
  <c r="L37" i="13"/>
  <c r="X38" i="13" s="1"/>
  <c r="K37" i="13"/>
  <c r="W38" i="13" s="1"/>
  <c r="E37" i="13"/>
  <c r="Q38" i="13" s="1"/>
  <c r="D37" i="13"/>
  <c r="P37" i="13" s="1"/>
  <c r="C37" i="13"/>
  <c r="Z36" i="13"/>
  <c r="X36" i="13"/>
  <c r="W36" i="13"/>
  <c r="Q36" i="13"/>
  <c r="P36" i="13"/>
  <c r="O36" i="13"/>
  <c r="X35" i="13"/>
  <c r="W35" i="13"/>
  <c r="Q35" i="13"/>
  <c r="P35" i="13"/>
  <c r="O35" i="13"/>
  <c r="N35" i="13"/>
  <c r="X34" i="13"/>
  <c r="W34" i="13"/>
  <c r="Q34" i="13"/>
  <c r="P34" i="13"/>
  <c r="O34" i="13"/>
  <c r="N34" i="13"/>
  <c r="X33" i="13"/>
  <c r="W33" i="13"/>
  <c r="Q33" i="13"/>
  <c r="P33" i="13"/>
  <c r="O33" i="13"/>
  <c r="N33" i="13"/>
  <c r="Z33" i="13" s="1"/>
  <c r="X32" i="13"/>
  <c r="W32" i="13"/>
  <c r="Q32" i="13"/>
  <c r="P32" i="13"/>
  <c r="O32" i="13"/>
  <c r="N32" i="13"/>
  <c r="X31" i="13"/>
  <c r="W31" i="13"/>
  <c r="Q31" i="13"/>
  <c r="P31" i="13"/>
  <c r="O31" i="13"/>
  <c r="N31" i="13"/>
  <c r="X30" i="13"/>
  <c r="W30" i="13"/>
  <c r="Q30" i="13"/>
  <c r="P30" i="13"/>
  <c r="O30" i="13"/>
  <c r="N30" i="13"/>
  <c r="Z30" i="13" s="1"/>
  <c r="X29" i="13"/>
  <c r="W29" i="13"/>
  <c r="Q29" i="13"/>
  <c r="P29" i="13"/>
  <c r="O29" i="13"/>
  <c r="N29" i="13"/>
  <c r="Z28" i="13"/>
  <c r="X28" i="13"/>
  <c r="W28" i="13"/>
  <c r="Q28" i="13"/>
  <c r="P28" i="13"/>
  <c r="O28" i="13"/>
  <c r="N28" i="13"/>
  <c r="Z29" i="13" s="1"/>
  <c r="X27" i="13"/>
  <c r="W27" i="13"/>
  <c r="Q27" i="13"/>
  <c r="P27" i="13"/>
  <c r="O27" i="13"/>
  <c r="N27" i="13"/>
  <c r="Z27" i="13" s="1"/>
  <c r="Z26" i="13"/>
  <c r="X26" i="13"/>
  <c r="W26" i="13"/>
  <c r="Q26" i="13"/>
  <c r="P26" i="13"/>
  <c r="O26" i="13"/>
  <c r="N26" i="13"/>
  <c r="Z25" i="13"/>
  <c r="X25" i="13"/>
  <c r="W25" i="13"/>
  <c r="Q25" i="13"/>
  <c r="P25" i="13"/>
  <c r="O25" i="13"/>
  <c r="N25" i="13"/>
  <c r="X24" i="13"/>
  <c r="W24" i="13"/>
  <c r="Q24" i="13"/>
  <c r="P24" i="13"/>
  <c r="O24" i="13"/>
  <c r="N24" i="13"/>
  <c r="Z24" i="13" s="1"/>
  <c r="Z23" i="13"/>
  <c r="X23" i="13"/>
  <c r="W23" i="13"/>
  <c r="Q23" i="13"/>
  <c r="P23" i="13"/>
  <c r="O23" i="13"/>
  <c r="N23" i="13"/>
  <c r="Z22" i="13"/>
  <c r="X22" i="13"/>
  <c r="W22" i="13"/>
  <c r="Q22" i="13"/>
  <c r="P22" i="13"/>
  <c r="O22" i="13"/>
  <c r="N22" i="13"/>
  <c r="X21" i="13"/>
  <c r="W21" i="13"/>
  <c r="Q21" i="13"/>
  <c r="P21" i="13"/>
  <c r="O21" i="13"/>
  <c r="N21" i="13"/>
  <c r="Z21" i="13" s="1"/>
  <c r="Z20" i="13"/>
  <c r="X20" i="13"/>
  <c r="W20" i="13"/>
  <c r="Q20" i="13"/>
  <c r="P20" i="13"/>
  <c r="O20" i="13"/>
  <c r="N20" i="13"/>
  <c r="Z19" i="13"/>
  <c r="X19" i="13"/>
  <c r="W19" i="13"/>
  <c r="Q19" i="13"/>
  <c r="P19" i="13"/>
  <c r="O19" i="13"/>
  <c r="N19" i="13"/>
  <c r="Z18" i="13"/>
  <c r="X18" i="13"/>
  <c r="W18" i="13"/>
  <c r="Q18" i="13"/>
  <c r="P18" i="13"/>
  <c r="O18" i="13"/>
  <c r="N18" i="13"/>
  <c r="X17" i="13"/>
  <c r="W17" i="13"/>
  <c r="Q17" i="13"/>
  <c r="P17" i="13"/>
  <c r="O17" i="13"/>
  <c r="N17" i="13"/>
  <c r="Z16" i="13"/>
  <c r="X16" i="13"/>
  <c r="W16" i="13"/>
  <c r="Q16" i="13"/>
  <c r="P16" i="13"/>
  <c r="O16" i="13"/>
  <c r="N16" i="13"/>
  <c r="Z15" i="13"/>
  <c r="X15" i="13"/>
  <c r="W15" i="13"/>
  <c r="Q15" i="13"/>
  <c r="P15" i="13"/>
  <c r="O15" i="13"/>
  <c r="N15" i="13"/>
  <c r="X14" i="13"/>
  <c r="W14" i="13"/>
  <c r="Q14" i="13"/>
  <c r="P14" i="13"/>
  <c r="O14" i="13"/>
  <c r="N14" i="13"/>
  <c r="Z13" i="13"/>
  <c r="X13" i="13"/>
  <c r="W13" i="13"/>
  <c r="Q13" i="13"/>
  <c r="P13" i="13"/>
  <c r="O13" i="13"/>
  <c r="N13" i="13"/>
  <c r="Z12" i="13"/>
  <c r="X12" i="13"/>
  <c r="W12" i="13"/>
  <c r="Q12" i="13"/>
  <c r="P12" i="13"/>
  <c r="O12" i="13"/>
  <c r="N12" i="13"/>
  <c r="X11" i="13"/>
  <c r="W11" i="13"/>
  <c r="Q11" i="13"/>
  <c r="P11" i="13"/>
  <c r="O11" i="13"/>
  <c r="N11" i="13"/>
  <c r="Z10" i="13"/>
  <c r="X10" i="13"/>
  <c r="W10" i="13"/>
  <c r="Q10" i="13"/>
  <c r="P10" i="13"/>
  <c r="O10" i="13"/>
  <c r="N10" i="13"/>
  <c r="X9" i="13"/>
  <c r="W9" i="13"/>
  <c r="Q9" i="13"/>
  <c r="P9" i="13"/>
  <c r="O9" i="13"/>
  <c r="N9" i="13"/>
  <c r="X8" i="13"/>
  <c r="W8" i="13"/>
  <c r="Q8" i="13"/>
  <c r="P8" i="13"/>
  <c r="O8" i="13"/>
  <c r="N8" i="13"/>
  <c r="Z8" i="13" s="1"/>
  <c r="N7" i="13"/>
  <c r="M4" i="13"/>
  <c r="L4" i="13"/>
  <c r="K4" i="13"/>
  <c r="N2" i="13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U2" i="12"/>
  <c r="R2" i="12"/>
  <c r="T2" i="12" s="1"/>
  <c r="K1" i="12"/>
  <c r="L19" i="11"/>
  <c r="F19" i="11"/>
  <c r="L18" i="11"/>
  <c r="F18" i="11"/>
  <c r="K18" i="11" s="1"/>
  <c r="L17" i="11"/>
  <c r="F17" i="11"/>
  <c r="G17" i="11" s="1"/>
  <c r="L16" i="11"/>
  <c r="F16" i="11"/>
  <c r="L15" i="11"/>
  <c r="F15" i="11"/>
  <c r="K15" i="11" s="1"/>
  <c r="L14" i="11"/>
  <c r="F14" i="11"/>
  <c r="L13" i="11"/>
  <c r="F13" i="11"/>
  <c r="K13" i="11" s="1"/>
  <c r="L12" i="11"/>
  <c r="F12" i="11"/>
  <c r="G12" i="11" s="1"/>
  <c r="L11" i="11"/>
  <c r="F11" i="11"/>
  <c r="L10" i="11"/>
  <c r="F10" i="11"/>
  <c r="G10" i="11" s="1"/>
  <c r="L9" i="11"/>
  <c r="F9" i="11"/>
  <c r="L8" i="11"/>
  <c r="F8" i="11"/>
  <c r="AA7" i="11"/>
  <c r="Z7" i="11"/>
  <c r="X7" i="11"/>
  <c r="L7" i="11"/>
  <c r="F7" i="11"/>
  <c r="K7" i="11" s="1"/>
  <c r="AA6" i="11"/>
  <c r="X6" i="11"/>
  <c r="X2" i="11" s="1"/>
  <c r="L6" i="11"/>
  <c r="F6" i="11"/>
  <c r="AA5" i="11"/>
  <c r="Z5" i="11"/>
  <c r="X5" i="11"/>
  <c r="L5" i="11"/>
  <c r="F5" i="11"/>
  <c r="K5" i="11" s="1"/>
  <c r="AA4" i="11"/>
  <c r="AA2" i="11" s="1"/>
  <c r="X4" i="11"/>
  <c r="H2" i="11"/>
  <c r="J5" i="13" s="1"/>
  <c r="C2" i="11"/>
  <c r="X43" i="10"/>
  <c r="R43" i="10"/>
  <c r="W43" i="10" s="1"/>
  <c r="X42" i="10"/>
  <c r="R42" i="10"/>
  <c r="W42" i="10" s="1"/>
  <c r="X41" i="10"/>
  <c r="R41" i="10"/>
  <c r="X40" i="10"/>
  <c r="R40" i="10"/>
  <c r="X39" i="10"/>
  <c r="R39" i="10"/>
  <c r="W39" i="10" s="1"/>
  <c r="X38" i="10"/>
  <c r="R38" i="10"/>
  <c r="S38" i="10" s="1"/>
  <c r="X37" i="10"/>
  <c r="R37" i="10"/>
  <c r="W37" i="10" s="1"/>
  <c r="X36" i="10"/>
  <c r="R36" i="10"/>
  <c r="X35" i="10"/>
  <c r="R35" i="10"/>
  <c r="X34" i="10"/>
  <c r="R34" i="10"/>
  <c r="W34" i="10" s="1"/>
  <c r="X33" i="10"/>
  <c r="R33" i="10"/>
  <c r="W33" i="10" s="1"/>
  <c r="X32" i="10"/>
  <c r="R32" i="10"/>
  <c r="W32" i="10" s="1"/>
  <c r="X31" i="10"/>
  <c r="R31" i="10"/>
  <c r="W31" i="10" s="1"/>
  <c r="K31" i="10"/>
  <c r="E31" i="10"/>
  <c r="X30" i="10"/>
  <c r="R30" i="10"/>
  <c r="W30" i="10" s="1"/>
  <c r="K30" i="10"/>
  <c r="E30" i="10"/>
  <c r="J30" i="10" s="1"/>
  <c r="X29" i="10"/>
  <c r="R29" i="10"/>
  <c r="W29" i="10" s="1"/>
  <c r="K29" i="10"/>
  <c r="E29" i="10"/>
  <c r="J29" i="10" s="1"/>
  <c r="X28" i="10"/>
  <c r="R28" i="10"/>
  <c r="K28" i="10"/>
  <c r="E28" i="10"/>
  <c r="J28" i="10" s="1"/>
  <c r="X27" i="10"/>
  <c r="R27" i="10"/>
  <c r="S27" i="10" s="1"/>
  <c r="K27" i="10"/>
  <c r="E27" i="10"/>
  <c r="J27" i="10" s="1"/>
  <c r="X26" i="10"/>
  <c r="R26" i="10"/>
  <c r="S26" i="10" s="1"/>
  <c r="K26" i="10"/>
  <c r="E26" i="10"/>
  <c r="X25" i="10"/>
  <c r="R25" i="10"/>
  <c r="W25" i="10" s="1"/>
  <c r="K25" i="10"/>
  <c r="E25" i="10"/>
  <c r="J25" i="10" s="1"/>
  <c r="X24" i="10"/>
  <c r="R24" i="10"/>
  <c r="S24" i="10" s="1"/>
  <c r="K24" i="10"/>
  <c r="E24" i="10"/>
  <c r="J24" i="10" s="1"/>
  <c r="X23" i="10"/>
  <c r="R23" i="10"/>
  <c r="K23" i="10"/>
  <c r="E23" i="10"/>
  <c r="F23" i="10" s="1"/>
  <c r="X22" i="10"/>
  <c r="R22" i="10"/>
  <c r="W22" i="10" s="1"/>
  <c r="K22" i="10"/>
  <c r="E22" i="10"/>
  <c r="J22" i="10" s="1"/>
  <c r="X21" i="10"/>
  <c r="R21" i="10"/>
  <c r="W21" i="10" s="1"/>
  <c r="K21" i="10"/>
  <c r="E21" i="10"/>
  <c r="X20" i="10"/>
  <c r="R20" i="10"/>
  <c r="W20" i="10" s="1"/>
  <c r="K20" i="10"/>
  <c r="E20" i="10"/>
  <c r="J20" i="10" s="1"/>
  <c r="R19" i="10"/>
  <c r="S19" i="10" s="1"/>
  <c r="K19" i="10"/>
  <c r="E19" i="10"/>
  <c r="R18" i="10"/>
  <c r="S18" i="10" s="1"/>
  <c r="R17" i="10"/>
  <c r="S17" i="10" s="1"/>
  <c r="K17" i="10"/>
  <c r="E17" i="10"/>
  <c r="F17" i="10" s="1"/>
  <c r="R16" i="10"/>
  <c r="S16" i="10" s="1"/>
  <c r="K16" i="10"/>
  <c r="E16" i="10"/>
  <c r="F16" i="10" s="1"/>
  <c r="R15" i="10"/>
  <c r="S15" i="10" s="1"/>
  <c r="K15" i="10"/>
  <c r="E15" i="10"/>
  <c r="F15" i="10" s="1"/>
  <c r="R14" i="10"/>
  <c r="S14" i="10" s="1"/>
  <c r="K14" i="10"/>
  <c r="E14" i="10"/>
  <c r="R13" i="10"/>
  <c r="S13" i="10" s="1"/>
  <c r="K13" i="10"/>
  <c r="E13" i="10"/>
  <c r="J13" i="10" s="1"/>
  <c r="R12" i="10"/>
  <c r="S12" i="10" s="1"/>
  <c r="K11" i="10"/>
  <c r="E11" i="10"/>
  <c r="J11" i="10" s="1"/>
  <c r="K10" i="10"/>
  <c r="E10" i="10"/>
  <c r="F10" i="10" s="1"/>
  <c r="K9" i="10"/>
  <c r="E9" i="10"/>
  <c r="K8" i="10"/>
  <c r="E8" i="10"/>
  <c r="K7" i="10"/>
  <c r="E7" i="10"/>
  <c r="J7" i="10" s="1"/>
  <c r="T6" i="10"/>
  <c r="K6" i="10"/>
  <c r="E6" i="10"/>
  <c r="F6" i="10" s="1"/>
  <c r="K5" i="10"/>
  <c r="E5" i="10"/>
  <c r="J5" i="10" s="1"/>
  <c r="K4" i="10"/>
  <c r="E4" i="10"/>
  <c r="G2" i="10"/>
  <c r="H5" i="13" s="1"/>
  <c r="D2" i="10"/>
  <c r="W39" i="9"/>
  <c r="Q39" i="9"/>
  <c r="V39" i="9" s="1"/>
  <c r="W38" i="9"/>
  <c r="Q38" i="9"/>
  <c r="R38" i="9" s="1"/>
  <c r="W37" i="9"/>
  <c r="Q37" i="9"/>
  <c r="W36" i="9"/>
  <c r="Q36" i="9"/>
  <c r="R36" i="9" s="1"/>
  <c r="W35" i="9"/>
  <c r="Q35" i="9"/>
  <c r="W34" i="9"/>
  <c r="Q34" i="9"/>
  <c r="R34" i="9" s="1"/>
  <c r="W33" i="9"/>
  <c r="Q33" i="9"/>
  <c r="W32" i="9"/>
  <c r="Q32" i="9"/>
  <c r="V32" i="9" s="1"/>
  <c r="W31" i="9"/>
  <c r="Q31" i="9"/>
  <c r="V31" i="9" s="1"/>
  <c r="K31" i="9"/>
  <c r="E31" i="9"/>
  <c r="F31" i="9" s="1"/>
  <c r="W30" i="9"/>
  <c r="Q30" i="9"/>
  <c r="V30" i="9" s="1"/>
  <c r="K30" i="9"/>
  <c r="E30" i="9"/>
  <c r="F30" i="9" s="1"/>
  <c r="W29" i="9"/>
  <c r="Q29" i="9"/>
  <c r="K29" i="9"/>
  <c r="E29" i="9"/>
  <c r="F29" i="9" s="1"/>
  <c r="W28" i="9"/>
  <c r="Q28" i="9"/>
  <c r="V28" i="9" s="1"/>
  <c r="K28" i="9"/>
  <c r="E28" i="9"/>
  <c r="F28" i="9" s="1"/>
  <c r="W27" i="9"/>
  <c r="Q27" i="9"/>
  <c r="K27" i="9"/>
  <c r="E27" i="9"/>
  <c r="J27" i="9" s="1"/>
  <c r="W26" i="9"/>
  <c r="Q26" i="9"/>
  <c r="R26" i="9" s="1"/>
  <c r="K26" i="9"/>
  <c r="E26" i="9"/>
  <c r="W25" i="9"/>
  <c r="Q25" i="9"/>
  <c r="V25" i="9" s="1"/>
  <c r="K25" i="9"/>
  <c r="E25" i="9"/>
  <c r="W24" i="9"/>
  <c r="Q24" i="9"/>
  <c r="R24" i="9" s="1"/>
  <c r="K24" i="9"/>
  <c r="E24" i="9"/>
  <c r="F24" i="9" s="1"/>
  <c r="W23" i="9"/>
  <c r="Q23" i="9"/>
  <c r="R23" i="9" s="1"/>
  <c r="K23" i="9"/>
  <c r="E23" i="9"/>
  <c r="W22" i="9"/>
  <c r="Q22" i="9"/>
  <c r="R22" i="9" s="1"/>
  <c r="K22" i="9"/>
  <c r="E22" i="9"/>
  <c r="W21" i="9"/>
  <c r="Q21" i="9"/>
  <c r="V21" i="9" s="1"/>
  <c r="K21" i="9"/>
  <c r="E21" i="9"/>
  <c r="J21" i="9" s="1"/>
  <c r="W20" i="9"/>
  <c r="Q20" i="9"/>
  <c r="V20" i="9" s="1"/>
  <c r="K20" i="9"/>
  <c r="E20" i="9"/>
  <c r="W19" i="9"/>
  <c r="Q19" i="9"/>
  <c r="R19" i="9" s="1"/>
  <c r="K19" i="9"/>
  <c r="E19" i="9"/>
  <c r="W18" i="9"/>
  <c r="Q18" i="9"/>
  <c r="R18" i="9" s="1"/>
  <c r="K18" i="9"/>
  <c r="E18" i="9"/>
  <c r="F18" i="9" s="1"/>
  <c r="W17" i="9"/>
  <c r="Q17" i="9"/>
  <c r="R17" i="9" s="1"/>
  <c r="K17" i="9"/>
  <c r="E17" i="9"/>
  <c r="W16" i="9"/>
  <c r="Q16" i="9"/>
  <c r="R16" i="9" s="1"/>
  <c r="K16" i="9"/>
  <c r="E16" i="9"/>
  <c r="J16" i="9" s="1"/>
  <c r="Q15" i="9"/>
  <c r="R15" i="9" s="1"/>
  <c r="K15" i="9"/>
  <c r="E15" i="9"/>
  <c r="J15" i="9" s="1"/>
  <c r="Q14" i="9"/>
  <c r="R14" i="9" s="1"/>
  <c r="K14" i="9"/>
  <c r="E14" i="9"/>
  <c r="F14" i="9" s="1"/>
  <c r="Q13" i="9"/>
  <c r="R13" i="9" s="1"/>
  <c r="K13" i="9"/>
  <c r="E13" i="9"/>
  <c r="F13" i="9" s="1"/>
  <c r="Q12" i="9"/>
  <c r="R12" i="9" s="1"/>
  <c r="K12" i="9"/>
  <c r="E12" i="9"/>
  <c r="J12" i="9" s="1"/>
  <c r="Q11" i="9"/>
  <c r="R11" i="9" s="1"/>
  <c r="K11" i="9"/>
  <c r="E11" i="9"/>
  <c r="Q10" i="9"/>
  <c r="R10" i="9" s="1"/>
  <c r="K10" i="9"/>
  <c r="E10" i="9"/>
  <c r="K9" i="9"/>
  <c r="E9" i="9"/>
  <c r="J9" i="9" s="1"/>
  <c r="K8" i="9"/>
  <c r="E8" i="9"/>
  <c r="K7" i="9"/>
  <c r="E7" i="9"/>
  <c r="F7" i="9" s="1"/>
  <c r="T6" i="9"/>
  <c r="K6" i="9"/>
  <c r="E6" i="9"/>
  <c r="F6" i="9" s="1"/>
  <c r="K5" i="9"/>
  <c r="E5" i="9"/>
  <c r="J5" i="9" s="1"/>
  <c r="K4" i="9"/>
  <c r="L2" i="9" s="1"/>
  <c r="G3" i="13" s="1"/>
  <c r="E4" i="9"/>
  <c r="J4" i="9" s="1"/>
  <c r="K3" i="9"/>
  <c r="E3" i="9"/>
  <c r="G2" i="9"/>
  <c r="G5" i="13" s="1"/>
  <c r="D2" i="9"/>
  <c r="O120" i="8"/>
  <c r="O119" i="8"/>
  <c r="O118" i="8"/>
  <c r="O117" i="8"/>
  <c r="O116" i="8"/>
  <c r="O110" i="8"/>
  <c r="O105" i="8"/>
  <c r="O104" i="8"/>
  <c r="O92" i="8"/>
  <c r="O91" i="8"/>
  <c r="O90" i="8"/>
  <c r="O89" i="8"/>
  <c r="O88" i="8"/>
  <c r="O87" i="8"/>
  <c r="O86" i="8"/>
  <c r="O85" i="8"/>
  <c r="O77" i="8"/>
  <c r="O76" i="8"/>
  <c r="O75" i="8"/>
  <c r="O74" i="8"/>
  <c r="O73" i="8"/>
  <c r="W61" i="8"/>
  <c r="Q61" i="8"/>
  <c r="W60" i="8"/>
  <c r="Q60" i="8"/>
  <c r="R60" i="8" s="1"/>
  <c r="W59" i="8"/>
  <c r="Q59" i="8"/>
  <c r="R59" i="8" s="1"/>
  <c r="W58" i="8"/>
  <c r="Q58" i="8"/>
  <c r="R58" i="8" s="1"/>
  <c r="W57" i="8"/>
  <c r="Q57" i="8"/>
  <c r="R57" i="8" s="1"/>
  <c r="W56" i="8"/>
  <c r="Q56" i="8"/>
  <c r="R56" i="8" s="1"/>
  <c r="W55" i="8"/>
  <c r="Q55" i="8"/>
  <c r="R55" i="8" s="1"/>
  <c r="W54" i="8"/>
  <c r="Q54" i="8"/>
  <c r="R54" i="8" s="1"/>
  <c r="W53" i="8"/>
  <c r="Q53" i="8"/>
  <c r="W52" i="8"/>
  <c r="Q52" i="8"/>
  <c r="W51" i="8"/>
  <c r="Q51" i="8"/>
  <c r="V51" i="8" s="1"/>
  <c r="W50" i="8"/>
  <c r="Q50" i="8"/>
  <c r="R50" i="8" s="1"/>
  <c r="W49" i="8"/>
  <c r="Q49" i="8"/>
  <c r="V49" i="8" s="1"/>
  <c r="W48" i="8"/>
  <c r="Q48" i="8"/>
  <c r="W47" i="8"/>
  <c r="Q47" i="8"/>
  <c r="R47" i="8" s="1"/>
  <c r="W46" i="8"/>
  <c r="Q46" i="8"/>
  <c r="W45" i="8"/>
  <c r="Q45" i="8"/>
  <c r="V45" i="8" s="1"/>
  <c r="W44" i="8"/>
  <c r="Q44" i="8"/>
  <c r="V44" i="8" s="1"/>
  <c r="W43" i="8"/>
  <c r="Q43" i="8"/>
  <c r="R43" i="8" s="1"/>
  <c r="W42" i="8"/>
  <c r="Q42" i="8"/>
  <c r="W41" i="8"/>
  <c r="Q41" i="8"/>
  <c r="V41" i="8" s="1"/>
  <c r="W40" i="8"/>
  <c r="Q40" i="8"/>
  <c r="W39" i="8"/>
  <c r="Q39" i="8"/>
  <c r="R39" i="8" s="1"/>
  <c r="W38" i="8"/>
  <c r="Q38" i="8"/>
  <c r="R38" i="8" s="1"/>
  <c r="W37" i="8"/>
  <c r="Q37" i="8"/>
  <c r="R37" i="8" s="1"/>
  <c r="W36" i="8"/>
  <c r="Q36" i="8"/>
  <c r="V36" i="8" s="1"/>
  <c r="W35" i="8"/>
  <c r="Q35" i="8"/>
  <c r="R35" i="8" s="1"/>
  <c r="W34" i="8"/>
  <c r="Q34" i="8"/>
  <c r="R34" i="8" s="1"/>
  <c r="W33" i="8"/>
  <c r="Q33" i="8"/>
  <c r="R33" i="8" s="1"/>
  <c r="W32" i="8"/>
  <c r="Q32" i="8"/>
  <c r="W31" i="8"/>
  <c r="Q31" i="8"/>
  <c r="R31" i="8" s="1"/>
  <c r="W30" i="8"/>
  <c r="Q30" i="8"/>
  <c r="V30" i="8" s="1"/>
  <c r="W29" i="8"/>
  <c r="Q29" i="8"/>
  <c r="R29" i="8" s="1"/>
  <c r="K29" i="8"/>
  <c r="E29" i="8"/>
  <c r="J29" i="8" s="1"/>
  <c r="W28" i="8"/>
  <c r="Q28" i="8"/>
  <c r="K28" i="8"/>
  <c r="E28" i="8"/>
  <c r="J28" i="8" s="1"/>
  <c r="V27" i="8"/>
  <c r="P27" i="8"/>
  <c r="U27" i="8" s="1"/>
  <c r="K27" i="8"/>
  <c r="E27" i="8"/>
  <c r="Q26" i="8"/>
  <c r="R26" i="8" s="1"/>
  <c r="K26" i="8"/>
  <c r="E26" i="8"/>
  <c r="J26" i="8" s="1"/>
  <c r="Q25" i="8"/>
  <c r="R25" i="8" s="1"/>
  <c r="K25" i="8"/>
  <c r="E25" i="8"/>
  <c r="F25" i="8" s="1"/>
  <c r="Q24" i="8"/>
  <c r="R24" i="8" s="1"/>
  <c r="K24" i="8"/>
  <c r="E24" i="8"/>
  <c r="F24" i="8" s="1"/>
  <c r="K23" i="8"/>
  <c r="E23" i="8"/>
  <c r="Q22" i="8"/>
  <c r="R22" i="8" s="1"/>
  <c r="K22" i="8"/>
  <c r="E22" i="8"/>
  <c r="F22" i="8" s="1"/>
  <c r="Q21" i="8"/>
  <c r="R21" i="8" s="1"/>
  <c r="K21" i="8"/>
  <c r="E21" i="8"/>
  <c r="F21" i="8" s="1"/>
  <c r="Q20" i="8"/>
  <c r="R20" i="8" s="1"/>
  <c r="K20" i="8"/>
  <c r="E20" i="8"/>
  <c r="J20" i="8" s="1"/>
  <c r="Q19" i="8"/>
  <c r="R19" i="8" s="1"/>
  <c r="K19" i="8"/>
  <c r="E19" i="8"/>
  <c r="F19" i="8" s="1"/>
  <c r="Q18" i="8"/>
  <c r="R18" i="8" s="1"/>
  <c r="K18" i="8"/>
  <c r="E18" i="8"/>
  <c r="F18" i="8" s="1"/>
  <c r="Q17" i="8"/>
  <c r="R17" i="8" s="1"/>
  <c r="K17" i="8"/>
  <c r="E17" i="8"/>
  <c r="J17" i="8" s="1"/>
  <c r="Q16" i="8"/>
  <c r="R16" i="8" s="1"/>
  <c r="K16" i="8"/>
  <c r="E16" i="8"/>
  <c r="J16" i="8" s="1"/>
  <c r="Q15" i="8"/>
  <c r="R15" i="8" s="1"/>
  <c r="K15" i="8"/>
  <c r="E15" i="8"/>
  <c r="J15" i="8" s="1"/>
  <c r="Q14" i="8"/>
  <c r="R14" i="8" s="1"/>
  <c r="K14" i="8"/>
  <c r="E14" i="8"/>
  <c r="F14" i="8" s="1"/>
  <c r="Q13" i="8"/>
  <c r="R13" i="8" s="1"/>
  <c r="K12" i="8"/>
  <c r="E12" i="8"/>
  <c r="J12" i="8" s="1"/>
  <c r="Q11" i="8"/>
  <c r="R11" i="8" s="1"/>
  <c r="K11" i="8"/>
  <c r="E11" i="8"/>
  <c r="J11" i="8" s="1"/>
  <c r="K10" i="8"/>
  <c r="E10" i="8"/>
  <c r="J10" i="8" s="1"/>
  <c r="K9" i="8"/>
  <c r="E9" i="8"/>
  <c r="F9" i="8" s="1"/>
  <c r="K8" i="8"/>
  <c r="E8" i="8"/>
  <c r="J8" i="8" s="1"/>
  <c r="K7" i="8"/>
  <c r="E7" i="8"/>
  <c r="T6" i="8"/>
  <c r="K6" i="8"/>
  <c r="E6" i="8"/>
  <c r="F6" i="8" s="1"/>
  <c r="K5" i="8"/>
  <c r="E5" i="8"/>
  <c r="K4" i="8"/>
  <c r="E4" i="8"/>
  <c r="J4" i="8" s="1"/>
  <c r="L2" i="8"/>
  <c r="F3" i="13" s="1"/>
  <c r="G2" i="8"/>
  <c r="F5" i="13" s="1"/>
  <c r="D2" i="8"/>
  <c r="AA242" i="7"/>
  <c r="Z242" i="7"/>
  <c r="X242" i="7"/>
  <c r="AA241" i="7"/>
  <c r="Z241" i="7"/>
  <c r="X241" i="7"/>
  <c r="AA240" i="7"/>
  <c r="Z240" i="7"/>
  <c r="X240" i="7"/>
  <c r="AA239" i="7"/>
  <c r="Z239" i="7"/>
  <c r="X239" i="7"/>
  <c r="AA238" i="7"/>
  <c r="Z238" i="7"/>
  <c r="X238" i="7"/>
  <c r="AA237" i="7"/>
  <c r="Z237" i="7"/>
  <c r="X237" i="7"/>
  <c r="AA236" i="7"/>
  <c r="Z236" i="7"/>
  <c r="X236" i="7"/>
  <c r="AA235" i="7"/>
  <c r="Z235" i="7"/>
  <c r="X235" i="7"/>
  <c r="AA234" i="7"/>
  <c r="Z234" i="7"/>
  <c r="X234" i="7"/>
  <c r="AA232" i="7"/>
  <c r="Z232" i="7"/>
  <c r="X232" i="7"/>
  <c r="AA231" i="7"/>
  <c r="Z231" i="7"/>
  <c r="X231" i="7"/>
  <c r="AA230" i="7"/>
  <c r="Z230" i="7"/>
  <c r="X230" i="7"/>
  <c r="AA229" i="7"/>
  <c r="Z229" i="7"/>
  <c r="X229" i="7"/>
  <c r="AA228" i="7"/>
  <c r="Z228" i="7"/>
  <c r="X228" i="7"/>
  <c r="AA227" i="7"/>
  <c r="Z227" i="7"/>
  <c r="X227" i="7"/>
  <c r="AA226" i="7"/>
  <c r="Z226" i="7"/>
  <c r="X226" i="7"/>
  <c r="AA225" i="7"/>
  <c r="Z225" i="7"/>
  <c r="X225" i="7"/>
  <c r="AA224" i="7"/>
  <c r="Z224" i="7"/>
  <c r="X224" i="7"/>
  <c r="AA223" i="7"/>
  <c r="Z223" i="7"/>
  <c r="X223" i="7"/>
  <c r="AA222" i="7"/>
  <c r="Z222" i="7"/>
  <c r="X222" i="7"/>
  <c r="AA221" i="7"/>
  <c r="Z221" i="7"/>
  <c r="X221" i="7"/>
  <c r="AA220" i="7"/>
  <c r="Z220" i="7"/>
  <c r="X220" i="7"/>
  <c r="AA219" i="7"/>
  <c r="Z219" i="7"/>
  <c r="X219" i="7"/>
  <c r="AA218" i="7"/>
  <c r="Z218" i="7"/>
  <c r="X218" i="7"/>
  <c r="AA217" i="7"/>
  <c r="Z217" i="7"/>
  <c r="X217" i="7"/>
  <c r="AA216" i="7"/>
  <c r="Z216" i="7"/>
  <c r="X216" i="7"/>
  <c r="AA215" i="7"/>
  <c r="Z215" i="7"/>
  <c r="X215" i="7"/>
  <c r="AA214" i="7"/>
  <c r="Z214" i="7"/>
  <c r="X214" i="7"/>
  <c r="AA213" i="7"/>
  <c r="Z213" i="7"/>
  <c r="X213" i="7"/>
  <c r="AA212" i="7"/>
  <c r="Z212" i="7"/>
  <c r="X212" i="7"/>
  <c r="AA211" i="7"/>
  <c r="Z211" i="7"/>
  <c r="X211" i="7"/>
  <c r="AA210" i="7"/>
  <c r="Z210" i="7"/>
  <c r="X210" i="7"/>
  <c r="AA209" i="7"/>
  <c r="Z209" i="7"/>
  <c r="X209" i="7"/>
  <c r="AA208" i="7"/>
  <c r="Z208" i="7"/>
  <c r="X208" i="7"/>
  <c r="AA207" i="7"/>
  <c r="Z207" i="7"/>
  <c r="X207" i="7"/>
  <c r="AA206" i="7"/>
  <c r="Z206" i="7"/>
  <c r="X206" i="7"/>
  <c r="AA205" i="7"/>
  <c r="Z205" i="7"/>
  <c r="X205" i="7"/>
  <c r="AA204" i="7"/>
  <c r="Z204" i="7"/>
  <c r="X204" i="7"/>
  <c r="AA203" i="7"/>
  <c r="Z203" i="7"/>
  <c r="X203" i="7"/>
  <c r="AA202" i="7"/>
  <c r="Z202" i="7"/>
  <c r="X202" i="7"/>
  <c r="AA201" i="7"/>
  <c r="Z201" i="7"/>
  <c r="X201" i="7"/>
  <c r="AA200" i="7"/>
  <c r="Z200" i="7"/>
  <c r="X200" i="7"/>
  <c r="AA199" i="7"/>
  <c r="Z199" i="7"/>
  <c r="X199" i="7"/>
  <c r="AA198" i="7"/>
  <c r="Z198" i="7"/>
  <c r="X198" i="7"/>
  <c r="AA197" i="7"/>
  <c r="Z197" i="7"/>
  <c r="X197" i="7"/>
  <c r="AA196" i="7"/>
  <c r="Z196" i="7"/>
  <c r="X196" i="7"/>
  <c r="AA195" i="7"/>
  <c r="Z195" i="7"/>
  <c r="X195" i="7"/>
  <c r="AA194" i="7"/>
  <c r="Z194" i="7"/>
  <c r="X194" i="7"/>
  <c r="AA193" i="7"/>
  <c r="Z193" i="7"/>
  <c r="X193" i="7"/>
  <c r="AA192" i="7"/>
  <c r="Z192" i="7"/>
  <c r="X192" i="7"/>
  <c r="AA191" i="7"/>
  <c r="Z191" i="7"/>
  <c r="X191" i="7"/>
  <c r="AA190" i="7"/>
  <c r="Z190" i="7"/>
  <c r="X190" i="7"/>
  <c r="AA189" i="7"/>
  <c r="Z189" i="7"/>
  <c r="X189" i="7"/>
  <c r="AA188" i="7"/>
  <c r="Z188" i="7"/>
  <c r="X188" i="7"/>
  <c r="AA187" i="7"/>
  <c r="Z187" i="7"/>
  <c r="X187" i="7"/>
  <c r="AA186" i="7"/>
  <c r="Z186" i="7"/>
  <c r="X186" i="7"/>
  <c r="AA185" i="7"/>
  <c r="Z185" i="7"/>
  <c r="X185" i="7"/>
  <c r="AA184" i="7"/>
  <c r="Z184" i="7"/>
  <c r="X184" i="7"/>
  <c r="AA183" i="7"/>
  <c r="Z183" i="7"/>
  <c r="X183" i="7"/>
  <c r="AA182" i="7"/>
  <c r="Z182" i="7"/>
  <c r="X182" i="7"/>
  <c r="AA181" i="7"/>
  <c r="Z181" i="7"/>
  <c r="X181" i="7"/>
  <c r="AA180" i="7"/>
  <c r="Z180" i="7"/>
  <c r="X180" i="7"/>
  <c r="AA179" i="7"/>
  <c r="Z179" i="7"/>
  <c r="X179" i="7"/>
  <c r="AA178" i="7"/>
  <c r="Z178" i="7"/>
  <c r="X178" i="7"/>
  <c r="AA177" i="7"/>
  <c r="Z177" i="7"/>
  <c r="X177" i="7"/>
  <c r="AA176" i="7"/>
  <c r="Z176" i="7"/>
  <c r="X176" i="7"/>
  <c r="AA175" i="7"/>
  <c r="Z175" i="7"/>
  <c r="X175" i="7"/>
  <c r="AA174" i="7"/>
  <c r="Z174" i="7"/>
  <c r="X174" i="7"/>
  <c r="AA173" i="7"/>
  <c r="Z173" i="7"/>
  <c r="X173" i="7"/>
  <c r="AA172" i="7"/>
  <c r="Z172" i="7"/>
  <c r="X172" i="7"/>
  <c r="AA171" i="7"/>
  <c r="Z171" i="7"/>
  <c r="X171" i="7"/>
  <c r="V170" i="7"/>
  <c r="U170" i="7"/>
  <c r="AA170" i="7" s="1"/>
  <c r="AA169" i="7"/>
  <c r="Z169" i="7"/>
  <c r="X169" i="7"/>
  <c r="AA168" i="7"/>
  <c r="Z168" i="7"/>
  <c r="X168" i="7"/>
  <c r="AA167" i="7"/>
  <c r="Z167" i="7"/>
  <c r="X167" i="7"/>
  <c r="AA166" i="7"/>
  <c r="Z166" i="7"/>
  <c r="X166" i="7"/>
  <c r="AA165" i="7"/>
  <c r="Z165" i="7"/>
  <c r="X165" i="7"/>
  <c r="AA164" i="7"/>
  <c r="Z164" i="7"/>
  <c r="X164" i="7"/>
  <c r="AA162" i="7"/>
  <c r="Z162" i="7"/>
  <c r="X162" i="7"/>
  <c r="AA161" i="7"/>
  <c r="Z161" i="7"/>
  <c r="X161" i="7"/>
  <c r="AA160" i="7"/>
  <c r="Z160" i="7"/>
  <c r="X160" i="7"/>
  <c r="AA159" i="7"/>
  <c r="Z159" i="7"/>
  <c r="X159" i="7"/>
  <c r="AA158" i="7"/>
  <c r="Z158" i="7"/>
  <c r="X158" i="7"/>
  <c r="U157" i="7"/>
  <c r="AA156" i="7"/>
  <c r="Z156" i="7"/>
  <c r="X156" i="7"/>
  <c r="AA155" i="7"/>
  <c r="Z155" i="7"/>
  <c r="X155" i="7"/>
  <c r="AA154" i="7"/>
  <c r="Z154" i="7"/>
  <c r="X154" i="7"/>
  <c r="AA153" i="7"/>
  <c r="Z153" i="7"/>
  <c r="X153" i="7"/>
  <c r="AA152" i="7"/>
  <c r="Z152" i="7"/>
  <c r="X152" i="7"/>
  <c r="AA151" i="7"/>
  <c r="Z151" i="7"/>
  <c r="X151" i="7"/>
  <c r="AA150" i="7"/>
  <c r="Z150" i="7"/>
  <c r="X150" i="7"/>
  <c r="V150" i="7"/>
  <c r="U150" i="7"/>
  <c r="AA149" i="7"/>
  <c r="Z149" i="7"/>
  <c r="X149" i="7"/>
  <c r="AA148" i="7"/>
  <c r="Z148" i="7"/>
  <c r="X148" i="7"/>
  <c r="AA147" i="7"/>
  <c r="Z147" i="7"/>
  <c r="X147" i="7"/>
  <c r="AA146" i="7"/>
  <c r="Z146" i="7"/>
  <c r="X146" i="7"/>
  <c r="AA145" i="7"/>
  <c r="Z145" i="7"/>
  <c r="X145" i="7"/>
  <c r="AA143" i="7"/>
  <c r="Z143" i="7"/>
  <c r="X143" i="7"/>
  <c r="AA142" i="7"/>
  <c r="Z142" i="7"/>
  <c r="X142" i="7"/>
  <c r="AA141" i="7"/>
  <c r="Z141" i="7"/>
  <c r="X141" i="7"/>
  <c r="AA140" i="7"/>
  <c r="Z140" i="7"/>
  <c r="X140" i="7"/>
  <c r="AA139" i="7"/>
  <c r="Z139" i="7"/>
  <c r="X139" i="7"/>
  <c r="AA138" i="7"/>
  <c r="Z138" i="7"/>
  <c r="X138" i="7"/>
  <c r="AA137" i="7"/>
  <c r="Z137" i="7"/>
  <c r="X137" i="7"/>
  <c r="AA136" i="7"/>
  <c r="Z136" i="7"/>
  <c r="X136" i="7"/>
  <c r="AA135" i="7"/>
  <c r="Z135" i="7"/>
  <c r="X135" i="7"/>
  <c r="AA134" i="7"/>
  <c r="Z134" i="7"/>
  <c r="X134" i="7"/>
  <c r="AA133" i="7"/>
  <c r="Z133" i="7"/>
  <c r="X133" i="7"/>
  <c r="AA132" i="7"/>
  <c r="Z132" i="7"/>
  <c r="X132" i="7"/>
  <c r="AA131" i="7"/>
  <c r="Z131" i="7"/>
  <c r="X131" i="7"/>
  <c r="AA130" i="7"/>
  <c r="Z130" i="7"/>
  <c r="X130" i="7"/>
  <c r="AA129" i="7"/>
  <c r="Z129" i="7"/>
  <c r="X129" i="7"/>
  <c r="AA128" i="7"/>
  <c r="Z128" i="7"/>
  <c r="X128" i="7"/>
  <c r="N21" i="7" s="1"/>
  <c r="P21" i="7" s="1"/>
  <c r="AA127" i="7"/>
  <c r="Z127" i="7"/>
  <c r="X127" i="7"/>
  <c r="AA125" i="7"/>
  <c r="Z125" i="7"/>
  <c r="X125" i="7"/>
  <c r="AA124" i="7"/>
  <c r="Z124" i="7"/>
  <c r="X124" i="7"/>
  <c r="AA123" i="7"/>
  <c r="Z123" i="7"/>
  <c r="X123" i="7"/>
  <c r="AA122" i="7"/>
  <c r="Z122" i="7"/>
  <c r="X122" i="7"/>
  <c r="V121" i="7"/>
  <c r="U121" i="7"/>
  <c r="AA120" i="7"/>
  <c r="Z120" i="7"/>
  <c r="X120" i="7"/>
  <c r="AA119" i="7"/>
  <c r="Z119" i="7"/>
  <c r="X119" i="7"/>
  <c r="AA118" i="7"/>
  <c r="Z118" i="7"/>
  <c r="X118" i="7"/>
  <c r="AA116" i="7"/>
  <c r="Z116" i="7"/>
  <c r="X116" i="7"/>
  <c r="AA115" i="7"/>
  <c r="Z115" i="7"/>
  <c r="X115" i="7"/>
  <c r="AA114" i="7"/>
  <c r="Z114" i="7"/>
  <c r="X114" i="7"/>
  <c r="AA113" i="7"/>
  <c r="Z113" i="7"/>
  <c r="X113" i="7"/>
  <c r="AA112" i="7"/>
  <c r="Z112" i="7"/>
  <c r="X112" i="7"/>
  <c r="AA111" i="7"/>
  <c r="Z111" i="7"/>
  <c r="X111" i="7"/>
  <c r="AA110" i="7"/>
  <c r="Z110" i="7"/>
  <c r="X110" i="7"/>
  <c r="AA109" i="7"/>
  <c r="Z109" i="7"/>
  <c r="X109" i="7"/>
  <c r="AA108" i="7"/>
  <c r="Z108" i="7"/>
  <c r="X108" i="7"/>
  <c r="AA107" i="7"/>
  <c r="Z107" i="7"/>
  <c r="X107" i="7"/>
  <c r="AA106" i="7"/>
  <c r="Z106" i="7"/>
  <c r="X106" i="7"/>
  <c r="AA105" i="7"/>
  <c r="Z105" i="7"/>
  <c r="X105" i="7"/>
  <c r="AA104" i="7"/>
  <c r="Z104" i="7"/>
  <c r="X104" i="7"/>
  <c r="AA103" i="7"/>
  <c r="Z103" i="7"/>
  <c r="X103" i="7"/>
  <c r="AA102" i="7"/>
  <c r="Z102" i="7"/>
  <c r="X102" i="7"/>
  <c r="AA101" i="7"/>
  <c r="Z101" i="7"/>
  <c r="X101" i="7"/>
  <c r="AA100" i="7"/>
  <c r="Z100" i="7"/>
  <c r="X100" i="7"/>
  <c r="AA99" i="7"/>
  <c r="Z99" i="7"/>
  <c r="X99" i="7"/>
  <c r="AA98" i="7"/>
  <c r="Z98" i="7"/>
  <c r="X98" i="7"/>
  <c r="AA97" i="7"/>
  <c r="Z97" i="7"/>
  <c r="X97" i="7"/>
  <c r="N17" i="7" s="1"/>
  <c r="P17" i="7" s="1"/>
  <c r="AA95" i="7"/>
  <c r="Z95" i="7"/>
  <c r="X95" i="7"/>
  <c r="AA94" i="7"/>
  <c r="Z94" i="7"/>
  <c r="X94" i="7"/>
  <c r="AA93" i="7"/>
  <c r="Z93" i="7"/>
  <c r="X93" i="7"/>
  <c r="AA92" i="7"/>
  <c r="Z92" i="7"/>
  <c r="X92" i="7"/>
  <c r="AA91" i="7"/>
  <c r="X91" i="7"/>
  <c r="AA89" i="7"/>
  <c r="Z89" i="7"/>
  <c r="X89" i="7"/>
  <c r="AA88" i="7"/>
  <c r="Z88" i="7"/>
  <c r="X88" i="7"/>
  <c r="AA87" i="7"/>
  <c r="Z87" i="7"/>
  <c r="X87" i="7"/>
  <c r="AA85" i="7"/>
  <c r="Z85" i="7"/>
  <c r="X85" i="7"/>
  <c r="AA84" i="7"/>
  <c r="Z84" i="7"/>
  <c r="X84" i="7"/>
  <c r="AA83" i="7"/>
  <c r="Z83" i="7"/>
  <c r="X83" i="7"/>
  <c r="AA82" i="7"/>
  <c r="Z82" i="7"/>
  <c r="X82" i="7"/>
  <c r="AA81" i="7"/>
  <c r="Z81" i="7"/>
  <c r="X81" i="7"/>
  <c r="AA80" i="7"/>
  <c r="Z80" i="7"/>
  <c r="X80" i="7"/>
  <c r="AA79" i="7"/>
  <c r="Z79" i="7"/>
  <c r="X79" i="7"/>
  <c r="AA78" i="7"/>
  <c r="Z78" i="7"/>
  <c r="X78" i="7"/>
  <c r="AA77" i="7"/>
  <c r="Z77" i="7"/>
  <c r="X77" i="7"/>
  <c r="AA76" i="7"/>
  <c r="Z76" i="7"/>
  <c r="X76" i="7"/>
  <c r="AA75" i="7"/>
  <c r="Z75" i="7"/>
  <c r="X75" i="7"/>
  <c r="AA74" i="7"/>
  <c r="Z74" i="7"/>
  <c r="X74" i="7"/>
  <c r="AA73" i="7"/>
  <c r="Z73" i="7"/>
  <c r="X73" i="7"/>
  <c r="AA72" i="7"/>
  <c r="Z72" i="7"/>
  <c r="X72" i="7"/>
  <c r="AA71" i="7"/>
  <c r="Z71" i="7"/>
  <c r="X71" i="7"/>
  <c r="AA70" i="7"/>
  <c r="Z70" i="7"/>
  <c r="X70" i="7"/>
  <c r="AA69" i="7"/>
  <c r="Z69" i="7"/>
  <c r="X69" i="7"/>
  <c r="AA68" i="7"/>
  <c r="Z68" i="7"/>
  <c r="X68" i="7"/>
  <c r="AA67" i="7"/>
  <c r="Z67" i="7"/>
  <c r="X67" i="7"/>
  <c r="AA66" i="7"/>
  <c r="Z66" i="7"/>
  <c r="X66" i="7"/>
  <c r="AA64" i="7"/>
  <c r="Z64" i="7"/>
  <c r="X64" i="7"/>
  <c r="AA63" i="7"/>
  <c r="Z63" i="7"/>
  <c r="X63" i="7"/>
  <c r="AA62" i="7"/>
  <c r="Z62" i="7"/>
  <c r="X62" i="7"/>
  <c r="AA60" i="7"/>
  <c r="Z60" i="7"/>
  <c r="X60" i="7"/>
  <c r="AA59" i="7"/>
  <c r="Z59" i="7"/>
  <c r="X59" i="7"/>
  <c r="AA57" i="7"/>
  <c r="Z57" i="7"/>
  <c r="X57" i="7"/>
  <c r="AA56" i="7"/>
  <c r="Z56" i="7"/>
  <c r="X56" i="7"/>
  <c r="AA55" i="7"/>
  <c r="Z55" i="7"/>
  <c r="X55" i="7"/>
  <c r="AA54" i="7"/>
  <c r="Z54" i="7"/>
  <c r="X54" i="7"/>
  <c r="AA53" i="7"/>
  <c r="Z53" i="7"/>
  <c r="X53" i="7"/>
  <c r="L53" i="7"/>
  <c r="F53" i="7"/>
  <c r="G53" i="7" s="1"/>
  <c r="AA52" i="7"/>
  <c r="Z52" i="7"/>
  <c r="X52" i="7"/>
  <c r="L52" i="7"/>
  <c r="F52" i="7"/>
  <c r="AA51" i="7"/>
  <c r="Z51" i="7"/>
  <c r="X51" i="7"/>
  <c r="L51" i="7"/>
  <c r="F51" i="7"/>
  <c r="G51" i="7" s="1"/>
  <c r="AA50" i="7"/>
  <c r="Z50" i="7"/>
  <c r="X50" i="7"/>
  <c r="L50" i="7"/>
  <c r="F50" i="7"/>
  <c r="G50" i="7" s="1"/>
  <c r="AA49" i="7"/>
  <c r="Z49" i="7"/>
  <c r="X49" i="7"/>
  <c r="L49" i="7"/>
  <c r="F49" i="7"/>
  <c r="K49" i="7" s="1"/>
  <c r="AA48" i="7"/>
  <c r="Z48" i="7"/>
  <c r="X48" i="7"/>
  <c r="L48" i="7"/>
  <c r="F48" i="7"/>
  <c r="K48" i="7" s="1"/>
  <c r="AA47" i="7"/>
  <c r="Z47" i="7"/>
  <c r="X47" i="7"/>
  <c r="L47" i="7"/>
  <c r="F47" i="7"/>
  <c r="K47" i="7" s="1"/>
  <c r="AA46" i="7"/>
  <c r="Z46" i="7"/>
  <c r="X46" i="7"/>
  <c r="L46" i="7"/>
  <c r="F46" i="7"/>
  <c r="K46" i="7" s="1"/>
  <c r="AA45" i="7"/>
  <c r="Z45" i="7"/>
  <c r="X45" i="7"/>
  <c r="L45" i="7"/>
  <c r="F45" i="7"/>
  <c r="K45" i="7" s="1"/>
  <c r="AA44" i="7"/>
  <c r="Z44" i="7"/>
  <c r="X44" i="7"/>
  <c r="L44" i="7"/>
  <c r="F44" i="7"/>
  <c r="K44" i="7" s="1"/>
  <c r="AA43" i="7"/>
  <c r="Z43" i="7"/>
  <c r="X43" i="7"/>
  <c r="L43" i="7"/>
  <c r="F43" i="7"/>
  <c r="K43" i="7" s="1"/>
  <c r="AA42" i="7"/>
  <c r="Z42" i="7"/>
  <c r="X42" i="7"/>
  <c r="L42" i="7"/>
  <c r="F42" i="7"/>
  <c r="AA41" i="7"/>
  <c r="Z41" i="7"/>
  <c r="X41" i="7"/>
  <c r="L41" i="7"/>
  <c r="F41" i="7"/>
  <c r="K41" i="7" s="1"/>
  <c r="L40" i="7"/>
  <c r="F40" i="7"/>
  <c r="K40" i="7" s="1"/>
  <c r="AA39" i="7"/>
  <c r="Z39" i="7"/>
  <c r="X39" i="7"/>
  <c r="L39" i="7"/>
  <c r="F39" i="7"/>
  <c r="K39" i="7" s="1"/>
  <c r="AA38" i="7"/>
  <c r="Z38" i="7"/>
  <c r="X38" i="7"/>
  <c r="L38" i="7"/>
  <c r="F38" i="7"/>
  <c r="K38" i="7" s="1"/>
  <c r="AA37" i="7"/>
  <c r="Z37" i="7"/>
  <c r="X37" i="7"/>
  <c r="L37" i="7"/>
  <c r="F37" i="7"/>
  <c r="K37" i="7" s="1"/>
  <c r="AA36" i="7"/>
  <c r="Z36" i="7"/>
  <c r="X36" i="7"/>
  <c r="L36" i="7"/>
  <c r="F36" i="7"/>
  <c r="K36" i="7" s="1"/>
  <c r="AA35" i="7"/>
  <c r="Z35" i="7"/>
  <c r="X35" i="7"/>
  <c r="L35" i="7"/>
  <c r="F35" i="7"/>
  <c r="K35" i="7" s="1"/>
  <c r="AA34" i="7"/>
  <c r="Z34" i="7"/>
  <c r="X34" i="7"/>
  <c r="L34" i="7"/>
  <c r="F34" i="7"/>
  <c r="G34" i="7" s="1"/>
  <c r="AA33" i="7"/>
  <c r="Z33" i="7"/>
  <c r="X33" i="7"/>
  <c r="L33" i="7"/>
  <c r="F33" i="7"/>
  <c r="AA32" i="7"/>
  <c r="Z32" i="7"/>
  <c r="X32" i="7"/>
  <c r="L32" i="7"/>
  <c r="F32" i="7"/>
  <c r="K32" i="7" s="1"/>
  <c r="AA31" i="7"/>
  <c r="Z31" i="7"/>
  <c r="X31" i="7"/>
  <c r="L31" i="7"/>
  <c r="F31" i="7"/>
  <c r="G31" i="7" s="1"/>
  <c r="AA30" i="7"/>
  <c r="Z30" i="7"/>
  <c r="X30" i="7"/>
  <c r="L30" i="7"/>
  <c r="F30" i="7"/>
  <c r="K30" i="7" s="1"/>
  <c r="AA29" i="7"/>
  <c r="Z29" i="7"/>
  <c r="X29" i="7"/>
  <c r="L29" i="7"/>
  <c r="F29" i="7"/>
  <c r="K29" i="7" s="1"/>
  <c r="AA28" i="7"/>
  <c r="Z28" i="7"/>
  <c r="X28" i="7"/>
  <c r="N11" i="7" s="1"/>
  <c r="P11" i="7" s="1"/>
  <c r="L28" i="7"/>
  <c r="F28" i="7"/>
  <c r="K28" i="7" s="1"/>
  <c r="AA27" i="7"/>
  <c r="Z27" i="7"/>
  <c r="X27" i="7"/>
  <c r="L27" i="7"/>
  <c r="F27" i="7"/>
  <c r="K27" i="7" s="1"/>
  <c r="L26" i="7"/>
  <c r="F26" i="7"/>
  <c r="K26" i="7" s="1"/>
  <c r="AA25" i="7"/>
  <c r="Z25" i="7"/>
  <c r="X25" i="7"/>
  <c r="L25" i="7"/>
  <c r="F25" i="7"/>
  <c r="K25" i="7" s="1"/>
  <c r="L24" i="7"/>
  <c r="F24" i="7"/>
  <c r="K24" i="7" s="1"/>
  <c r="AA23" i="7"/>
  <c r="Z23" i="7"/>
  <c r="X23" i="7"/>
  <c r="L23" i="7"/>
  <c r="F23" i="7"/>
  <c r="K23" i="7" s="1"/>
  <c r="AA22" i="7"/>
  <c r="Z22" i="7"/>
  <c r="X22" i="7"/>
  <c r="L22" i="7"/>
  <c r="F22" i="7"/>
  <c r="K22" i="7" s="1"/>
  <c r="AA21" i="7"/>
  <c r="Z21" i="7"/>
  <c r="X21" i="7"/>
  <c r="L21" i="7"/>
  <c r="F21" i="7"/>
  <c r="G21" i="7" s="1"/>
  <c r="AA20" i="7"/>
  <c r="Z20" i="7"/>
  <c r="X20" i="7"/>
  <c r="L20" i="7"/>
  <c r="F20" i="7"/>
  <c r="K20" i="7" s="1"/>
  <c r="AA19" i="7"/>
  <c r="Z19" i="7"/>
  <c r="X19" i="7"/>
  <c r="L19" i="7"/>
  <c r="F19" i="7"/>
  <c r="AA18" i="7"/>
  <c r="Z18" i="7"/>
  <c r="X18" i="7"/>
  <c r="L18" i="7"/>
  <c r="F18" i="7"/>
  <c r="K18" i="7" s="1"/>
  <c r="AA17" i="7"/>
  <c r="Z17" i="7"/>
  <c r="X17" i="7"/>
  <c r="L17" i="7"/>
  <c r="F17" i="7"/>
  <c r="G17" i="7" s="1"/>
  <c r="AA16" i="7"/>
  <c r="Z16" i="7"/>
  <c r="X16" i="7"/>
  <c r="L16" i="7"/>
  <c r="F16" i="7"/>
  <c r="K16" i="7" s="1"/>
  <c r="AA15" i="7"/>
  <c r="Z15" i="7"/>
  <c r="X15" i="7"/>
  <c r="L15" i="7"/>
  <c r="F15" i="7"/>
  <c r="K15" i="7" s="1"/>
  <c r="L14" i="7"/>
  <c r="F14" i="7"/>
  <c r="K14" i="7" s="1"/>
  <c r="AA13" i="7"/>
  <c r="Z13" i="7"/>
  <c r="X13" i="7"/>
  <c r="N13" i="7"/>
  <c r="P13" i="7" s="1"/>
  <c r="L13" i="7"/>
  <c r="F13" i="7"/>
  <c r="K13" i="7" s="1"/>
  <c r="AA12" i="7"/>
  <c r="Z12" i="7"/>
  <c r="X12" i="7"/>
  <c r="L12" i="7"/>
  <c r="F12" i="7"/>
  <c r="K12" i="7" s="1"/>
  <c r="AA11" i="7"/>
  <c r="Z11" i="7"/>
  <c r="X11" i="7"/>
  <c r="L11" i="7"/>
  <c r="F11" i="7"/>
  <c r="K11" i="7" s="1"/>
  <c r="AA10" i="7"/>
  <c r="Z10" i="7"/>
  <c r="X10" i="7"/>
  <c r="L10" i="7"/>
  <c r="F10" i="7"/>
  <c r="G10" i="7" s="1"/>
  <c r="AA9" i="7"/>
  <c r="Z9" i="7"/>
  <c r="X9" i="7"/>
  <c r="L9" i="7"/>
  <c r="F9" i="7"/>
  <c r="K9" i="7" s="1"/>
  <c r="AA8" i="7"/>
  <c r="Z8" i="7"/>
  <c r="X8" i="7"/>
  <c r="L8" i="7"/>
  <c r="F8" i="7"/>
  <c r="G8" i="7" s="1"/>
  <c r="AA7" i="7"/>
  <c r="Z7" i="7"/>
  <c r="X7" i="7"/>
  <c r="L7" i="7"/>
  <c r="F7" i="7"/>
  <c r="K7" i="7" s="1"/>
  <c r="AA6" i="7"/>
  <c r="Z6" i="7"/>
  <c r="X6" i="7"/>
  <c r="L6" i="7"/>
  <c r="F6" i="7"/>
  <c r="AA5" i="7"/>
  <c r="Z5" i="7"/>
  <c r="X5" i="7"/>
  <c r="Q5" i="7"/>
  <c r="L5" i="7"/>
  <c r="F5" i="7"/>
  <c r="AA4" i="7"/>
  <c r="Z4" i="7"/>
  <c r="X4" i="7"/>
  <c r="AA3" i="7"/>
  <c r="Z3" i="7"/>
  <c r="X3" i="7"/>
  <c r="H2" i="7"/>
  <c r="C5" i="13" s="1"/>
  <c r="C2" i="7"/>
  <c r="N3" i="6"/>
  <c r="N2" i="6" s="1"/>
  <c r="J2" i="6"/>
  <c r="H2" i="6"/>
  <c r="F2" i="6"/>
  <c r="N4" i="6" s="1"/>
  <c r="N1" i="6" s="1"/>
  <c r="C2" i="6"/>
  <c r="W75" i="5"/>
  <c r="X75" i="5" s="1"/>
  <c r="U75" i="5"/>
  <c r="Y75" i="5" s="1"/>
  <c r="X74" i="5"/>
  <c r="W74" i="5"/>
  <c r="U74" i="5"/>
  <c r="Y74" i="5" s="1"/>
  <c r="W73" i="5"/>
  <c r="X73" i="5" s="1"/>
  <c r="U73" i="5"/>
  <c r="Y73" i="5" s="1"/>
  <c r="X72" i="5"/>
  <c r="W72" i="5"/>
  <c r="U72" i="5"/>
  <c r="Y72" i="5" s="1"/>
  <c r="W71" i="5"/>
  <c r="X71" i="5" s="1"/>
  <c r="U71" i="5"/>
  <c r="Y71" i="5" s="1"/>
  <c r="W70" i="5"/>
  <c r="X70" i="5" s="1"/>
  <c r="U70" i="5"/>
  <c r="Y70" i="5" s="1"/>
  <c r="X69" i="5"/>
  <c r="W69" i="5"/>
  <c r="U69" i="5"/>
  <c r="Y69" i="5" s="1"/>
  <c r="W68" i="5"/>
  <c r="X68" i="5" s="1"/>
  <c r="U68" i="5"/>
  <c r="Y68" i="5" s="1"/>
  <c r="X67" i="5"/>
  <c r="W67" i="5"/>
  <c r="U67" i="5"/>
  <c r="Y67" i="5" s="1"/>
  <c r="X66" i="5"/>
  <c r="W66" i="5"/>
  <c r="U66" i="5"/>
  <c r="Y66" i="5" s="1"/>
  <c r="W65" i="5"/>
  <c r="X65" i="5" s="1"/>
  <c r="U65" i="5"/>
  <c r="Y65" i="5" s="1"/>
  <c r="X64" i="5"/>
  <c r="W64" i="5"/>
  <c r="U64" i="5"/>
  <c r="Y64" i="5" s="1"/>
  <c r="W63" i="5"/>
  <c r="X63" i="5" s="1"/>
  <c r="U63" i="5"/>
  <c r="Y63" i="5" s="1"/>
  <c r="W62" i="5"/>
  <c r="X62" i="5" s="1"/>
  <c r="U62" i="5"/>
  <c r="Y62" i="5" s="1"/>
  <c r="W61" i="5"/>
  <c r="X61" i="5" s="1"/>
  <c r="X60" i="5"/>
  <c r="W60" i="5"/>
  <c r="U60" i="5"/>
  <c r="Y60" i="5" s="1"/>
  <c r="X59" i="5"/>
  <c r="W59" i="5"/>
  <c r="U59" i="5"/>
  <c r="Y59" i="5" s="1"/>
  <c r="X58" i="5"/>
  <c r="W58" i="5"/>
  <c r="U58" i="5"/>
  <c r="Y58" i="5" s="1"/>
  <c r="W57" i="5"/>
  <c r="X57" i="5" s="1"/>
  <c r="U57" i="5"/>
  <c r="Y57" i="5" s="1"/>
  <c r="X56" i="5"/>
  <c r="W56" i="5"/>
  <c r="U56" i="5"/>
  <c r="Y56" i="5" s="1"/>
  <c r="W55" i="5"/>
  <c r="X55" i="5" s="1"/>
  <c r="U55" i="5"/>
  <c r="Y55" i="5" s="1"/>
  <c r="W54" i="5"/>
  <c r="X54" i="5" s="1"/>
  <c r="U54" i="5"/>
  <c r="Y54" i="5" s="1"/>
  <c r="W53" i="5"/>
  <c r="X53" i="5" s="1"/>
  <c r="U53" i="5"/>
  <c r="Y53" i="5" s="1"/>
  <c r="W52" i="5"/>
  <c r="X52" i="5" s="1"/>
  <c r="U52" i="5"/>
  <c r="Y52" i="5" s="1"/>
  <c r="X51" i="5"/>
  <c r="W51" i="5"/>
  <c r="U51" i="5"/>
  <c r="Y51" i="5" s="1"/>
  <c r="X50" i="5"/>
  <c r="W50" i="5"/>
  <c r="U50" i="5"/>
  <c r="Y50" i="5" s="1"/>
  <c r="X49" i="5"/>
  <c r="W49" i="5"/>
  <c r="U49" i="5"/>
  <c r="Y49" i="5" s="1"/>
  <c r="W48" i="5"/>
  <c r="X48" i="5" s="1"/>
  <c r="U48" i="5"/>
  <c r="Y48" i="5" s="1"/>
  <c r="W47" i="5"/>
  <c r="X47" i="5" s="1"/>
  <c r="U47" i="5"/>
  <c r="Y47" i="5" s="1"/>
  <c r="X46" i="5"/>
  <c r="W46" i="5"/>
  <c r="U46" i="5"/>
  <c r="Y46" i="5" s="1"/>
  <c r="L46" i="5"/>
  <c r="K46" i="5"/>
  <c r="G46" i="5"/>
  <c r="E46" i="5"/>
  <c r="F46" i="5" s="1"/>
  <c r="J46" i="5" s="1"/>
  <c r="X45" i="5"/>
  <c r="W45" i="5"/>
  <c r="U45" i="5"/>
  <c r="Y45" i="5" s="1"/>
  <c r="L45" i="5"/>
  <c r="K45" i="5"/>
  <c r="G45" i="5"/>
  <c r="E45" i="5"/>
  <c r="F45" i="5" s="1"/>
  <c r="J45" i="5" s="1"/>
  <c r="X44" i="5"/>
  <c r="W44" i="5"/>
  <c r="U44" i="5"/>
  <c r="Y44" i="5" s="1"/>
  <c r="L44" i="5"/>
  <c r="K44" i="5"/>
  <c r="G44" i="5"/>
  <c r="E44" i="5"/>
  <c r="F44" i="5" s="1"/>
  <c r="J44" i="5" s="1"/>
  <c r="X43" i="5"/>
  <c r="W43" i="5"/>
  <c r="U43" i="5"/>
  <c r="Y43" i="5" s="1"/>
  <c r="L43" i="5"/>
  <c r="K43" i="5"/>
  <c r="G43" i="5"/>
  <c r="E43" i="5"/>
  <c r="F43" i="5" s="1"/>
  <c r="J43" i="5" s="1"/>
  <c r="U42" i="5"/>
  <c r="Y42" i="5" s="1"/>
  <c r="T42" i="5"/>
  <c r="S42" i="5"/>
  <c r="W42" i="5" s="1"/>
  <c r="X42" i="5" s="1"/>
  <c r="L42" i="5"/>
  <c r="K42" i="5"/>
  <c r="G42" i="5"/>
  <c r="E42" i="5"/>
  <c r="F42" i="5" s="1"/>
  <c r="J42" i="5" s="1"/>
  <c r="X41" i="5"/>
  <c r="W41" i="5"/>
  <c r="U41" i="5"/>
  <c r="Y41" i="5" s="1"/>
  <c r="L41" i="5"/>
  <c r="K41" i="5"/>
  <c r="G41" i="5"/>
  <c r="E41" i="5"/>
  <c r="F41" i="5" s="1"/>
  <c r="J41" i="5" s="1"/>
  <c r="X40" i="5"/>
  <c r="W40" i="5"/>
  <c r="U40" i="5"/>
  <c r="Y40" i="5" s="1"/>
  <c r="L40" i="5"/>
  <c r="K40" i="5"/>
  <c r="G40" i="5"/>
  <c r="E40" i="5"/>
  <c r="F40" i="5" s="1"/>
  <c r="J40" i="5" s="1"/>
  <c r="W39" i="5"/>
  <c r="X39" i="5" s="1"/>
  <c r="U39" i="5"/>
  <c r="Y39" i="5" s="1"/>
  <c r="L39" i="5"/>
  <c r="K39" i="5"/>
  <c r="G39" i="5"/>
  <c r="E39" i="5"/>
  <c r="F39" i="5" s="1"/>
  <c r="J39" i="5" s="1"/>
  <c r="X38" i="5"/>
  <c r="W38" i="5"/>
  <c r="U38" i="5"/>
  <c r="Y38" i="5" s="1"/>
  <c r="L38" i="5"/>
  <c r="K38" i="5"/>
  <c r="G38" i="5"/>
  <c r="E38" i="5"/>
  <c r="F38" i="5" s="1"/>
  <c r="J38" i="5" s="1"/>
  <c r="X37" i="5"/>
  <c r="W37" i="5"/>
  <c r="U37" i="5"/>
  <c r="Y37" i="5" s="1"/>
  <c r="L37" i="5"/>
  <c r="K37" i="5"/>
  <c r="G37" i="5"/>
  <c r="E37" i="5"/>
  <c r="F37" i="5" s="1"/>
  <c r="J37" i="5" s="1"/>
  <c r="W36" i="5"/>
  <c r="X36" i="5" s="1"/>
  <c r="U36" i="5"/>
  <c r="Y36" i="5" s="1"/>
  <c r="L36" i="5"/>
  <c r="K36" i="5"/>
  <c r="G36" i="5"/>
  <c r="E36" i="5"/>
  <c r="F36" i="5" s="1"/>
  <c r="J36" i="5" s="1"/>
  <c r="X35" i="5"/>
  <c r="W35" i="5"/>
  <c r="U35" i="5"/>
  <c r="Y35" i="5" s="1"/>
  <c r="L35" i="5"/>
  <c r="K35" i="5"/>
  <c r="G35" i="5"/>
  <c r="E35" i="5"/>
  <c r="F35" i="5" s="1"/>
  <c r="J35" i="5" s="1"/>
  <c r="W34" i="5"/>
  <c r="X34" i="5" s="1"/>
  <c r="U34" i="5"/>
  <c r="Y34" i="5" s="1"/>
  <c r="L34" i="5"/>
  <c r="K34" i="5"/>
  <c r="G34" i="5"/>
  <c r="E34" i="5"/>
  <c r="F34" i="5" s="1"/>
  <c r="J34" i="5" s="1"/>
  <c r="X33" i="5"/>
  <c r="W33" i="5"/>
  <c r="U33" i="5"/>
  <c r="Y33" i="5" s="1"/>
  <c r="L33" i="5"/>
  <c r="K33" i="5"/>
  <c r="G33" i="5"/>
  <c r="E33" i="5"/>
  <c r="F33" i="5" s="1"/>
  <c r="J33" i="5" s="1"/>
  <c r="W32" i="5"/>
  <c r="X32" i="5" s="1"/>
  <c r="U32" i="5"/>
  <c r="Y32" i="5" s="1"/>
  <c r="L32" i="5"/>
  <c r="K32" i="5"/>
  <c r="G32" i="5"/>
  <c r="E32" i="5"/>
  <c r="F32" i="5" s="1"/>
  <c r="J32" i="5" s="1"/>
  <c r="X31" i="5"/>
  <c r="W31" i="5"/>
  <c r="U31" i="5"/>
  <c r="Y31" i="5" s="1"/>
  <c r="L31" i="5"/>
  <c r="K31" i="5"/>
  <c r="G31" i="5"/>
  <c r="E31" i="5"/>
  <c r="F31" i="5" s="1"/>
  <c r="J31" i="5" s="1"/>
  <c r="X30" i="5"/>
  <c r="W30" i="5"/>
  <c r="U30" i="5"/>
  <c r="Y30" i="5" s="1"/>
  <c r="L30" i="5"/>
  <c r="K30" i="5"/>
  <c r="G30" i="5"/>
  <c r="E30" i="5"/>
  <c r="F30" i="5" s="1"/>
  <c r="J30" i="5" s="1"/>
  <c r="W29" i="5"/>
  <c r="X29" i="5" s="1"/>
  <c r="U29" i="5"/>
  <c r="Y29" i="5" s="1"/>
  <c r="L29" i="5"/>
  <c r="K29" i="5"/>
  <c r="G29" i="5"/>
  <c r="E29" i="5"/>
  <c r="F29" i="5" s="1"/>
  <c r="J29" i="5" s="1"/>
  <c r="X28" i="5"/>
  <c r="W28" i="5"/>
  <c r="U28" i="5"/>
  <c r="Y28" i="5" s="1"/>
  <c r="L28" i="5"/>
  <c r="K28" i="5"/>
  <c r="G28" i="5"/>
  <c r="E28" i="5"/>
  <c r="F28" i="5" s="1"/>
  <c r="J28" i="5" s="1"/>
  <c r="X27" i="5"/>
  <c r="W27" i="5"/>
  <c r="U27" i="5"/>
  <c r="Y27" i="5" s="1"/>
  <c r="L27" i="5"/>
  <c r="K27" i="5"/>
  <c r="G27" i="5"/>
  <c r="E27" i="5"/>
  <c r="F27" i="5" s="1"/>
  <c r="J27" i="5" s="1"/>
  <c r="W26" i="5"/>
  <c r="X26" i="5" s="1"/>
  <c r="U26" i="5"/>
  <c r="Y26" i="5" s="1"/>
  <c r="L26" i="5"/>
  <c r="K26" i="5"/>
  <c r="G26" i="5"/>
  <c r="E26" i="5"/>
  <c r="F26" i="5" s="1"/>
  <c r="J26" i="5" s="1"/>
  <c r="X25" i="5"/>
  <c r="W25" i="5"/>
  <c r="U25" i="5"/>
  <c r="Y25" i="5" s="1"/>
  <c r="L25" i="5"/>
  <c r="K25" i="5"/>
  <c r="G25" i="5"/>
  <c r="E25" i="5"/>
  <c r="F25" i="5" s="1"/>
  <c r="J25" i="5" s="1"/>
  <c r="W24" i="5"/>
  <c r="X24" i="5" s="1"/>
  <c r="U24" i="5"/>
  <c r="Y24" i="5" s="1"/>
  <c r="L24" i="5"/>
  <c r="K24" i="5"/>
  <c r="G24" i="5"/>
  <c r="E24" i="5"/>
  <c r="F24" i="5" s="1"/>
  <c r="J24" i="5" s="1"/>
  <c r="X23" i="5"/>
  <c r="W23" i="5"/>
  <c r="U23" i="5"/>
  <c r="Y23" i="5" s="1"/>
  <c r="L23" i="5"/>
  <c r="K23" i="5"/>
  <c r="G23" i="5"/>
  <c r="E23" i="5"/>
  <c r="F23" i="5" s="1"/>
  <c r="J23" i="5" s="1"/>
  <c r="W22" i="5"/>
  <c r="X22" i="5" s="1"/>
  <c r="U22" i="5"/>
  <c r="Y22" i="5" s="1"/>
  <c r="L22" i="5"/>
  <c r="K22" i="5"/>
  <c r="G22" i="5"/>
  <c r="E22" i="5"/>
  <c r="F22" i="5" s="1"/>
  <c r="J22" i="5" s="1"/>
  <c r="X21" i="5"/>
  <c r="W21" i="5"/>
  <c r="U21" i="5"/>
  <c r="Y21" i="5" s="1"/>
  <c r="L21" i="5"/>
  <c r="K21" i="5"/>
  <c r="G21" i="5"/>
  <c r="E21" i="5"/>
  <c r="F21" i="5" s="1"/>
  <c r="J21" i="5" s="1"/>
  <c r="X20" i="5"/>
  <c r="W20" i="5"/>
  <c r="U20" i="5"/>
  <c r="Y20" i="5" s="1"/>
  <c r="L20" i="5"/>
  <c r="K20" i="5"/>
  <c r="G20" i="5"/>
  <c r="E20" i="5"/>
  <c r="F20" i="5" s="1"/>
  <c r="J20" i="5" s="1"/>
  <c r="W19" i="5"/>
  <c r="X19" i="5" s="1"/>
  <c r="U19" i="5"/>
  <c r="Y19" i="5" s="1"/>
  <c r="L19" i="5"/>
  <c r="K19" i="5"/>
  <c r="G19" i="5"/>
  <c r="E19" i="5"/>
  <c r="F19" i="5" s="1"/>
  <c r="J19" i="5" s="1"/>
  <c r="X18" i="5"/>
  <c r="W18" i="5"/>
  <c r="U18" i="5"/>
  <c r="Y18" i="5" s="1"/>
  <c r="L18" i="5"/>
  <c r="K18" i="5"/>
  <c r="G18" i="5"/>
  <c r="E18" i="5"/>
  <c r="F18" i="5" s="1"/>
  <c r="J18" i="5" s="1"/>
  <c r="X17" i="5"/>
  <c r="W17" i="5"/>
  <c r="U17" i="5"/>
  <c r="Y17" i="5" s="1"/>
  <c r="L17" i="5"/>
  <c r="K17" i="5"/>
  <c r="G17" i="5"/>
  <c r="E17" i="5"/>
  <c r="F17" i="5" s="1"/>
  <c r="J17" i="5" s="1"/>
  <c r="W16" i="5"/>
  <c r="X16" i="5" s="1"/>
  <c r="U16" i="5"/>
  <c r="Y16" i="5" s="1"/>
  <c r="L16" i="5"/>
  <c r="K16" i="5"/>
  <c r="G16" i="5"/>
  <c r="E16" i="5"/>
  <c r="F16" i="5" s="1"/>
  <c r="J16" i="5" s="1"/>
  <c r="Y15" i="5"/>
  <c r="W15" i="5"/>
  <c r="X15" i="5" s="1"/>
  <c r="L15" i="5"/>
  <c r="K15" i="5"/>
  <c r="G15" i="5"/>
  <c r="E15" i="5"/>
  <c r="F15" i="5" s="1"/>
  <c r="J15" i="5" s="1"/>
  <c r="W14" i="5"/>
  <c r="X14" i="5" s="1"/>
  <c r="U14" i="5"/>
  <c r="Y14" i="5" s="1"/>
  <c r="L14" i="5"/>
  <c r="K14" i="5"/>
  <c r="G14" i="5"/>
  <c r="E14" i="5"/>
  <c r="F14" i="5" s="1"/>
  <c r="J14" i="5" s="1"/>
  <c r="Y13" i="5"/>
  <c r="W13" i="5"/>
  <c r="X13" i="5" s="1"/>
  <c r="L13" i="5"/>
  <c r="K13" i="5"/>
  <c r="G13" i="5"/>
  <c r="E13" i="5"/>
  <c r="F13" i="5" s="1"/>
  <c r="J13" i="5" s="1"/>
  <c r="X12" i="5"/>
  <c r="W12" i="5"/>
  <c r="U12" i="5"/>
  <c r="Y12" i="5" s="1"/>
  <c r="L12" i="5"/>
  <c r="K12" i="5"/>
  <c r="G12" i="5"/>
  <c r="E12" i="5"/>
  <c r="F12" i="5" s="1"/>
  <c r="J12" i="5" s="1"/>
  <c r="X11" i="5"/>
  <c r="W11" i="5"/>
  <c r="U11" i="5"/>
  <c r="Y11" i="5" s="1"/>
  <c r="L11" i="5"/>
  <c r="K11" i="5"/>
  <c r="G11" i="5"/>
  <c r="E11" i="5"/>
  <c r="F11" i="5" s="1"/>
  <c r="J11" i="5" s="1"/>
  <c r="X10" i="5"/>
  <c r="W10" i="5"/>
  <c r="U10" i="5"/>
  <c r="Y10" i="5" s="1"/>
  <c r="L10" i="5"/>
  <c r="K10" i="5"/>
  <c r="G10" i="5"/>
  <c r="E10" i="5"/>
  <c r="F10" i="5" s="1"/>
  <c r="J10" i="5" s="1"/>
  <c r="X9" i="5"/>
  <c r="W9" i="5"/>
  <c r="U9" i="5"/>
  <c r="Y9" i="5" s="1"/>
  <c r="L9" i="5"/>
  <c r="K9" i="5"/>
  <c r="G9" i="5"/>
  <c r="E9" i="5"/>
  <c r="F9" i="5" s="1"/>
  <c r="J9" i="5" s="1"/>
  <c r="X8" i="5"/>
  <c r="W8" i="5"/>
  <c r="U8" i="5"/>
  <c r="Y8" i="5" s="1"/>
  <c r="L8" i="5"/>
  <c r="K8" i="5"/>
  <c r="G8" i="5"/>
  <c r="E8" i="5"/>
  <c r="F8" i="5" s="1"/>
  <c r="J8" i="5" s="1"/>
  <c r="X7" i="5"/>
  <c r="W7" i="5"/>
  <c r="U7" i="5"/>
  <c r="Y7" i="5" s="1"/>
  <c r="L7" i="5"/>
  <c r="K7" i="5"/>
  <c r="G7" i="5"/>
  <c r="E7" i="5"/>
  <c r="F7" i="5" s="1"/>
  <c r="J7" i="5" s="1"/>
  <c r="X6" i="5"/>
  <c r="W6" i="5"/>
  <c r="U6" i="5"/>
  <c r="Y6" i="5" s="1"/>
  <c r="L6" i="5"/>
  <c r="K6" i="5"/>
  <c r="G6" i="5"/>
  <c r="E6" i="5"/>
  <c r="F6" i="5" s="1"/>
  <c r="J6" i="5" s="1"/>
  <c r="X5" i="5"/>
  <c r="U5" i="5"/>
  <c r="Y5" i="5" s="1"/>
  <c r="T5" i="5"/>
  <c r="S5" i="5"/>
  <c r="W5" i="5" s="1"/>
  <c r="L5" i="5"/>
  <c r="K5" i="5"/>
  <c r="G5" i="5"/>
  <c r="E5" i="5"/>
  <c r="F5" i="5" s="1"/>
  <c r="X4" i="5"/>
  <c r="W4" i="5"/>
  <c r="U4" i="5"/>
  <c r="Y4" i="5" s="1"/>
  <c r="W3" i="5"/>
  <c r="X3" i="5" s="1"/>
  <c r="U3" i="5"/>
  <c r="Y3" i="5" s="1"/>
  <c r="H2" i="5"/>
  <c r="E5" i="13" s="1"/>
  <c r="C2" i="5"/>
  <c r="L32" i="4"/>
  <c r="J32" i="4"/>
  <c r="F32" i="4"/>
  <c r="K32" i="4" s="1"/>
  <c r="L31" i="4"/>
  <c r="J31" i="4"/>
  <c r="F31" i="4"/>
  <c r="K31" i="4" s="1"/>
  <c r="L30" i="4"/>
  <c r="J30" i="4"/>
  <c r="F30" i="4"/>
  <c r="N30" i="4" s="1"/>
  <c r="L29" i="4"/>
  <c r="J29" i="4"/>
  <c r="F29" i="4"/>
  <c r="G29" i="4" s="1"/>
  <c r="L28" i="4"/>
  <c r="J28" i="4"/>
  <c r="F28" i="4"/>
  <c r="G28" i="4" s="1"/>
  <c r="L27" i="4"/>
  <c r="J27" i="4"/>
  <c r="F27" i="4"/>
  <c r="G27" i="4" s="1"/>
  <c r="L26" i="4"/>
  <c r="J26" i="4"/>
  <c r="F26" i="4"/>
  <c r="K26" i="4" s="1"/>
  <c r="L25" i="4"/>
  <c r="J25" i="4"/>
  <c r="F25" i="4"/>
  <c r="G25" i="4" s="1"/>
  <c r="L24" i="4"/>
  <c r="J24" i="4"/>
  <c r="F24" i="4"/>
  <c r="K24" i="4" s="1"/>
  <c r="L23" i="4"/>
  <c r="J23" i="4"/>
  <c r="F23" i="4"/>
  <c r="G23" i="4" s="1"/>
  <c r="L22" i="4"/>
  <c r="J22" i="4"/>
  <c r="F22" i="4"/>
  <c r="G22" i="4" s="1"/>
  <c r="L21" i="4"/>
  <c r="J21" i="4"/>
  <c r="F21" i="4"/>
  <c r="G21" i="4" s="1"/>
  <c r="L20" i="4"/>
  <c r="J20" i="4"/>
  <c r="F20" i="4"/>
  <c r="AA19" i="4"/>
  <c r="Z19" i="4"/>
  <c r="X19" i="4"/>
  <c r="L19" i="4"/>
  <c r="J19" i="4"/>
  <c r="F19" i="4"/>
  <c r="K19" i="4" s="1"/>
  <c r="AA18" i="4"/>
  <c r="Z18" i="4" s="1"/>
  <c r="X18" i="4"/>
  <c r="L18" i="4"/>
  <c r="J18" i="4"/>
  <c r="F18" i="4"/>
  <c r="K18" i="4" s="1"/>
  <c r="AA17" i="4"/>
  <c r="X17" i="4"/>
  <c r="Z17" i="4" s="1"/>
  <c r="L17" i="4"/>
  <c r="J17" i="4"/>
  <c r="F17" i="4"/>
  <c r="M17" i="4" s="1"/>
  <c r="AA16" i="4"/>
  <c r="X16" i="4"/>
  <c r="Z16" i="4" s="1"/>
  <c r="L16" i="4"/>
  <c r="J16" i="4"/>
  <c r="F16" i="4"/>
  <c r="M16" i="4" s="1"/>
  <c r="AA15" i="4"/>
  <c r="X15" i="4"/>
  <c r="Z15" i="4" s="1"/>
  <c r="L15" i="4"/>
  <c r="J15" i="4"/>
  <c r="F15" i="4"/>
  <c r="K15" i="4" s="1"/>
  <c r="AA14" i="4"/>
  <c r="X14" i="4"/>
  <c r="Z14" i="4" s="1"/>
  <c r="L14" i="4"/>
  <c r="J14" i="4"/>
  <c r="F14" i="4"/>
  <c r="K14" i="4" s="1"/>
  <c r="AA13" i="4"/>
  <c r="X13" i="4"/>
  <c r="L13" i="4"/>
  <c r="J13" i="4"/>
  <c r="F13" i="4"/>
  <c r="G13" i="4" s="1"/>
  <c r="AA12" i="4"/>
  <c r="X12" i="4"/>
  <c r="L12" i="4"/>
  <c r="J12" i="4"/>
  <c r="F12" i="4"/>
  <c r="K12" i="4" s="1"/>
  <c r="AA11" i="4"/>
  <c r="Z11" i="4"/>
  <c r="X11" i="4"/>
  <c r="L11" i="4"/>
  <c r="J11" i="4"/>
  <c r="F11" i="4"/>
  <c r="AA10" i="4"/>
  <c r="Z10" i="4"/>
  <c r="X10" i="4"/>
  <c r="L10" i="4"/>
  <c r="J10" i="4"/>
  <c r="F10" i="4"/>
  <c r="G10" i="4" s="1"/>
  <c r="AA9" i="4"/>
  <c r="Z9" i="4"/>
  <c r="X9" i="4"/>
  <c r="L9" i="4"/>
  <c r="F9" i="4"/>
  <c r="K9" i="4" s="1"/>
  <c r="AA8" i="4"/>
  <c r="Z8" i="4"/>
  <c r="X8" i="4"/>
  <c r="L8" i="4"/>
  <c r="J8" i="4"/>
  <c r="F8" i="4"/>
  <c r="G8" i="4" s="1"/>
  <c r="AA7" i="4"/>
  <c r="Z7" i="4"/>
  <c r="X7" i="4"/>
  <c r="L7" i="4"/>
  <c r="J7" i="4"/>
  <c r="F7" i="4"/>
  <c r="K7" i="4" s="1"/>
  <c r="AA6" i="4"/>
  <c r="Z6" i="4"/>
  <c r="X6" i="4"/>
  <c r="L6" i="4"/>
  <c r="J6" i="4"/>
  <c r="F6" i="4"/>
  <c r="M6" i="4" s="1"/>
  <c r="AA5" i="4"/>
  <c r="Z5" i="4"/>
  <c r="X5" i="4"/>
  <c r="L5" i="4"/>
  <c r="J5" i="4"/>
  <c r="F5" i="4"/>
  <c r="M5" i="4" s="1"/>
  <c r="AA4" i="4"/>
  <c r="Z4" i="4"/>
  <c r="X4" i="4"/>
  <c r="AA3" i="4"/>
  <c r="AA2" i="4" s="1"/>
  <c r="Z3" i="4"/>
  <c r="X3" i="4"/>
  <c r="X2" i="4" s="1"/>
  <c r="H2" i="4"/>
  <c r="I5" i="13" s="1"/>
  <c r="C2" i="4"/>
  <c r="V85" i="3"/>
  <c r="S85" i="3" s="1"/>
  <c r="T85" i="3"/>
  <c r="V84" i="3"/>
  <c r="T84" i="3"/>
  <c r="S84" i="3" s="1"/>
  <c r="V83" i="3"/>
  <c r="T83" i="3"/>
  <c r="S83" i="3" s="1"/>
  <c r="V82" i="3"/>
  <c r="T82" i="3"/>
  <c r="S82" i="3" s="1"/>
  <c r="V81" i="3"/>
  <c r="T81" i="3"/>
  <c r="S81" i="3"/>
  <c r="V80" i="3"/>
  <c r="T80" i="3"/>
  <c r="S80" i="3"/>
  <c r="V79" i="3"/>
  <c r="T79" i="3"/>
  <c r="S79" i="3"/>
  <c r="V78" i="3"/>
  <c r="T78" i="3"/>
  <c r="S78" i="3"/>
  <c r="V77" i="3"/>
  <c r="T77" i="3"/>
  <c r="S77" i="3" s="1"/>
  <c r="V76" i="3"/>
  <c r="T76" i="3"/>
  <c r="S76" i="3" s="1"/>
  <c r="V75" i="3"/>
  <c r="S75" i="3" s="1"/>
  <c r="T75" i="3"/>
  <c r="V74" i="3"/>
  <c r="T74" i="3"/>
  <c r="S74" i="3" s="1"/>
  <c r="V73" i="3"/>
  <c r="T73" i="3"/>
  <c r="S73" i="3" s="1"/>
  <c r="V72" i="3"/>
  <c r="T72" i="3"/>
  <c r="S72" i="3" s="1"/>
  <c r="V71" i="3"/>
  <c r="T71" i="3"/>
  <c r="S71" i="3"/>
  <c r="V70" i="3"/>
  <c r="T70" i="3"/>
  <c r="S70" i="3"/>
  <c r="V69" i="3"/>
  <c r="T69" i="3"/>
  <c r="S69" i="3"/>
  <c r="V68" i="3"/>
  <c r="T68" i="3"/>
  <c r="S68" i="3"/>
  <c r="V67" i="3"/>
  <c r="T67" i="3"/>
  <c r="S67" i="3" s="1"/>
  <c r="V66" i="3"/>
  <c r="T66" i="3"/>
  <c r="S66" i="3" s="1"/>
  <c r="V65" i="3"/>
  <c r="S65" i="3" s="1"/>
  <c r="T65" i="3"/>
  <c r="V64" i="3"/>
  <c r="T64" i="3"/>
  <c r="S64" i="3" s="1"/>
  <c r="V63" i="3"/>
  <c r="T63" i="3"/>
  <c r="S63" i="3" s="1"/>
  <c r="V62" i="3"/>
  <c r="T62" i="3"/>
  <c r="S62" i="3" s="1"/>
  <c r="V61" i="3"/>
  <c r="T61" i="3"/>
  <c r="S61" i="3"/>
  <c r="V60" i="3"/>
  <c r="T60" i="3"/>
  <c r="S60" i="3"/>
  <c r="V59" i="3"/>
  <c r="T59" i="3"/>
  <c r="S59" i="3"/>
  <c r="V58" i="3"/>
  <c r="T58" i="3"/>
  <c r="S58" i="3"/>
  <c r="V57" i="3"/>
  <c r="T57" i="3"/>
  <c r="S57" i="3" s="1"/>
  <c r="V56" i="3"/>
  <c r="T56" i="3"/>
  <c r="S56" i="3" s="1"/>
  <c r="V55" i="3"/>
  <c r="S55" i="3" s="1"/>
  <c r="T55" i="3"/>
  <c r="V54" i="3"/>
  <c r="T54" i="3"/>
  <c r="S54" i="3" s="1"/>
  <c r="V53" i="3"/>
  <c r="T53" i="3"/>
  <c r="S53" i="3" s="1"/>
  <c r="V52" i="3"/>
  <c r="T52" i="3"/>
  <c r="S52" i="3" s="1"/>
  <c r="V51" i="3"/>
  <c r="T51" i="3"/>
  <c r="S51" i="3"/>
  <c r="V50" i="3"/>
  <c r="T50" i="3"/>
  <c r="S50" i="3"/>
  <c r="V49" i="3"/>
  <c r="T49" i="3"/>
  <c r="S49" i="3"/>
  <c r="V48" i="3"/>
  <c r="T48" i="3"/>
  <c r="S48" i="3"/>
  <c r="T47" i="3"/>
  <c r="P47" i="3"/>
  <c r="V47" i="3" s="1"/>
  <c r="O47" i="3"/>
  <c r="V46" i="3"/>
  <c r="T46" i="3"/>
  <c r="S46" i="3" s="1"/>
  <c r="V45" i="3"/>
  <c r="T45" i="3"/>
  <c r="S45" i="3"/>
  <c r="V44" i="3"/>
  <c r="T44" i="3"/>
  <c r="S44" i="3"/>
  <c r="V43" i="3"/>
  <c r="T43" i="3"/>
  <c r="S43" i="3"/>
  <c r="V42" i="3"/>
  <c r="T42" i="3"/>
  <c r="S42" i="3"/>
  <c r="V41" i="3"/>
  <c r="T41" i="3"/>
  <c r="S41" i="3" s="1"/>
  <c r="V40" i="3"/>
  <c r="O40" i="3"/>
  <c r="T40" i="3" s="1"/>
  <c r="S40" i="3" s="1"/>
  <c r="V39" i="3"/>
  <c r="T39" i="3"/>
  <c r="S39" i="3"/>
  <c r="O38" i="3"/>
  <c r="V38" i="3" s="1"/>
  <c r="V37" i="3"/>
  <c r="T37" i="3"/>
  <c r="S37" i="3"/>
  <c r="V36" i="3"/>
  <c r="T36" i="3"/>
  <c r="S36" i="3"/>
  <c r="V35" i="3"/>
  <c r="T35" i="3"/>
  <c r="S35" i="3" s="1"/>
  <c r="V34" i="3"/>
  <c r="T34" i="3"/>
  <c r="S34" i="3" s="1"/>
  <c r="V33" i="3"/>
  <c r="S33" i="3" s="1"/>
  <c r="T33" i="3"/>
  <c r="V32" i="3"/>
  <c r="T32" i="3"/>
  <c r="S32" i="3" s="1"/>
  <c r="V31" i="3"/>
  <c r="T31" i="3"/>
  <c r="S31" i="3" s="1"/>
  <c r="V30" i="3"/>
  <c r="T30" i="3"/>
  <c r="S30" i="3" s="1"/>
  <c r="V29" i="3"/>
  <c r="T29" i="3"/>
  <c r="S29" i="3"/>
  <c r="V28" i="3"/>
  <c r="T28" i="3"/>
  <c r="S28" i="3"/>
  <c r="V27" i="3"/>
  <c r="T27" i="3"/>
  <c r="S27" i="3"/>
  <c r="P26" i="3"/>
  <c r="V26" i="3" s="1"/>
  <c r="O26" i="3"/>
  <c r="T26" i="3" s="1"/>
  <c r="S26" i="3" s="1"/>
  <c r="V25" i="3"/>
  <c r="T25" i="3"/>
  <c r="S25" i="3" s="1"/>
  <c r="V24" i="3"/>
  <c r="T24" i="3"/>
  <c r="S24" i="3" s="1"/>
  <c r="V23" i="3"/>
  <c r="T23" i="3"/>
  <c r="S23" i="3"/>
  <c r="V22" i="3"/>
  <c r="T22" i="3"/>
  <c r="S22" i="3"/>
  <c r="V21" i="3"/>
  <c r="T21" i="3"/>
  <c r="S21" i="3"/>
  <c r="V20" i="3"/>
  <c r="T20" i="3"/>
  <c r="S20" i="3"/>
  <c r="V19" i="3"/>
  <c r="T19" i="3"/>
  <c r="S19" i="3" s="1"/>
  <c r="V18" i="3"/>
  <c r="T18" i="3"/>
  <c r="S18" i="3" s="1"/>
  <c r="V17" i="3"/>
  <c r="S17" i="3" s="1"/>
  <c r="T17" i="3"/>
  <c r="V16" i="3"/>
  <c r="T16" i="3"/>
  <c r="S16" i="3" s="1"/>
  <c r="V15" i="3"/>
  <c r="T15" i="3"/>
  <c r="S15" i="3" s="1"/>
  <c r="V14" i="3"/>
  <c r="T14" i="3"/>
  <c r="S14" i="3" s="1"/>
  <c r="V13" i="3"/>
  <c r="T13" i="3"/>
  <c r="S13" i="3"/>
  <c r="V12" i="3"/>
  <c r="T12" i="3"/>
  <c r="S12" i="3"/>
  <c r="V11" i="3"/>
  <c r="T11" i="3"/>
  <c r="S11" i="3"/>
  <c r="V10" i="3"/>
  <c r="T10" i="3"/>
  <c r="S10" i="3"/>
  <c r="K10" i="3"/>
  <c r="E10" i="3"/>
  <c r="J10" i="3" s="1"/>
  <c r="K9" i="3"/>
  <c r="E9" i="3"/>
  <c r="J9" i="3" s="1"/>
  <c r="K8" i="3"/>
  <c r="E8" i="3"/>
  <c r="J8" i="3" s="1"/>
  <c r="K7" i="3"/>
  <c r="E7" i="3"/>
  <c r="J7" i="3" s="1"/>
  <c r="K6" i="3"/>
  <c r="L2" i="3" s="1"/>
  <c r="D3" i="13" s="1"/>
  <c r="E6" i="3"/>
  <c r="J6" i="3" s="1"/>
  <c r="K5" i="3"/>
  <c r="E5" i="3"/>
  <c r="J5" i="3" s="1"/>
  <c r="G2" i="3"/>
  <c r="D5" i="13" s="1"/>
  <c r="D2" i="3"/>
  <c r="Q67" i="2"/>
  <c r="O49" i="2"/>
  <c r="L49" i="2"/>
  <c r="N49" i="2" s="1"/>
  <c r="J49" i="2"/>
  <c r="I49" i="2"/>
  <c r="H49" i="2"/>
  <c r="G49" i="2"/>
  <c r="F49" i="2"/>
  <c r="E49" i="2"/>
  <c r="D49" i="2"/>
  <c r="C49" i="2"/>
  <c r="Q66" i="2"/>
  <c r="O33" i="2"/>
  <c r="L33" i="2"/>
  <c r="N33" i="2" s="1"/>
  <c r="J33" i="2"/>
  <c r="I33" i="2"/>
  <c r="H33" i="2"/>
  <c r="G33" i="2"/>
  <c r="F33" i="2"/>
  <c r="E33" i="2"/>
  <c r="D33" i="2"/>
  <c r="C33" i="2"/>
  <c r="Q65" i="2"/>
  <c r="O18" i="2"/>
  <c r="L18" i="2"/>
  <c r="N18" i="2" s="1"/>
  <c r="J18" i="2"/>
  <c r="I18" i="2"/>
  <c r="H18" i="2"/>
  <c r="G18" i="2"/>
  <c r="F18" i="2"/>
  <c r="E18" i="2"/>
  <c r="D18" i="2"/>
  <c r="C18" i="2"/>
  <c r="Q64" i="2"/>
  <c r="O2" i="2"/>
  <c r="L2" i="2"/>
  <c r="N2" i="2" s="1"/>
  <c r="J2" i="2"/>
  <c r="I2" i="2"/>
  <c r="H2" i="2"/>
  <c r="G2" i="2"/>
  <c r="F2" i="2"/>
  <c r="E2" i="2"/>
  <c r="D2" i="2"/>
  <c r="C2" i="2"/>
  <c r="Q63" i="2"/>
  <c r="O67" i="2"/>
  <c r="L67" i="2"/>
  <c r="N67" i="2" s="1"/>
  <c r="J67" i="2"/>
  <c r="I67" i="2"/>
  <c r="H67" i="2"/>
  <c r="G67" i="2"/>
  <c r="F67" i="2"/>
  <c r="E67" i="2"/>
  <c r="D67" i="2"/>
  <c r="C67" i="2"/>
  <c r="Q62" i="2"/>
  <c r="O59" i="2"/>
  <c r="L59" i="2"/>
  <c r="N59" i="2" s="1"/>
  <c r="J59" i="2"/>
  <c r="I59" i="2"/>
  <c r="H59" i="2"/>
  <c r="G59" i="2"/>
  <c r="F59" i="2"/>
  <c r="E59" i="2"/>
  <c r="D59" i="2"/>
  <c r="C59" i="2"/>
  <c r="Q61" i="2"/>
  <c r="O58" i="2"/>
  <c r="L58" i="2"/>
  <c r="N58" i="2" s="1"/>
  <c r="J58" i="2"/>
  <c r="I58" i="2"/>
  <c r="H58" i="2"/>
  <c r="G58" i="2"/>
  <c r="F58" i="2"/>
  <c r="E58" i="2"/>
  <c r="D58" i="2"/>
  <c r="C58" i="2"/>
  <c r="Q60" i="2"/>
  <c r="O35" i="2"/>
  <c r="L35" i="2"/>
  <c r="N35" i="2" s="1"/>
  <c r="J35" i="2"/>
  <c r="I35" i="2"/>
  <c r="H35" i="2"/>
  <c r="G35" i="2"/>
  <c r="F35" i="2"/>
  <c r="E35" i="2"/>
  <c r="D35" i="2"/>
  <c r="C35" i="2"/>
  <c r="Q59" i="2"/>
  <c r="O22" i="2"/>
  <c r="L22" i="2"/>
  <c r="N22" i="2" s="1"/>
  <c r="J22" i="2"/>
  <c r="I22" i="2"/>
  <c r="H22" i="2"/>
  <c r="G22" i="2"/>
  <c r="F22" i="2"/>
  <c r="E22" i="2"/>
  <c r="D22" i="2"/>
  <c r="C22" i="2"/>
  <c r="Q58" i="2"/>
  <c r="O8" i="2"/>
  <c r="L8" i="2"/>
  <c r="N8" i="2" s="1"/>
  <c r="J8" i="2"/>
  <c r="I8" i="2"/>
  <c r="H8" i="2"/>
  <c r="G8" i="2"/>
  <c r="F8" i="2"/>
  <c r="E8" i="2"/>
  <c r="D8" i="2"/>
  <c r="C8" i="2"/>
  <c r="Q57" i="2"/>
  <c r="O64" i="2"/>
  <c r="L64" i="2"/>
  <c r="N64" i="2" s="1"/>
  <c r="J64" i="2"/>
  <c r="I64" i="2"/>
  <c r="H64" i="2"/>
  <c r="G64" i="2"/>
  <c r="F64" i="2"/>
  <c r="E64" i="2"/>
  <c r="D64" i="2"/>
  <c r="C64" i="2"/>
  <c r="Q56" i="2"/>
  <c r="O63" i="2"/>
  <c r="L63" i="2"/>
  <c r="N63" i="2" s="1"/>
  <c r="J63" i="2"/>
  <c r="I63" i="2"/>
  <c r="H63" i="2"/>
  <c r="G63" i="2"/>
  <c r="F63" i="2"/>
  <c r="E63" i="2"/>
  <c r="D63" i="2"/>
  <c r="C63" i="2"/>
  <c r="Q55" i="2"/>
  <c r="O53" i="2"/>
  <c r="L53" i="2"/>
  <c r="N53" i="2" s="1"/>
  <c r="J53" i="2"/>
  <c r="I53" i="2"/>
  <c r="H53" i="2"/>
  <c r="G53" i="2"/>
  <c r="F53" i="2"/>
  <c r="E53" i="2"/>
  <c r="D53" i="2"/>
  <c r="C53" i="2"/>
  <c r="Q54" i="2"/>
  <c r="O13" i="2"/>
  <c r="L13" i="2"/>
  <c r="N13" i="2" s="1"/>
  <c r="J13" i="2"/>
  <c r="I13" i="2"/>
  <c r="H13" i="2"/>
  <c r="G13" i="2"/>
  <c r="F13" i="2"/>
  <c r="E13" i="2"/>
  <c r="D13" i="2"/>
  <c r="C13" i="2"/>
  <c r="Q53" i="2"/>
  <c r="O61" i="2"/>
  <c r="L61" i="2"/>
  <c r="N61" i="2" s="1"/>
  <c r="J61" i="2"/>
  <c r="I61" i="2"/>
  <c r="H61" i="2"/>
  <c r="G61" i="2"/>
  <c r="F61" i="2"/>
  <c r="E61" i="2"/>
  <c r="D61" i="2"/>
  <c r="C61" i="2"/>
  <c r="Q52" i="2"/>
  <c r="O54" i="2"/>
  <c r="L54" i="2"/>
  <c r="N54" i="2" s="1"/>
  <c r="J54" i="2"/>
  <c r="I54" i="2"/>
  <c r="H54" i="2"/>
  <c r="G54" i="2"/>
  <c r="F54" i="2"/>
  <c r="E54" i="2"/>
  <c r="D54" i="2"/>
  <c r="C54" i="2"/>
  <c r="Q51" i="2"/>
  <c r="O41" i="2"/>
  <c r="L41" i="2"/>
  <c r="N41" i="2" s="1"/>
  <c r="J41" i="2"/>
  <c r="I41" i="2"/>
  <c r="H41" i="2"/>
  <c r="G41" i="2"/>
  <c r="F41" i="2"/>
  <c r="E41" i="2"/>
  <c r="D41" i="2"/>
  <c r="C41" i="2"/>
  <c r="Q50" i="2"/>
  <c r="O37" i="2"/>
  <c r="L37" i="2"/>
  <c r="N37" i="2" s="1"/>
  <c r="J37" i="2"/>
  <c r="I37" i="2"/>
  <c r="H37" i="2"/>
  <c r="G37" i="2"/>
  <c r="F37" i="2"/>
  <c r="E37" i="2"/>
  <c r="D37" i="2"/>
  <c r="C37" i="2"/>
  <c r="Q49" i="2"/>
  <c r="O26" i="2"/>
  <c r="L26" i="2"/>
  <c r="N26" i="2" s="1"/>
  <c r="J26" i="2"/>
  <c r="I26" i="2"/>
  <c r="H26" i="2"/>
  <c r="G26" i="2"/>
  <c r="F26" i="2"/>
  <c r="E26" i="2"/>
  <c r="D26" i="2"/>
  <c r="C26" i="2"/>
  <c r="Q48" i="2"/>
  <c r="O10" i="2"/>
  <c r="L10" i="2"/>
  <c r="N10" i="2" s="1"/>
  <c r="J10" i="2"/>
  <c r="I10" i="2"/>
  <c r="H10" i="2"/>
  <c r="G10" i="2"/>
  <c r="F10" i="2"/>
  <c r="E10" i="2"/>
  <c r="D10" i="2"/>
  <c r="C10" i="2"/>
  <c r="Q47" i="2"/>
  <c r="O66" i="2"/>
  <c r="L66" i="2"/>
  <c r="N66" i="2" s="1"/>
  <c r="J66" i="2"/>
  <c r="I66" i="2"/>
  <c r="H66" i="2"/>
  <c r="G66" i="2"/>
  <c r="F66" i="2"/>
  <c r="E66" i="2"/>
  <c r="D66" i="2"/>
  <c r="C66" i="2"/>
  <c r="Q46" i="2"/>
  <c r="O65" i="2"/>
  <c r="L65" i="2"/>
  <c r="N65" i="2" s="1"/>
  <c r="J65" i="2"/>
  <c r="I65" i="2"/>
  <c r="H65" i="2"/>
  <c r="G65" i="2"/>
  <c r="F65" i="2"/>
  <c r="E65" i="2"/>
  <c r="D65" i="2"/>
  <c r="C65" i="2"/>
  <c r="Q45" i="2"/>
  <c r="O60" i="2"/>
  <c r="L60" i="2"/>
  <c r="N60" i="2" s="1"/>
  <c r="J60" i="2"/>
  <c r="I60" i="2"/>
  <c r="H60" i="2"/>
  <c r="G60" i="2"/>
  <c r="F60" i="2"/>
  <c r="E60" i="2"/>
  <c r="D60" i="2"/>
  <c r="C60" i="2"/>
  <c r="Q44" i="2"/>
  <c r="O43" i="2"/>
  <c r="L43" i="2"/>
  <c r="N43" i="2" s="1"/>
  <c r="J43" i="2"/>
  <c r="I43" i="2"/>
  <c r="H43" i="2"/>
  <c r="G43" i="2"/>
  <c r="F43" i="2"/>
  <c r="E43" i="2"/>
  <c r="D43" i="2"/>
  <c r="C43" i="2"/>
  <c r="Q43" i="2"/>
  <c r="O36" i="2"/>
  <c r="L36" i="2"/>
  <c r="N36" i="2" s="1"/>
  <c r="J36" i="2"/>
  <c r="I36" i="2"/>
  <c r="H36" i="2"/>
  <c r="G36" i="2"/>
  <c r="F36" i="2"/>
  <c r="E36" i="2"/>
  <c r="D36" i="2"/>
  <c r="C36" i="2"/>
  <c r="Q42" i="2"/>
  <c r="O32" i="2"/>
  <c r="L32" i="2"/>
  <c r="N32" i="2" s="1"/>
  <c r="J32" i="2"/>
  <c r="I32" i="2"/>
  <c r="H32" i="2"/>
  <c r="G32" i="2"/>
  <c r="F32" i="2"/>
  <c r="E32" i="2"/>
  <c r="D32" i="2"/>
  <c r="C32" i="2"/>
  <c r="Q41" i="2"/>
  <c r="O31" i="2"/>
  <c r="L31" i="2"/>
  <c r="N31" i="2" s="1"/>
  <c r="J31" i="2"/>
  <c r="I31" i="2"/>
  <c r="H31" i="2"/>
  <c r="G31" i="2"/>
  <c r="F31" i="2"/>
  <c r="E31" i="2"/>
  <c r="D31" i="2"/>
  <c r="C31" i="2"/>
  <c r="Q40" i="2"/>
  <c r="O30" i="2"/>
  <c r="L30" i="2"/>
  <c r="N30" i="2" s="1"/>
  <c r="J30" i="2"/>
  <c r="I30" i="2"/>
  <c r="H30" i="2"/>
  <c r="G30" i="2"/>
  <c r="F30" i="2"/>
  <c r="E30" i="2"/>
  <c r="D30" i="2"/>
  <c r="C30" i="2"/>
  <c r="Q39" i="2"/>
  <c r="O29" i="2"/>
  <c r="L29" i="2"/>
  <c r="N29" i="2" s="1"/>
  <c r="J29" i="2"/>
  <c r="I29" i="2"/>
  <c r="H29" i="2"/>
  <c r="G29" i="2"/>
  <c r="F29" i="2"/>
  <c r="E29" i="2"/>
  <c r="D29" i="2"/>
  <c r="C29" i="2"/>
  <c r="Q38" i="2"/>
  <c r="O28" i="2"/>
  <c r="L28" i="2"/>
  <c r="N28" i="2" s="1"/>
  <c r="J28" i="2"/>
  <c r="I28" i="2"/>
  <c r="H28" i="2"/>
  <c r="G28" i="2"/>
  <c r="F28" i="2"/>
  <c r="E28" i="2"/>
  <c r="D28" i="2"/>
  <c r="C28" i="2"/>
  <c r="Q37" i="2"/>
  <c r="O24" i="2"/>
  <c r="L24" i="2"/>
  <c r="N24" i="2" s="1"/>
  <c r="J24" i="2"/>
  <c r="I24" i="2"/>
  <c r="H24" i="2"/>
  <c r="G24" i="2"/>
  <c r="F24" i="2"/>
  <c r="E24" i="2"/>
  <c r="D24" i="2"/>
  <c r="C24" i="2"/>
  <c r="Q36" i="2"/>
  <c r="O17" i="2"/>
  <c r="L17" i="2"/>
  <c r="N17" i="2" s="1"/>
  <c r="J17" i="2"/>
  <c r="I17" i="2"/>
  <c r="H17" i="2"/>
  <c r="G17" i="2"/>
  <c r="F17" i="2"/>
  <c r="E17" i="2"/>
  <c r="D17" i="2"/>
  <c r="C17" i="2"/>
  <c r="Q35" i="2"/>
  <c r="O15" i="2"/>
  <c r="L15" i="2"/>
  <c r="N15" i="2" s="1"/>
  <c r="J15" i="2"/>
  <c r="I15" i="2"/>
  <c r="H15" i="2"/>
  <c r="G15" i="2"/>
  <c r="F15" i="2"/>
  <c r="E15" i="2"/>
  <c r="D15" i="2"/>
  <c r="C15" i="2"/>
  <c r="Q34" i="2"/>
  <c r="O6" i="2"/>
  <c r="L6" i="2"/>
  <c r="N6" i="2" s="1"/>
  <c r="J6" i="2"/>
  <c r="I6" i="2"/>
  <c r="H6" i="2"/>
  <c r="G6" i="2"/>
  <c r="F6" i="2"/>
  <c r="E6" i="2"/>
  <c r="D6" i="2"/>
  <c r="C6" i="2"/>
  <c r="B6" i="2" s="1"/>
  <c r="Q33" i="2"/>
  <c r="O5" i="2"/>
  <c r="L5" i="2"/>
  <c r="N5" i="2" s="1"/>
  <c r="J5" i="2"/>
  <c r="I5" i="2"/>
  <c r="H5" i="2"/>
  <c r="G5" i="2"/>
  <c r="F5" i="2"/>
  <c r="E5" i="2"/>
  <c r="D5" i="2"/>
  <c r="C5" i="2"/>
  <c r="Q32" i="2"/>
  <c r="O4" i="2"/>
  <c r="L4" i="2"/>
  <c r="N4" i="2" s="1"/>
  <c r="J4" i="2"/>
  <c r="I4" i="2"/>
  <c r="H4" i="2"/>
  <c r="G4" i="2"/>
  <c r="F4" i="2"/>
  <c r="E4" i="2"/>
  <c r="D4" i="2"/>
  <c r="C4" i="2"/>
  <c r="Q31" i="2"/>
  <c r="O62" i="2"/>
  <c r="L62" i="2"/>
  <c r="N62" i="2" s="1"/>
  <c r="J62" i="2"/>
  <c r="I62" i="2"/>
  <c r="H62" i="2"/>
  <c r="G62" i="2"/>
  <c r="F62" i="2"/>
  <c r="E62" i="2"/>
  <c r="D62" i="2"/>
  <c r="C62" i="2"/>
  <c r="Q30" i="2"/>
  <c r="O56" i="2"/>
  <c r="L56" i="2"/>
  <c r="N56" i="2" s="1"/>
  <c r="J56" i="2"/>
  <c r="I56" i="2"/>
  <c r="H56" i="2"/>
  <c r="G56" i="2"/>
  <c r="F56" i="2"/>
  <c r="E56" i="2"/>
  <c r="D56" i="2"/>
  <c r="C56" i="2"/>
  <c r="Q29" i="2"/>
  <c r="O55" i="2"/>
  <c r="L55" i="2"/>
  <c r="N55" i="2" s="1"/>
  <c r="J55" i="2"/>
  <c r="I55" i="2"/>
  <c r="H55" i="2"/>
  <c r="G55" i="2"/>
  <c r="F55" i="2"/>
  <c r="E55" i="2"/>
  <c r="D55" i="2"/>
  <c r="C55" i="2"/>
  <c r="B55" i="2" s="1"/>
  <c r="Q28" i="2"/>
  <c r="O51" i="2"/>
  <c r="L51" i="2"/>
  <c r="N51" i="2" s="1"/>
  <c r="J51" i="2"/>
  <c r="I51" i="2"/>
  <c r="H51" i="2"/>
  <c r="G51" i="2"/>
  <c r="F51" i="2"/>
  <c r="E51" i="2"/>
  <c r="D51" i="2"/>
  <c r="C51" i="2"/>
  <c r="Q27" i="2"/>
  <c r="O50" i="2"/>
  <c r="L50" i="2"/>
  <c r="N50" i="2" s="1"/>
  <c r="J50" i="2"/>
  <c r="I50" i="2"/>
  <c r="H50" i="2"/>
  <c r="G50" i="2"/>
  <c r="F50" i="2"/>
  <c r="E50" i="2"/>
  <c r="D50" i="2"/>
  <c r="C50" i="2"/>
  <c r="Q26" i="2"/>
  <c r="O48" i="2"/>
  <c r="L48" i="2"/>
  <c r="N48" i="2" s="1"/>
  <c r="J48" i="2"/>
  <c r="I48" i="2"/>
  <c r="H48" i="2"/>
  <c r="G48" i="2"/>
  <c r="F48" i="2"/>
  <c r="E48" i="2"/>
  <c r="D48" i="2"/>
  <c r="C48" i="2"/>
  <c r="Q25" i="2"/>
  <c r="O45" i="2"/>
  <c r="L45" i="2"/>
  <c r="N45" i="2" s="1"/>
  <c r="J45" i="2"/>
  <c r="I45" i="2"/>
  <c r="H45" i="2"/>
  <c r="G45" i="2"/>
  <c r="F45" i="2"/>
  <c r="E45" i="2"/>
  <c r="D45" i="2"/>
  <c r="C45" i="2"/>
  <c r="Q24" i="2"/>
  <c r="O44" i="2"/>
  <c r="L44" i="2"/>
  <c r="N44" i="2" s="1"/>
  <c r="J44" i="2"/>
  <c r="I44" i="2"/>
  <c r="H44" i="2"/>
  <c r="G44" i="2"/>
  <c r="F44" i="2"/>
  <c r="E44" i="2"/>
  <c r="D44" i="2"/>
  <c r="C44" i="2"/>
  <c r="Q23" i="2"/>
  <c r="O40" i="2"/>
  <c r="L40" i="2"/>
  <c r="N40" i="2" s="1"/>
  <c r="J40" i="2"/>
  <c r="I40" i="2"/>
  <c r="H40" i="2"/>
  <c r="G40" i="2"/>
  <c r="F40" i="2"/>
  <c r="E40" i="2"/>
  <c r="D40" i="2"/>
  <c r="C40" i="2"/>
  <c r="Q22" i="2"/>
  <c r="O39" i="2"/>
  <c r="L39" i="2"/>
  <c r="N39" i="2" s="1"/>
  <c r="J39" i="2"/>
  <c r="I39" i="2"/>
  <c r="H39" i="2"/>
  <c r="G39" i="2"/>
  <c r="F39" i="2"/>
  <c r="E39" i="2"/>
  <c r="D39" i="2"/>
  <c r="C39" i="2"/>
  <c r="Q21" i="2"/>
  <c r="O34" i="2"/>
  <c r="L34" i="2"/>
  <c r="N34" i="2" s="1"/>
  <c r="J34" i="2"/>
  <c r="I34" i="2"/>
  <c r="H34" i="2"/>
  <c r="G34" i="2"/>
  <c r="F34" i="2"/>
  <c r="E34" i="2"/>
  <c r="D34" i="2"/>
  <c r="C34" i="2"/>
  <c r="Q20" i="2"/>
  <c r="O27" i="2"/>
  <c r="L27" i="2"/>
  <c r="N27" i="2" s="1"/>
  <c r="J27" i="2"/>
  <c r="I27" i="2"/>
  <c r="H27" i="2"/>
  <c r="G27" i="2"/>
  <c r="F27" i="2"/>
  <c r="E27" i="2"/>
  <c r="D27" i="2"/>
  <c r="C27" i="2"/>
  <c r="Q19" i="2"/>
  <c r="O23" i="2"/>
  <c r="L23" i="2"/>
  <c r="N23" i="2" s="1"/>
  <c r="J23" i="2"/>
  <c r="I23" i="2"/>
  <c r="H23" i="2"/>
  <c r="G23" i="2"/>
  <c r="F23" i="2"/>
  <c r="E23" i="2"/>
  <c r="D23" i="2"/>
  <c r="C23" i="2"/>
  <c r="Q18" i="2"/>
  <c r="O20" i="2"/>
  <c r="L20" i="2"/>
  <c r="N20" i="2" s="1"/>
  <c r="J20" i="2"/>
  <c r="I20" i="2"/>
  <c r="H20" i="2"/>
  <c r="G20" i="2"/>
  <c r="F20" i="2"/>
  <c r="E20" i="2"/>
  <c r="D20" i="2"/>
  <c r="C20" i="2"/>
  <c r="Q17" i="2"/>
  <c r="O7" i="2"/>
  <c r="L7" i="2"/>
  <c r="N7" i="2" s="1"/>
  <c r="J7" i="2"/>
  <c r="I7" i="2"/>
  <c r="H7" i="2"/>
  <c r="G7" i="2"/>
  <c r="F7" i="2"/>
  <c r="E7" i="2"/>
  <c r="D7" i="2"/>
  <c r="C7" i="2"/>
  <c r="Q16" i="2"/>
  <c r="O57" i="2"/>
  <c r="L57" i="2"/>
  <c r="N57" i="2" s="1"/>
  <c r="J57" i="2"/>
  <c r="I57" i="2"/>
  <c r="H57" i="2"/>
  <c r="G57" i="2"/>
  <c r="F57" i="2"/>
  <c r="E57" i="2"/>
  <c r="D57" i="2"/>
  <c r="C57" i="2"/>
  <c r="Q15" i="2"/>
  <c r="O52" i="2"/>
  <c r="L52" i="2"/>
  <c r="N52" i="2" s="1"/>
  <c r="J52" i="2"/>
  <c r="I52" i="2"/>
  <c r="H52" i="2"/>
  <c r="G52" i="2"/>
  <c r="F52" i="2"/>
  <c r="E52" i="2"/>
  <c r="D52" i="2"/>
  <c r="C52" i="2"/>
  <c r="Q14" i="2"/>
  <c r="O47" i="2"/>
  <c r="L47" i="2"/>
  <c r="N47" i="2" s="1"/>
  <c r="J47" i="2"/>
  <c r="I47" i="2"/>
  <c r="H47" i="2"/>
  <c r="G47" i="2"/>
  <c r="F47" i="2"/>
  <c r="E47" i="2"/>
  <c r="D47" i="2"/>
  <c r="C47" i="2"/>
  <c r="Q13" i="2"/>
  <c r="O46" i="2"/>
  <c r="L46" i="2"/>
  <c r="N46" i="2" s="1"/>
  <c r="J46" i="2"/>
  <c r="I46" i="2"/>
  <c r="H46" i="2"/>
  <c r="G46" i="2"/>
  <c r="F46" i="2"/>
  <c r="E46" i="2"/>
  <c r="D46" i="2"/>
  <c r="C46" i="2"/>
  <c r="Q12" i="2"/>
  <c r="O42" i="2"/>
  <c r="L42" i="2"/>
  <c r="N42" i="2" s="1"/>
  <c r="J42" i="2"/>
  <c r="I42" i="2"/>
  <c r="H42" i="2"/>
  <c r="G42" i="2"/>
  <c r="F42" i="2"/>
  <c r="E42" i="2"/>
  <c r="D42" i="2"/>
  <c r="C42" i="2"/>
  <c r="Q11" i="2"/>
  <c r="O38" i="2"/>
  <c r="L38" i="2"/>
  <c r="N38" i="2" s="1"/>
  <c r="J38" i="2"/>
  <c r="I38" i="2"/>
  <c r="H38" i="2"/>
  <c r="G38" i="2"/>
  <c r="F38" i="2"/>
  <c r="E38" i="2"/>
  <c r="D38" i="2"/>
  <c r="C38" i="2"/>
  <c r="Q10" i="2"/>
  <c r="O25" i="2"/>
  <c r="L25" i="2"/>
  <c r="N25" i="2" s="1"/>
  <c r="J25" i="2"/>
  <c r="I25" i="2"/>
  <c r="H25" i="2"/>
  <c r="G25" i="2"/>
  <c r="F25" i="2"/>
  <c r="E25" i="2"/>
  <c r="D25" i="2"/>
  <c r="C25" i="2"/>
  <c r="Q9" i="2"/>
  <c r="O21" i="2"/>
  <c r="L21" i="2"/>
  <c r="N21" i="2" s="1"/>
  <c r="J21" i="2"/>
  <c r="I21" i="2"/>
  <c r="H21" i="2"/>
  <c r="G21" i="2"/>
  <c r="F21" i="2"/>
  <c r="E21" i="2"/>
  <c r="D21" i="2"/>
  <c r="C21" i="2"/>
  <c r="B21" i="2"/>
  <c r="Q8" i="2"/>
  <c r="O19" i="2"/>
  <c r="L19" i="2"/>
  <c r="N19" i="2" s="1"/>
  <c r="J19" i="2"/>
  <c r="I19" i="2"/>
  <c r="H19" i="2"/>
  <c r="G19" i="2"/>
  <c r="F19" i="2"/>
  <c r="E19" i="2"/>
  <c r="D19" i="2"/>
  <c r="C19" i="2"/>
  <c r="Q7" i="2"/>
  <c r="O16" i="2"/>
  <c r="L16" i="2"/>
  <c r="N16" i="2" s="1"/>
  <c r="J16" i="2"/>
  <c r="I16" i="2"/>
  <c r="H16" i="2"/>
  <c r="G16" i="2"/>
  <c r="F16" i="2"/>
  <c r="E16" i="2"/>
  <c r="D16" i="2"/>
  <c r="C16" i="2"/>
  <c r="Q6" i="2"/>
  <c r="O14" i="2"/>
  <c r="L14" i="2"/>
  <c r="N14" i="2" s="1"/>
  <c r="J14" i="2"/>
  <c r="I14" i="2"/>
  <c r="H14" i="2"/>
  <c r="G14" i="2"/>
  <c r="F14" i="2"/>
  <c r="E14" i="2"/>
  <c r="D14" i="2"/>
  <c r="C14" i="2"/>
  <c r="Q5" i="2"/>
  <c r="O12" i="2"/>
  <c r="L12" i="2"/>
  <c r="N12" i="2" s="1"/>
  <c r="J12" i="2"/>
  <c r="I12" i="2"/>
  <c r="H12" i="2"/>
  <c r="G12" i="2"/>
  <c r="F12" i="2"/>
  <c r="E12" i="2"/>
  <c r="D12" i="2"/>
  <c r="C12" i="2"/>
  <c r="Q4" i="2"/>
  <c r="O11" i="2"/>
  <c r="L11" i="2"/>
  <c r="N11" i="2" s="1"/>
  <c r="J11" i="2"/>
  <c r="I11" i="2"/>
  <c r="H11" i="2"/>
  <c r="G11" i="2"/>
  <c r="F11" i="2"/>
  <c r="E11" i="2"/>
  <c r="D11" i="2"/>
  <c r="C11" i="2"/>
  <c r="Q3" i="2"/>
  <c r="O9" i="2"/>
  <c r="L9" i="2"/>
  <c r="N9" i="2" s="1"/>
  <c r="J9" i="2"/>
  <c r="I9" i="2"/>
  <c r="H9" i="2"/>
  <c r="G9" i="2"/>
  <c r="F9" i="2"/>
  <c r="E9" i="2"/>
  <c r="D9" i="2"/>
  <c r="C9" i="2"/>
  <c r="Q2" i="2"/>
  <c r="O3" i="2"/>
  <c r="L3" i="2"/>
  <c r="N3" i="2" s="1"/>
  <c r="J3" i="2"/>
  <c r="I3" i="2"/>
  <c r="H3" i="2"/>
  <c r="G3" i="2"/>
  <c r="F3" i="2"/>
  <c r="E3" i="2"/>
  <c r="D3" i="2"/>
  <c r="C3" i="2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D41" i="1"/>
  <c r="C41" i="1"/>
  <c r="D40" i="1"/>
  <c r="C40" i="1"/>
  <c r="D39" i="1"/>
  <c r="C39" i="1"/>
  <c r="X38" i="1"/>
  <c r="W38" i="1"/>
  <c r="T38" i="1"/>
  <c r="S38" i="1"/>
  <c r="L38" i="1"/>
  <c r="K38" i="1"/>
  <c r="D38" i="1"/>
  <c r="C38" i="1"/>
  <c r="X37" i="1"/>
  <c r="W37" i="1"/>
  <c r="T37" i="1"/>
  <c r="S37" i="1"/>
  <c r="P37" i="1"/>
  <c r="O37" i="1"/>
  <c r="L37" i="1"/>
  <c r="K37" i="1"/>
  <c r="D37" i="1"/>
  <c r="C37" i="1"/>
  <c r="X36" i="1"/>
  <c r="W36" i="1"/>
  <c r="T36" i="1"/>
  <c r="S36" i="1"/>
  <c r="P36" i="1"/>
  <c r="O36" i="1"/>
  <c r="L36" i="1"/>
  <c r="K36" i="1"/>
  <c r="D36" i="1"/>
  <c r="C36" i="1"/>
  <c r="X35" i="1"/>
  <c r="W35" i="1"/>
  <c r="T35" i="1"/>
  <c r="S35" i="1"/>
  <c r="P35" i="1"/>
  <c r="O35" i="1"/>
  <c r="L35" i="1"/>
  <c r="K35" i="1"/>
  <c r="D35" i="1"/>
  <c r="C35" i="1"/>
  <c r="X34" i="1"/>
  <c r="W34" i="1"/>
  <c r="T34" i="1"/>
  <c r="S34" i="1"/>
  <c r="P34" i="1"/>
  <c r="O34" i="1"/>
  <c r="L34" i="1"/>
  <c r="K34" i="1"/>
  <c r="D34" i="1"/>
  <c r="C34" i="1"/>
  <c r="AC33" i="1"/>
  <c r="AB33" i="1"/>
  <c r="X33" i="1"/>
  <c r="W33" i="1"/>
  <c r="T33" i="1"/>
  <c r="S33" i="1"/>
  <c r="P33" i="1"/>
  <c r="O33" i="1"/>
  <c r="L33" i="1"/>
  <c r="K33" i="1"/>
  <c r="D33" i="1"/>
  <c r="C33" i="1"/>
  <c r="AC32" i="1"/>
  <c r="AB32" i="1"/>
  <c r="X32" i="1"/>
  <c r="W32" i="1"/>
  <c r="T32" i="1"/>
  <c r="S32" i="1"/>
  <c r="P32" i="1"/>
  <c r="O32" i="1"/>
  <c r="L32" i="1"/>
  <c r="K32" i="1"/>
  <c r="D32" i="1"/>
  <c r="C32" i="1"/>
  <c r="AC31" i="1"/>
  <c r="AB31" i="1"/>
  <c r="X31" i="1"/>
  <c r="W31" i="1"/>
  <c r="T31" i="1"/>
  <c r="S31" i="1"/>
  <c r="P31" i="1"/>
  <c r="O31" i="1"/>
  <c r="L31" i="1"/>
  <c r="K31" i="1"/>
  <c r="D31" i="1"/>
  <c r="C31" i="1"/>
  <c r="AC30" i="1"/>
  <c r="AB30" i="1"/>
  <c r="X30" i="1"/>
  <c r="W30" i="1"/>
  <c r="T30" i="1"/>
  <c r="S30" i="1"/>
  <c r="P30" i="1"/>
  <c r="O30" i="1"/>
  <c r="L30" i="1"/>
  <c r="K30" i="1"/>
  <c r="D30" i="1"/>
  <c r="C30" i="1"/>
  <c r="AC29" i="1"/>
  <c r="AB29" i="1"/>
  <c r="X29" i="1"/>
  <c r="W29" i="1"/>
  <c r="T29" i="1"/>
  <c r="S29" i="1"/>
  <c r="P29" i="1"/>
  <c r="O29" i="1"/>
  <c r="L29" i="1"/>
  <c r="K29" i="1"/>
  <c r="D29" i="1"/>
  <c r="C29" i="1"/>
  <c r="AC28" i="1"/>
  <c r="AB28" i="1"/>
  <c r="X28" i="1"/>
  <c r="W28" i="1"/>
  <c r="T28" i="1"/>
  <c r="S28" i="1"/>
  <c r="P28" i="1"/>
  <c r="O28" i="1"/>
  <c r="L28" i="1"/>
  <c r="K28" i="1"/>
  <c r="D28" i="1"/>
  <c r="C28" i="1"/>
  <c r="AC27" i="1"/>
  <c r="AB27" i="1"/>
  <c r="X27" i="1"/>
  <c r="W27" i="1"/>
  <c r="T27" i="1"/>
  <c r="S27" i="1"/>
  <c r="P27" i="1"/>
  <c r="O27" i="1"/>
  <c r="L27" i="1"/>
  <c r="K27" i="1"/>
  <c r="D27" i="1"/>
  <c r="C27" i="1"/>
  <c r="AC26" i="1"/>
  <c r="AB26" i="1"/>
  <c r="X26" i="1"/>
  <c r="W26" i="1"/>
  <c r="T26" i="1"/>
  <c r="S26" i="1"/>
  <c r="P26" i="1"/>
  <c r="O26" i="1"/>
  <c r="L26" i="1"/>
  <c r="K26" i="1"/>
  <c r="D26" i="1"/>
  <c r="C26" i="1"/>
  <c r="AC25" i="1"/>
  <c r="AB25" i="1"/>
  <c r="X25" i="1"/>
  <c r="W25" i="1"/>
  <c r="T25" i="1"/>
  <c r="S25" i="1"/>
  <c r="P25" i="1"/>
  <c r="O25" i="1"/>
  <c r="L25" i="1"/>
  <c r="K25" i="1"/>
  <c r="D25" i="1"/>
  <c r="C25" i="1"/>
  <c r="AC24" i="1"/>
  <c r="AB24" i="1"/>
  <c r="X24" i="1"/>
  <c r="W24" i="1"/>
  <c r="T24" i="1"/>
  <c r="S24" i="1"/>
  <c r="P24" i="1"/>
  <c r="O24" i="1"/>
  <c r="L24" i="1"/>
  <c r="K24" i="1"/>
  <c r="D24" i="1"/>
  <c r="C24" i="1"/>
  <c r="AH23" i="1"/>
  <c r="AG23" i="1"/>
  <c r="AC23" i="1"/>
  <c r="AB23" i="1"/>
  <c r="X23" i="1"/>
  <c r="W23" i="1"/>
  <c r="T23" i="1"/>
  <c r="S23" i="1"/>
  <c r="P23" i="1"/>
  <c r="O23" i="1"/>
  <c r="L23" i="1"/>
  <c r="K23" i="1"/>
  <c r="D23" i="1"/>
  <c r="C23" i="1"/>
  <c r="AH22" i="1"/>
  <c r="AG22" i="1"/>
  <c r="AC22" i="1"/>
  <c r="AB22" i="1"/>
  <c r="X22" i="1"/>
  <c r="W22" i="1"/>
  <c r="T22" i="1"/>
  <c r="S22" i="1"/>
  <c r="P22" i="1"/>
  <c r="O22" i="1"/>
  <c r="L22" i="1"/>
  <c r="K22" i="1"/>
  <c r="D22" i="1"/>
  <c r="C22" i="1"/>
  <c r="AH21" i="1"/>
  <c r="AG21" i="1"/>
  <c r="AC21" i="1"/>
  <c r="AB21" i="1"/>
  <c r="X21" i="1"/>
  <c r="W21" i="1"/>
  <c r="T21" i="1"/>
  <c r="S21" i="1"/>
  <c r="P21" i="1"/>
  <c r="O21" i="1"/>
  <c r="L21" i="1"/>
  <c r="K21" i="1"/>
  <c r="D21" i="1"/>
  <c r="C21" i="1"/>
  <c r="AH20" i="1"/>
  <c r="AG20" i="1"/>
  <c r="AC20" i="1"/>
  <c r="AB20" i="1"/>
  <c r="X20" i="1"/>
  <c r="W20" i="1"/>
  <c r="T20" i="1"/>
  <c r="S20" i="1"/>
  <c r="P20" i="1"/>
  <c r="O20" i="1"/>
  <c r="L20" i="1"/>
  <c r="K20" i="1"/>
  <c r="D20" i="1"/>
  <c r="C20" i="1"/>
  <c r="AH19" i="1"/>
  <c r="AG19" i="1"/>
  <c r="AC19" i="1"/>
  <c r="AB19" i="1"/>
  <c r="X19" i="1"/>
  <c r="W19" i="1"/>
  <c r="T19" i="1"/>
  <c r="S19" i="1"/>
  <c r="P19" i="1"/>
  <c r="O19" i="1"/>
  <c r="L19" i="1"/>
  <c r="K19" i="1"/>
  <c r="D19" i="1"/>
  <c r="C19" i="1"/>
  <c r="AH18" i="1"/>
  <c r="AG18" i="1"/>
  <c r="AC18" i="1"/>
  <c r="AB18" i="1"/>
  <c r="X18" i="1"/>
  <c r="W18" i="1"/>
  <c r="T18" i="1"/>
  <c r="S18" i="1"/>
  <c r="P18" i="1"/>
  <c r="O18" i="1"/>
  <c r="L18" i="1"/>
  <c r="K18" i="1"/>
  <c r="D18" i="1"/>
  <c r="C18" i="1"/>
  <c r="AH17" i="1"/>
  <c r="AG17" i="1"/>
  <c r="AC17" i="1"/>
  <c r="AB17" i="1"/>
  <c r="X17" i="1"/>
  <c r="W17" i="1"/>
  <c r="T17" i="1"/>
  <c r="S17" i="1"/>
  <c r="P17" i="1"/>
  <c r="O17" i="1"/>
  <c r="L17" i="1"/>
  <c r="K17" i="1"/>
  <c r="D17" i="1"/>
  <c r="C17" i="1"/>
  <c r="AH16" i="1"/>
  <c r="AG16" i="1"/>
  <c r="AC16" i="1"/>
  <c r="AB16" i="1"/>
  <c r="X16" i="1"/>
  <c r="W16" i="1"/>
  <c r="T16" i="1"/>
  <c r="S16" i="1"/>
  <c r="P16" i="1"/>
  <c r="O16" i="1"/>
  <c r="L16" i="1"/>
  <c r="K16" i="1"/>
  <c r="D16" i="1"/>
  <c r="C16" i="1"/>
  <c r="AH15" i="1"/>
  <c r="AG15" i="1"/>
  <c r="AC15" i="1"/>
  <c r="AB15" i="1"/>
  <c r="X15" i="1"/>
  <c r="W15" i="1"/>
  <c r="T15" i="1"/>
  <c r="S15" i="1"/>
  <c r="P15" i="1"/>
  <c r="O15" i="1"/>
  <c r="L15" i="1"/>
  <c r="K15" i="1"/>
  <c r="D15" i="1"/>
  <c r="C15" i="1"/>
  <c r="AH14" i="1"/>
  <c r="AG14" i="1"/>
  <c r="AC14" i="1"/>
  <c r="AB14" i="1"/>
  <c r="X14" i="1"/>
  <c r="W14" i="1"/>
  <c r="T14" i="1"/>
  <c r="S14" i="1"/>
  <c r="P14" i="1"/>
  <c r="O14" i="1"/>
  <c r="L14" i="1"/>
  <c r="K14" i="1"/>
  <c r="D14" i="1"/>
  <c r="C14" i="1"/>
  <c r="AH13" i="1"/>
  <c r="AG13" i="1"/>
  <c r="AC13" i="1"/>
  <c r="X13" i="1"/>
  <c r="W13" i="1"/>
  <c r="T13" i="1"/>
  <c r="S13" i="1"/>
  <c r="P13" i="1"/>
  <c r="O13" i="1"/>
  <c r="L13" i="1"/>
  <c r="K13" i="1"/>
  <c r="H13" i="1"/>
  <c r="G13" i="1"/>
  <c r="D13" i="1"/>
  <c r="C13" i="1"/>
  <c r="AH12" i="1"/>
  <c r="AG12" i="1"/>
  <c r="AC12" i="1"/>
  <c r="AB12" i="1"/>
  <c r="X12" i="1"/>
  <c r="W12" i="1"/>
  <c r="T12" i="1"/>
  <c r="S12" i="1"/>
  <c r="P12" i="1"/>
  <c r="O12" i="1"/>
  <c r="L12" i="1"/>
  <c r="K12" i="1"/>
  <c r="H12" i="1"/>
  <c r="G12" i="1"/>
  <c r="D12" i="1"/>
  <c r="C12" i="1"/>
  <c r="AH11" i="1"/>
  <c r="AG11" i="1"/>
  <c r="AC11" i="1"/>
  <c r="AB11" i="1"/>
  <c r="X11" i="1"/>
  <c r="W11" i="1"/>
  <c r="T11" i="1"/>
  <c r="S11" i="1"/>
  <c r="P11" i="1"/>
  <c r="O11" i="1"/>
  <c r="L11" i="1"/>
  <c r="K11" i="1"/>
  <c r="H11" i="1"/>
  <c r="G11" i="1"/>
  <c r="D11" i="1"/>
  <c r="C11" i="1"/>
  <c r="AH10" i="1"/>
  <c r="AG10" i="1"/>
  <c r="AC10" i="1"/>
  <c r="AB10" i="1"/>
  <c r="X10" i="1"/>
  <c r="W10" i="1"/>
  <c r="T10" i="1"/>
  <c r="S10" i="1"/>
  <c r="P10" i="1"/>
  <c r="O10" i="1"/>
  <c r="L10" i="1"/>
  <c r="K10" i="1"/>
  <c r="H10" i="1"/>
  <c r="G10" i="1"/>
  <c r="D10" i="1"/>
  <c r="C10" i="1"/>
  <c r="AH9" i="1"/>
  <c r="AG9" i="1"/>
  <c r="AC9" i="1"/>
  <c r="AB9" i="1"/>
  <c r="X9" i="1"/>
  <c r="W9" i="1"/>
  <c r="T9" i="1"/>
  <c r="S9" i="1"/>
  <c r="P9" i="1"/>
  <c r="O9" i="1"/>
  <c r="L9" i="1"/>
  <c r="K9" i="1"/>
  <c r="H9" i="1"/>
  <c r="G9" i="1"/>
  <c r="D9" i="1"/>
  <c r="C9" i="1"/>
  <c r="AH8" i="1"/>
  <c r="AG8" i="1"/>
  <c r="AC8" i="1"/>
  <c r="AB8" i="1"/>
  <c r="X8" i="1"/>
  <c r="W8" i="1"/>
  <c r="T8" i="1"/>
  <c r="S8" i="1"/>
  <c r="P8" i="1"/>
  <c r="O8" i="1"/>
  <c r="L8" i="1"/>
  <c r="K8" i="1"/>
  <c r="H8" i="1"/>
  <c r="G8" i="1"/>
  <c r="D8" i="1"/>
  <c r="C8" i="1"/>
  <c r="AH7" i="1"/>
  <c r="AG7" i="1"/>
  <c r="AC7" i="1"/>
  <c r="AB7" i="1"/>
  <c r="X7" i="1"/>
  <c r="W7" i="1"/>
  <c r="T7" i="1"/>
  <c r="S7" i="1"/>
  <c r="P7" i="1"/>
  <c r="O7" i="1"/>
  <c r="L7" i="1"/>
  <c r="K7" i="1"/>
  <c r="H7" i="1"/>
  <c r="G7" i="1"/>
  <c r="D7" i="1"/>
  <c r="C7" i="1"/>
  <c r="AH6" i="1"/>
  <c r="AG6" i="1"/>
  <c r="AC6" i="1"/>
  <c r="AB6" i="1"/>
  <c r="X6" i="1"/>
  <c r="W6" i="1"/>
  <c r="T6" i="1"/>
  <c r="S6" i="1"/>
  <c r="P6" i="1"/>
  <c r="O6" i="1"/>
  <c r="L6" i="1"/>
  <c r="K6" i="1"/>
  <c r="H6" i="1"/>
  <c r="G6" i="1"/>
  <c r="D6" i="1"/>
  <c r="C6" i="1"/>
  <c r="S63" i="18" l="1"/>
  <c r="T63" i="18" s="1"/>
  <c r="L60" i="18"/>
  <c r="L70" i="18"/>
  <c r="S75" i="18"/>
  <c r="T75" i="18" s="1"/>
  <c r="S90" i="18"/>
  <c r="T90" i="18" s="1"/>
  <c r="S28" i="18"/>
  <c r="T28" i="18" s="1"/>
  <c r="S33" i="18"/>
  <c r="T33" i="18" s="1"/>
  <c r="L86" i="18"/>
  <c r="S14" i="18"/>
  <c r="T14" i="18" s="1"/>
  <c r="S19" i="18"/>
  <c r="T19" i="18" s="1"/>
  <c r="L63" i="18"/>
  <c r="S55" i="18"/>
  <c r="T55" i="18" s="1"/>
  <c r="S88" i="18"/>
  <c r="T88" i="18" s="1"/>
  <c r="J14" i="8"/>
  <c r="F5" i="9"/>
  <c r="S81" i="18"/>
  <c r="T81" i="18" s="1"/>
  <c r="G7" i="15"/>
  <c r="V16" i="9"/>
  <c r="X28" i="15"/>
  <c r="AB13" i="18"/>
  <c r="Z13" i="18" s="1"/>
  <c r="AA13" i="18" s="1"/>
  <c r="R28" i="9"/>
  <c r="O70" i="18"/>
  <c r="K34" i="7"/>
  <c r="X28" i="18"/>
  <c r="S68" i="18"/>
  <c r="T68" i="18" s="1"/>
  <c r="W26" i="10"/>
  <c r="L15" i="18"/>
  <c r="L68" i="18"/>
  <c r="J18" i="8"/>
  <c r="G24" i="15"/>
  <c r="X43" i="18"/>
  <c r="K16" i="4"/>
  <c r="R36" i="8"/>
  <c r="V55" i="8"/>
  <c r="L53" i="18"/>
  <c r="S70" i="18"/>
  <c r="T70" i="18" s="1"/>
  <c r="V47" i="8"/>
  <c r="G36" i="15"/>
  <c r="R18" i="18"/>
  <c r="L45" i="18"/>
  <c r="X63" i="18"/>
  <c r="G47" i="7"/>
  <c r="J31" i="9"/>
  <c r="L29" i="18"/>
  <c r="U38" i="18"/>
  <c r="S43" i="18"/>
  <c r="T43" i="18" s="1"/>
  <c r="S56" i="18"/>
  <c r="T56" i="18" s="1"/>
  <c r="V24" i="9"/>
  <c r="L43" i="18"/>
  <c r="S86" i="18"/>
  <c r="T86" i="18" s="1"/>
  <c r="B23" i="2"/>
  <c r="B22" i="2"/>
  <c r="S91" i="18"/>
  <c r="T91" i="18" s="1"/>
  <c r="V31" i="8"/>
  <c r="R21" i="9"/>
  <c r="V23" i="9"/>
  <c r="S25" i="10"/>
  <c r="S29" i="10"/>
  <c r="N27" i="15"/>
  <c r="N57" i="18"/>
  <c r="B53" i="2"/>
  <c r="N16" i="4"/>
  <c r="V19" i="9"/>
  <c r="R32" i="9"/>
  <c r="W27" i="10"/>
  <c r="F40" i="15"/>
  <c r="O57" i="18"/>
  <c r="K8" i="4"/>
  <c r="R28" i="18"/>
  <c r="S32" i="18"/>
  <c r="T32" i="18" s="1"/>
  <c r="R43" i="18"/>
  <c r="R57" i="18"/>
  <c r="L88" i="18"/>
  <c r="B47" i="2"/>
  <c r="B29" i="2"/>
  <c r="B26" i="2"/>
  <c r="M30" i="4"/>
  <c r="K51" i="7"/>
  <c r="R30" i="9"/>
  <c r="S21" i="10"/>
  <c r="U28" i="18"/>
  <c r="L32" i="18"/>
  <c r="U43" i="18"/>
  <c r="AB57" i="18"/>
  <c r="Z57" i="18" s="1"/>
  <c r="AA57" i="18" s="1"/>
  <c r="L76" i="18"/>
  <c r="S85" i="18"/>
  <c r="T85" i="18" s="1"/>
  <c r="F9" i="3"/>
  <c r="M8" i="4"/>
  <c r="S58" i="18"/>
  <c r="T58" i="18" s="1"/>
  <c r="B8" i="2"/>
  <c r="N8" i="4"/>
  <c r="V22" i="9"/>
  <c r="V26" i="9"/>
  <c r="G17" i="15"/>
  <c r="L10" i="18"/>
  <c r="S18" i="18"/>
  <c r="T18" i="18" s="1"/>
  <c r="AB32" i="18"/>
  <c r="Z32" i="18" s="1"/>
  <c r="AA32" i="18" s="1"/>
  <c r="S73" i="18"/>
  <c r="T73" i="18" s="1"/>
  <c r="L89" i="18"/>
  <c r="B59" i="2"/>
  <c r="G16" i="4"/>
  <c r="J6" i="8"/>
  <c r="F10" i="8"/>
  <c r="V34" i="8"/>
  <c r="V38" i="8"/>
  <c r="G15" i="11"/>
  <c r="N18" i="18"/>
  <c r="U21" i="18"/>
  <c r="S48" i="18"/>
  <c r="T48" i="18" s="1"/>
  <c r="G32" i="4"/>
  <c r="O18" i="18"/>
  <c r="S38" i="18"/>
  <c r="T38" i="18" s="1"/>
  <c r="S53" i="18"/>
  <c r="T53" i="18" s="1"/>
  <c r="S57" i="18"/>
  <c r="T57" i="18" s="1"/>
  <c r="X8" i="15"/>
  <c r="N5" i="18"/>
  <c r="U9" i="18"/>
  <c r="O11" i="18"/>
  <c r="X49" i="18"/>
  <c r="X61" i="18"/>
  <c r="N65" i="18"/>
  <c r="N91" i="18"/>
  <c r="U93" i="18"/>
  <c r="G16" i="7"/>
  <c r="G36" i="7"/>
  <c r="F29" i="8"/>
  <c r="F15" i="9"/>
  <c r="F21" i="9"/>
  <c r="J16" i="10"/>
  <c r="F27" i="15"/>
  <c r="X29" i="15"/>
  <c r="F31" i="15"/>
  <c r="X37" i="15"/>
  <c r="X9" i="18"/>
  <c r="AB55" i="18"/>
  <c r="Z55" i="18" s="1"/>
  <c r="AA55" i="18" s="1"/>
  <c r="O65" i="18"/>
  <c r="N76" i="18"/>
  <c r="O81" i="18"/>
  <c r="AB89" i="18"/>
  <c r="Z89" i="18" s="1"/>
  <c r="AA89" i="18" s="1"/>
  <c r="R91" i="18"/>
  <c r="X93" i="18"/>
  <c r="D4" i="1"/>
  <c r="G15" i="4"/>
  <c r="F16" i="8"/>
  <c r="J21" i="8"/>
  <c r="R44" i="8"/>
  <c r="F27" i="9"/>
  <c r="F28" i="10"/>
  <c r="F30" i="10"/>
  <c r="N10" i="15"/>
  <c r="F34" i="15"/>
  <c r="F46" i="15"/>
  <c r="AB11" i="18"/>
  <c r="Z11" i="18" s="1"/>
  <c r="AA11" i="18" s="1"/>
  <c r="N33" i="18"/>
  <c r="AB49" i="18"/>
  <c r="Z49" i="18" s="1"/>
  <c r="AA49" i="18" s="1"/>
  <c r="R65" i="18"/>
  <c r="R76" i="18"/>
  <c r="R81" i="18"/>
  <c r="N86" i="18"/>
  <c r="N88" i="18"/>
  <c r="U91" i="18"/>
  <c r="N97" i="18"/>
  <c r="K13" i="4"/>
  <c r="G18" i="4"/>
  <c r="H4" i="1"/>
  <c r="M13" i="4"/>
  <c r="G14" i="7"/>
  <c r="G29" i="7"/>
  <c r="G40" i="7"/>
  <c r="V56" i="8"/>
  <c r="N14" i="18"/>
  <c r="N23" i="18"/>
  <c r="AB26" i="18"/>
  <c r="Z26" i="18" s="1"/>
  <c r="AA26" i="18" s="1"/>
  <c r="O33" i="18"/>
  <c r="U60" i="18"/>
  <c r="L64" i="18"/>
  <c r="U65" i="18"/>
  <c r="U69" i="18"/>
  <c r="U76" i="18"/>
  <c r="U81" i="18"/>
  <c r="N84" i="18"/>
  <c r="O86" i="18"/>
  <c r="O88" i="18"/>
  <c r="X91" i="18"/>
  <c r="K22" i="4"/>
  <c r="X36" i="15"/>
  <c r="O14" i="18"/>
  <c r="U23" i="18"/>
  <c r="R33" i="18"/>
  <c r="X56" i="18"/>
  <c r="X60" i="18"/>
  <c r="X69" i="18"/>
  <c r="O75" i="18"/>
  <c r="X76" i="18"/>
  <c r="X81" i="18"/>
  <c r="U84" i="18"/>
  <c r="R86" i="18"/>
  <c r="R88" i="18"/>
  <c r="O90" i="18"/>
  <c r="R39" i="9"/>
  <c r="N20" i="15"/>
  <c r="N34" i="15"/>
  <c r="X35" i="15"/>
  <c r="F47" i="15"/>
  <c r="U4" i="18"/>
  <c r="N10" i="18"/>
  <c r="X12" i="18"/>
  <c r="R14" i="18"/>
  <c r="X17" i="18"/>
  <c r="AB23" i="18"/>
  <c r="Z23" i="18" s="1"/>
  <c r="AA23" i="18" s="1"/>
  <c r="U33" i="18"/>
  <c r="X50" i="18"/>
  <c r="R64" i="18"/>
  <c r="AB65" i="18"/>
  <c r="Z65" i="18" s="1"/>
  <c r="AA65" i="18" s="1"/>
  <c r="N68" i="18"/>
  <c r="R75" i="18"/>
  <c r="U86" i="18"/>
  <c r="U88" i="18"/>
  <c r="AB90" i="18"/>
  <c r="Z90" i="18" s="1"/>
  <c r="AA90" i="18" s="1"/>
  <c r="J17" i="10"/>
  <c r="S39" i="10"/>
  <c r="G43" i="7"/>
  <c r="K25" i="4"/>
  <c r="K6" i="4"/>
  <c r="F28" i="8"/>
  <c r="V33" i="8"/>
  <c r="R49" i="8"/>
  <c r="X4" i="18"/>
  <c r="R68" i="18"/>
  <c r="G9" i="4"/>
  <c r="K30" i="4"/>
  <c r="K21" i="7"/>
  <c r="G37" i="7"/>
  <c r="G45" i="7"/>
  <c r="F20" i="8"/>
  <c r="R30" i="8"/>
  <c r="J18" i="9"/>
  <c r="F7" i="10"/>
  <c r="F11" i="10"/>
  <c r="J15" i="10"/>
  <c r="J23" i="10"/>
  <c r="N5" i="15"/>
  <c r="F25" i="15"/>
  <c r="N33" i="15"/>
  <c r="F44" i="15"/>
  <c r="X14" i="18"/>
  <c r="S30" i="18"/>
  <c r="T30" i="18" s="1"/>
  <c r="O38" i="18"/>
  <c r="N43" i="18"/>
  <c r="R63" i="18"/>
  <c r="S65" i="18"/>
  <c r="T65" i="18" s="1"/>
  <c r="U68" i="18"/>
  <c r="X75" i="18"/>
  <c r="G25" i="7"/>
  <c r="R45" i="8"/>
  <c r="G7" i="7"/>
  <c r="J6" i="9"/>
  <c r="U14" i="18"/>
  <c r="AB29" i="18"/>
  <c r="Z29" i="18" s="1"/>
  <c r="AA29" i="18" s="1"/>
  <c r="AB56" i="18"/>
  <c r="Z56" i="18" s="1"/>
  <c r="AA56" i="18" s="1"/>
  <c r="N63" i="18"/>
  <c r="AB64" i="18"/>
  <c r="Z64" i="18" s="1"/>
  <c r="AA64" i="18" s="1"/>
  <c r="X88" i="18"/>
  <c r="F15" i="8"/>
  <c r="V36" i="9"/>
  <c r="O28" i="18"/>
  <c r="R38" i="18"/>
  <c r="O43" i="18"/>
  <c r="U63" i="18"/>
  <c r="L65" i="18"/>
  <c r="X68" i="18"/>
  <c r="S76" i="18"/>
  <c r="T76" i="18" s="1"/>
  <c r="AB85" i="18"/>
  <c r="Z85" i="18" s="1"/>
  <c r="AA85" i="18" s="1"/>
  <c r="L91" i="18"/>
  <c r="B9" i="2"/>
  <c r="B16" i="2"/>
  <c r="B34" i="2"/>
  <c r="B40" i="2"/>
  <c r="B50" i="2"/>
  <c r="B32" i="2"/>
  <c r="B63" i="2"/>
  <c r="R27" i="9"/>
  <c r="V27" i="9"/>
  <c r="F2" i="15"/>
  <c r="G2" i="15"/>
  <c r="Q25" i="15"/>
  <c r="N25" i="15"/>
  <c r="U52" i="18"/>
  <c r="L52" i="18"/>
  <c r="AB52" i="18"/>
  <c r="Z52" i="18" s="1"/>
  <c r="AA52" i="18" s="1"/>
  <c r="X52" i="18"/>
  <c r="B27" i="2"/>
  <c r="B24" i="2"/>
  <c r="B36" i="2"/>
  <c r="F5" i="3"/>
  <c r="F8" i="3"/>
  <c r="G7" i="4"/>
  <c r="M11" i="4"/>
  <c r="N11" i="4"/>
  <c r="G17" i="4"/>
  <c r="K20" i="4"/>
  <c r="G20" i="4"/>
  <c r="K8" i="7"/>
  <c r="K17" i="7"/>
  <c r="J25" i="8"/>
  <c r="Q27" i="8"/>
  <c r="V35" i="8"/>
  <c r="R46" i="8"/>
  <c r="V46" i="8"/>
  <c r="V60" i="8"/>
  <c r="F4" i="9"/>
  <c r="R20" i="9"/>
  <c r="V34" i="9"/>
  <c r="V38" i="9"/>
  <c r="F5" i="10"/>
  <c r="F25" i="10"/>
  <c r="S32" i="10"/>
  <c r="S43" i="10"/>
  <c r="F8" i="15"/>
  <c r="X13" i="15"/>
  <c r="X8" i="18"/>
  <c r="N52" i="18"/>
  <c r="B11" i="2"/>
  <c r="B44" i="2"/>
  <c r="B30" i="2"/>
  <c r="B67" i="2"/>
  <c r="B49" i="2"/>
  <c r="G6" i="4"/>
  <c r="K28" i="4"/>
  <c r="K5" i="7"/>
  <c r="G5" i="7"/>
  <c r="K10" i="7"/>
  <c r="G24" i="7"/>
  <c r="G39" i="7"/>
  <c r="G41" i="7"/>
  <c r="G49" i="7"/>
  <c r="J7" i="8"/>
  <c r="F7" i="8"/>
  <c r="V54" i="8"/>
  <c r="V57" i="8"/>
  <c r="J17" i="9"/>
  <c r="F17" i="9"/>
  <c r="J8" i="10"/>
  <c r="F8" i="10"/>
  <c r="S30" i="10"/>
  <c r="W36" i="10"/>
  <c r="S36" i="10"/>
  <c r="K12" i="11"/>
  <c r="K16" i="11"/>
  <c r="G16" i="11"/>
  <c r="Q15" i="15"/>
  <c r="N15" i="15"/>
  <c r="N32" i="15"/>
  <c r="F43" i="15"/>
  <c r="S25" i="18"/>
  <c r="T25" i="18" s="1"/>
  <c r="O52" i="18"/>
  <c r="X54" i="18"/>
  <c r="U54" i="18"/>
  <c r="R54" i="18"/>
  <c r="O54" i="18"/>
  <c r="N54" i="18"/>
  <c r="AB58" i="18"/>
  <c r="Z58" i="18" s="1"/>
  <c r="AA58" i="18" s="1"/>
  <c r="X58" i="18"/>
  <c r="U58" i="18"/>
  <c r="R58" i="18"/>
  <c r="O58" i="18"/>
  <c r="N58" i="18"/>
  <c r="AB74" i="18"/>
  <c r="Z74" i="18" s="1"/>
  <c r="AA74" i="18" s="1"/>
  <c r="X74" i="18"/>
  <c r="AB78" i="18"/>
  <c r="Z78" i="18" s="1"/>
  <c r="AA78" i="18" s="1"/>
  <c r="L78" i="18"/>
  <c r="X78" i="18"/>
  <c r="U78" i="18"/>
  <c r="R78" i="18"/>
  <c r="S83" i="18"/>
  <c r="T83" i="18" s="1"/>
  <c r="X87" i="18"/>
  <c r="R87" i="18"/>
  <c r="B12" i="2"/>
  <c r="B20" i="2"/>
  <c r="B28" i="2"/>
  <c r="B64" i="2"/>
  <c r="B35" i="2"/>
  <c r="G5" i="4"/>
  <c r="K17" i="4"/>
  <c r="G26" i="4"/>
  <c r="G46" i="7"/>
  <c r="F11" i="8"/>
  <c r="V39" i="8"/>
  <c r="V43" i="8"/>
  <c r="J7" i="9"/>
  <c r="J13" i="9"/>
  <c r="J28" i="9"/>
  <c r="R31" i="9"/>
  <c r="F20" i="10"/>
  <c r="F27" i="10"/>
  <c r="G6" i="11"/>
  <c r="K6" i="11"/>
  <c r="AB45" i="18"/>
  <c r="Z45" i="18" s="1"/>
  <c r="AA45" i="18" s="1"/>
  <c r="X45" i="18"/>
  <c r="U45" i="18"/>
  <c r="S45" i="18"/>
  <c r="T45" i="18" s="1"/>
  <c r="R52" i="18"/>
  <c r="AB54" i="18"/>
  <c r="Z54" i="18" s="1"/>
  <c r="AA54" i="18" s="1"/>
  <c r="N78" i="18"/>
  <c r="N87" i="18"/>
  <c r="B14" i="2"/>
  <c r="B42" i="2"/>
  <c r="B45" i="2"/>
  <c r="B48" i="2"/>
  <c r="B4" i="2"/>
  <c r="B43" i="2"/>
  <c r="B41" i="2"/>
  <c r="J23" i="8"/>
  <c r="F23" i="8"/>
  <c r="J11" i="9"/>
  <c r="F11" i="9"/>
  <c r="W41" i="10"/>
  <c r="S41" i="10"/>
  <c r="AB18" i="15"/>
  <c r="X18" i="15"/>
  <c r="R19" i="18"/>
  <c r="AB19" i="18"/>
  <c r="Z19" i="18" s="1"/>
  <c r="AA19" i="18" s="1"/>
  <c r="X19" i="18"/>
  <c r="X25" i="18"/>
  <c r="AB25" i="18"/>
  <c r="Z25" i="18" s="1"/>
  <c r="AA25" i="18" s="1"/>
  <c r="R25" i="18"/>
  <c r="AB83" i="18"/>
  <c r="Z83" i="18" s="1"/>
  <c r="AA83" i="18" s="1"/>
  <c r="X83" i="18"/>
  <c r="U83" i="18"/>
  <c r="R83" i="18"/>
  <c r="O83" i="18"/>
  <c r="N83" i="18"/>
  <c r="L92" i="18"/>
  <c r="O92" i="18"/>
  <c r="N92" i="18"/>
  <c r="AC4" i="1"/>
  <c r="P4" i="1"/>
  <c r="X4" i="1"/>
  <c r="L4" i="1"/>
  <c r="AH4" i="1"/>
  <c r="T4" i="1"/>
  <c r="B38" i="2"/>
  <c r="B46" i="2"/>
  <c r="B7" i="2"/>
  <c r="B62" i="2"/>
  <c r="B5" i="2"/>
  <c r="B60" i="2"/>
  <c r="B65" i="2"/>
  <c r="B54" i="2"/>
  <c r="B2" i="2"/>
  <c r="B18" i="2"/>
  <c r="K5" i="4"/>
  <c r="N17" i="4"/>
  <c r="G23" i="7"/>
  <c r="G48" i="7"/>
  <c r="K53" i="7"/>
  <c r="R51" i="8"/>
  <c r="V58" i="8"/>
  <c r="J8" i="9"/>
  <c r="F8" i="9"/>
  <c r="F16" i="9"/>
  <c r="V17" i="9"/>
  <c r="J6" i="10"/>
  <c r="F13" i="10"/>
  <c r="S22" i="10"/>
  <c r="F24" i="10"/>
  <c r="S33" i="10"/>
  <c r="G13" i="11"/>
  <c r="K17" i="11"/>
  <c r="Q31" i="15"/>
  <c r="N31" i="15"/>
  <c r="N25" i="18"/>
  <c r="L72" i="18"/>
  <c r="AB72" i="18"/>
  <c r="Z72" i="18" s="1"/>
  <c r="AA72" i="18" s="1"/>
  <c r="X72" i="18"/>
  <c r="R72" i="18"/>
  <c r="O72" i="18"/>
  <c r="N72" i="18"/>
  <c r="B25" i="2"/>
  <c r="B56" i="2"/>
  <c r="B61" i="2"/>
  <c r="B33" i="2"/>
  <c r="N6" i="4"/>
  <c r="K10" i="4"/>
  <c r="AB4" i="15"/>
  <c r="X4" i="15"/>
  <c r="G22" i="15"/>
  <c r="F22" i="15"/>
  <c r="O25" i="18"/>
  <c r="X30" i="18"/>
  <c r="AB30" i="18"/>
  <c r="Z30" i="18" s="1"/>
  <c r="AA30" i="18" s="1"/>
  <c r="U30" i="18"/>
  <c r="R30" i="18"/>
  <c r="O30" i="18"/>
  <c r="O46" i="18"/>
  <c r="AB46" i="18"/>
  <c r="Z46" i="18" s="1"/>
  <c r="AA46" i="18" s="1"/>
  <c r="X46" i="18"/>
  <c r="U46" i="18"/>
  <c r="AB48" i="18"/>
  <c r="Z48" i="18" s="1"/>
  <c r="AA48" i="18" s="1"/>
  <c r="X48" i="18"/>
  <c r="U48" i="18"/>
  <c r="R48" i="18"/>
  <c r="O48" i="18"/>
  <c r="N48" i="18"/>
  <c r="AB59" i="18"/>
  <c r="Z59" i="18" s="1"/>
  <c r="AA59" i="18" s="1"/>
  <c r="X59" i="18"/>
  <c r="U59" i="18"/>
  <c r="N59" i="18"/>
  <c r="N99" i="18"/>
  <c r="F7" i="3"/>
  <c r="N5" i="4"/>
  <c r="N13" i="4"/>
  <c r="G15" i="7"/>
  <c r="G18" i="7"/>
  <c r="J9" i="8"/>
  <c r="F12" i="8"/>
  <c r="J24" i="8"/>
  <c r="R28" i="8"/>
  <c r="V28" i="8"/>
  <c r="V37" i="8"/>
  <c r="J10" i="10"/>
  <c r="W38" i="10"/>
  <c r="S42" i="10"/>
  <c r="K10" i="11"/>
  <c r="F33" i="15"/>
  <c r="O7" i="18"/>
  <c r="X7" i="18"/>
  <c r="U7" i="18"/>
  <c r="S7" i="18"/>
  <c r="T7" i="18" s="1"/>
  <c r="R7" i="18"/>
  <c r="N30" i="18"/>
  <c r="N46" i="18"/>
  <c r="AB53" i="18"/>
  <c r="Z53" i="18" s="1"/>
  <c r="AA53" i="18" s="1"/>
  <c r="X53" i="18"/>
  <c r="U53" i="18"/>
  <c r="R53" i="18"/>
  <c r="O53" i="18"/>
  <c r="B3" i="2"/>
  <c r="B19" i="2"/>
  <c r="B51" i="2"/>
  <c r="B31" i="2"/>
  <c r="B66" i="2"/>
  <c r="B37" i="2"/>
  <c r="G35" i="7"/>
  <c r="J27" i="8"/>
  <c r="F27" i="8"/>
  <c r="R41" i="8"/>
  <c r="V59" i="8"/>
  <c r="F9" i="9"/>
  <c r="F12" i="9"/>
  <c r="R25" i="9"/>
  <c r="R37" i="9"/>
  <c r="V37" i="9"/>
  <c r="W24" i="10"/>
  <c r="S31" i="10"/>
  <c r="Q3" i="15"/>
  <c r="N3" i="15"/>
  <c r="AB11" i="15"/>
  <c r="X11" i="15"/>
  <c r="Q16" i="15"/>
  <c r="N16" i="15"/>
  <c r="R46" i="18"/>
  <c r="B52" i="2"/>
  <c r="B57" i="2"/>
  <c r="B39" i="2"/>
  <c r="B15" i="2"/>
  <c r="B17" i="2"/>
  <c r="B10" i="2"/>
  <c r="B13" i="2"/>
  <c r="B58" i="2"/>
  <c r="V53" i="8"/>
  <c r="R53" i="8"/>
  <c r="F19" i="10"/>
  <c r="J19" i="10"/>
  <c r="L34" i="18"/>
  <c r="S52" i="18"/>
  <c r="T52" i="18" s="1"/>
  <c r="L67" i="18"/>
  <c r="AB67" i="18"/>
  <c r="Z67" i="18" s="1"/>
  <c r="AA67" i="18" s="1"/>
  <c r="AB73" i="18"/>
  <c r="Z73" i="18" s="1"/>
  <c r="AA73" i="18" s="1"/>
  <c r="X73" i="18"/>
  <c r="U73" i="18"/>
  <c r="R73" i="18"/>
  <c r="O73" i="18"/>
  <c r="N73" i="18"/>
  <c r="L5" i="18"/>
  <c r="S35" i="18"/>
  <c r="T35" i="18" s="1"/>
  <c r="X38" i="18"/>
  <c r="S50" i="18"/>
  <c r="T50" i="18" s="1"/>
  <c r="AB75" i="18"/>
  <c r="Z75" i="18" s="1"/>
  <c r="AA75" i="18" s="1"/>
  <c r="L90" i="18"/>
  <c r="S94" i="18"/>
  <c r="T94" i="18" s="1"/>
  <c r="S4" i="18"/>
  <c r="T4" i="18" s="1"/>
  <c r="S9" i="18"/>
  <c r="T9" i="18" s="1"/>
  <c r="L12" i="18"/>
  <c r="L17" i="18"/>
  <c r="L37" i="18"/>
  <c r="L41" i="18"/>
  <c r="L66" i="18"/>
  <c r="L85" i="18"/>
  <c r="N7" i="15"/>
  <c r="N8" i="15"/>
  <c r="X10" i="15"/>
  <c r="F13" i="15"/>
  <c r="F20" i="15"/>
  <c r="X23" i="15"/>
  <c r="X24" i="15"/>
  <c r="N50" i="18"/>
  <c r="N103" i="18"/>
  <c r="N2" i="15"/>
  <c r="AB3" i="15"/>
  <c r="X32" i="15"/>
  <c r="F42" i="15"/>
  <c r="N4" i="18"/>
  <c r="N9" i="18"/>
  <c r="R12" i="18"/>
  <c r="R17" i="18"/>
  <c r="AB35" i="18"/>
  <c r="Z35" i="18" s="1"/>
  <c r="AA35" i="18" s="1"/>
  <c r="U41" i="18"/>
  <c r="O50" i="18"/>
  <c r="R61" i="18"/>
  <c r="L69" i="18"/>
  <c r="L75" i="18"/>
  <c r="L81" i="18"/>
  <c r="N85" i="18"/>
  <c r="R90" i="18"/>
  <c r="F12" i="15"/>
  <c r="X15" i="15"/>
  <c r="X16" i="15"/>
  <c r="F19" i="15"/>
  <c r="N21" i="15"/>
  <c r="N28" i="15"/>
  <c r="X31" i="15"/>
  <c r="X33" i="15"/>
  <c r="F39" i="15"/>
  <c r="O4" i="18"/>
  <c r="O9" i="18"/>
  <c r="S12" i="18"/>
  <c r="T12" i="18" s="1"/>
  <c r="N15" i="18"/>
  <c r="S17" i="18"/>
  <c r="T17" i="18" s="1"/>
  <c r="U26" i="18"/>
  <c r="U29" i="18"/>
  <c r="O39" i="18"/>
  <c r="U44" i="18"/>
  <c r="R50" i="18"/>
  <c r="S61" i="18"/>
  <c r="T61" i="18" s="1"/>
  <c r="S78" i="18"/>
  <c r="T78" i="18" s="1"/>
  <c r="O85" i="18"/>
  <c r="N93" i="18"/>
  <c r="N95" i="18"/>
  <c r="F49" i="15"/>
  <c r="R4" i="18"/>
  <c r="R9" i="18"/>
  <c r="U12" i="18"/>
  <c r="U17" i="18"/>
  <c r="AB18" i="18"/>
  <c r="Z18" i="18" s="1"/>
  <c r="AA18" i="18" s="1"/>
  <c r="X26" i="18"/>
  <c r="N28" i="18"/>
  <c r="R32" i="18"/>
  <c r="X33" i="18"/>
  <c r="N38" i="18"/>
  <c r="AB41" i="18"/>
  <c r="Z41" i="18" s="1"/>
  <c r="AA41" i="18" s="1"/>
  <c r="AB44" i="18"/>
  <c r="Z44" i="18" s="1"/>
  <c r="AA44" i="18" s="1"/>
  <c r="S46" i="18"/>
  <c r="T46" i="18" s="1"/>
  <c r="U50" i="18"/>
  <c r="U56" i="18"/>
  <c r="X57" i="18"/>
  <c r="O63" i="18"/>
  <c r="O68" i="18"/>
  <c r="N75" i="18"/>
  <c r="O76" i="18"/>
  <c r="N81" i="18"/>
  <c r="R85" i="18"/>
  <c r="X86" i="18"/>
  <c r="O93" i="18"/>
  <c r="N101" i="18"/>
  <c r="V5" i="3"/>
  <c r="S47" i="3"/>
  <c r="F2" i="5"/>
  <c r="Z2" i="4"/>
  <c r="M2" i="4"/>
  <c r="K19" i="7"/>
  <c r="G19" i="7"/>
  <c r="K52" i="7"/>
  <c r="G52" i="7"/>
  <c r="J10" i="9"/>
  <c r="F10" i="9"/>
  <c r="J23" i="9"/>
  <c r="F23" i="9"/>
  <c r="V29" i="9"/>
  <c r="R29" i="9"/>
  <c r="J4" i="10"/>
  <c r="F4" i="10"/>
  <c r="K8" i="11"/>
  <c r="G8" i="11"/>
  <c r="F10" i="3"/>
  <c r="G14" i="4"/>
  <c r="G24" i="4"/>
  <c r="G12" i="7"/>
  <c r="G22" i="7"/>
  <c r="G27" i="7"/>
  <c r="G30" i="7"/>
  <c r="AA121" i="7"/>
  <c r="Q11" i="15"/>
  <c r="N11" i="15"/>
  <c r="G15" i="15"/>
  <c r="F15" i="15"/>
  <c r="T38" i="3"/>
  <c r="S38" i="3" s="1"/>
  <c r="J5" i="8"/>
  <c r="F5" i="8"/>
  <c r="V40" i="8"/>
  <c r="R40" i="8"/>
  <c r="F25" i="9"/>
  <c r="J25" i="9"/>
  <c r="G11" i="7"/>
  <c r="G32" i="7"/>
  <c r="G38" i="7"/>
  <c r="N15" i="7"/>
  <c r="P15" i="7" s="1"/>
  <c r="X121" i="7"/>
  <c r="N19" i="7" s="1"/>
  <c r="P19" i="7" s="1"/>
  <c r="X170" i="7"/>
  <c r="N25" i="7" s="1"/>
  <c r="P25" i="7" s="1"/>
  <c r="F8" i="8"/>
  <c r="F17" i="8"/>
  <c r="J19" i="8"/>
  <c r="F26" i="8"/>
  <c r="V50" i="8"/>
  <c r="F20" i="9"/>
  <c r="J20" i="9"/>
  <c r="V35" i="9"/>
  <c r="R35" i="9"/>
  <c r="Z2" i="11"/>
  <c r="M2" i="11"/>
  <c r="J3" i="13" s="1"/>
  <c r="AB5" i="15"/>
  <c r="X5" i="15"/>
  <c r="AB19" i="15"/>
  <c r="X19" i="15"/>
  <c r="Q23" i="15"/>
  <c r="N23" i="15"/>
  <c r="G31" i="4"/>
  <c r="R1" i="5"/>
  <c r="K2" i="5" s="1"/>
  <c r="E3" i="13" s="1"/>
  <c r="J5" i="5"/>
  <c r="N9" i="7"/>
  <c r="P9" i="7" s="1"/>
  <c r="Z121" i="7"/>
  <c r="Z170" i="7"/>
  <c r="F6" i="3"/>
  <c r="G11" i="4"/>
  <c r="G12" i="4"/>
  <c r="G19" i="4"/>
  <c r="K29" i="4"/>
  <c r="K42" i="7"/>
  <c r="G42" i="7"/>
  <c r="F3" i="9"/>
  <c r="J3" i="9"/>
  <c r="J22" i="9"/>
  <c r="F22" i="9"/>
  <c r="Q9" i="15"/>
  <c r="N9" i="15"/>
  <c r="G14" i="15"/>
  <c r="F14" i="15"/>
  <c r="G28" i="15"/>
  <c r="F28" i="15"/>
  <c r="K27" i="4"/>
  <c r="AA157" i="7"/>
  <c r="Z157" i="7"/>
  <c r="R32" i="8"/>
  <c r="V32" i="8"/>
  <c r="V48" i="8"/>
  <c r="R48" i="8"/>
  <c r="V18" i="9"/>
  <c r="J24" i="9"/>
  <c r="K11" i="4"/>
  <c r="G26" i="7"/>
  <c r="K31" i="7"/>
  <c r="X157" i="7"/>
  <c r="N23" i="7" s="1"/>
  <c r="P23" i="7" s="1"/>
  <c r="F4" i="8"/>
  <c r="J22" i="8"/>
  <c r="V29" i="8"/>
  <c r="J26" i="9"/>
  <c r="F26" i="9"/>
  <c r="K11" i="11"/>
  <c r="G11" i="11"/>
  <c r="AB17" i="15"/>
  <c r="X17" i="15"/>
  <c r="Q22" i="15"/>
  <c r="N22" i="15"/>
  <c r="Z13" i="4"/>
  <c r="K23" i="4"/>
  <c r="G30" i="4"/>
  <c r="G9" i="7"/>
  <c r="G13" i="7"/>
  <c r="G20" i="7"/>
  <c r="G28" i="7"/>
  <c r="G44" i="7"/>
  <c r="K50" i="7"/>
  <c r="R42" i="8"/>
  <c r="V42" i="8"/>
  <c r="V61" i="8"/>
  <c r="R61" i="8"/>
  <c r="J14" i="9"/>
  <c r="J19" i="9"/>
  <c r="F19" i="9"/>
  <c r="J29" i="9"/>
  <c r="R33" i="9"/>
  <c r="V33" i="9"/>
  <c r="L2" i="10"/>
  <c r="H3" i="13" s="1"/>
  <c r="E2" i="12"/>
  <c r="Z12" i="4"/>
  <c r="K21" i="4"/>
  <c r="O2" i="6"/>
  <c r="K6" i="7"/>
  <c r="G6" i="7"/>
  <c r="K33" i="7"/>
  <c r="G33" i="7"/>
  <c r="R52" i="8"/>
  <c r="V52" i="8"/>
  <c r="AB6" i="15"/>
  <c r="X6" i="15"/>
  <c r="G26" i="15"/>
  <c r="F26" i="15"/>
  <c r="J9" i="10"/>
  <c r="F9" i="10"/>
  <c r="J26" i="10"/>
  <c r="F26" i="10"/>
  <c r="K14" i="11"/>
  <c r="G14" i="11"/>
  <c r="Z9" i="13"/>
  <c r="S20" i="10"/>
  <c r="F22" i="10"/>
  <c r="F29" i="10"/>
  <c r="S34" i="10"/>
  <c r="S37" i="10"/>
  <c r="G5" i="11"/>
  <c r="Z6" i="11"/>
  <c r="O37" i="13"/>
  <c r="N37" i="13"/>
  <c r="Z37" i="13" s="1"/>
  <c r="O38" i="13"/>
  <c r="F3" i="15"/>
  <c r="AB7" i="15"/>
  <c r="X7" i="15"/>
  <c r="G16" i="15"/>
  <c r="F16" i="15"/>
  <c r="Q24" i="15"/>
  <c r="N24" i="15"/>
  <c r="G32" i="15"/>
  <c r="F32" i="15"/>
  <c r="G41" i="15"/>
  <c r="F41" i="15"/>
  <c r="N12" i="16"/>
  <c r="M12" i="16"/>
  <c r="L12" i="16"/>
  <c r="N7" i="7"/>
  <c r="W23" i="10"/>
  <c r="S23" i="10"/>
  <c r="W40" i="10"/>
  <c r="S40" i="10"/>
  <c r="Z31" i="13"/>
  <c r="Z34" i="13"/>
  <c r="P38" i="13"/>
  <c r="F4" i="15"/>
  <c r="F5" i="15"/>
  <c r="X9" i="15"/>
  <c r="N12" i="15"/>
  <c r="N13" i="15"/>
  <c r="F18" i="15"/>
  <c r="X20" i="15"/>
  <c r="X21" i="15"/>
  <c r="N26" i="15"/>
  <c r="F29" i="15"/>
  <c r="F30" i="15"/>
  <c r="F35" i="15"/>
  <c r="F37" i="15"/>
  <c r="F38" i="15"/>
  <c r="K9" i="11"/>
  <c r="G9" i="11"/>
  <c r="G6" i="15"/>
  <c r="F6" i="15"/>
  <c r="Q14" i="15"/>
  <c r="N14" i="15"/>
  <c r="AB22" i="15"/>
  <c r="X22" i="15"/>
  <c r="J21" i="10"/>
  <c r="F21" i="10"/>
  <c r="W35" i="10"/>
  <c r="S35" i="10"/>
  <c r="G7" i="11"/>
  <c r="G18" i="11"/>
  <c r="Z32" i="13"/>
  <c r="Z35" i="13"/>
  <c r="L2" i="16"/>
  <c r="M5" i="16"/>
  <c r="N5" i="16"/>
  <c r="L7" i="16"/>
  <c r="M10" i="16"/>
  <c r="L10" i="16"/>
  <c r="Z48" i="13"/>
  <c r="Q4" i="15"/>
  <c r="N4" i="15"/>
  <c r="AB12" i="15"/>
  <c r="X12" i="15"/>
  <c r="G21" i="15"/>
  <c r="F21" i="15"/>
  <c r="Q29" i="15"/>
  <c r="N29" i="15"/>
  <c r="N35" i="15"/>
  <c r="F45" i="15"/>
  <c r="M2" i="16"/>
  <c r="N7" i="16"/>
  <c r="J30" i="9"/>
  <c r="J31" i="10"/>
  <c r="F31" i="10"/>
  <c r="Q37" i="13"/>
  <c r="N6" i="15"/>
  <c r="F9" i="15"/>
  <c r="F10" i="15"/>
  <c r="X14" i="15"/>
  <c r="N17" i="15"/>
  <c r="N18" i="15"/>
  <c r="F23" i="15"/>
  <c r="X25" i="15"/>
  <c r="X26" i="15"/>
  <c r="Q36" i="15"/>
  <c r="N36" i="15"/>
  <c r="F48" i="15"/>
  <c r="L5" i="16"/>
  <c r="N10" i="16"/>
  <c r="N14" i="16"/>
  <c r="M14" i="16"/>
  <c r="K19" i="11"/>
  <c r="G19" i="11"/>
  <c r="G11" i="15"/>
  <c r="F11" i="15"/>
  <c r="Q19" i="15"/>
  <c r="N19" i="15"/>
  <c r="AB27" i="15"/>
  <c r="X27" i="15"/>
  <c r="X30" i="15"/>
  <c r="M3" i="16"/>
  <c r="N3" i="16"/>
  <c r="L3" i="16"/>
  <c r="J14" i="10"/>
  <c r="F14" i="10"/>
  <c r="W28" i="10"/>
  <c r="S28" i="10"/>
  <c r="Z4" i="11"/>
  <c r="Z11" i="13"/>
  <c r="Z14" i="13"/>
  <c r="Z17" i="13"/>
  <c r="X37" i="13"/>
  <c r="AB2" i="15"/>
  <c r="X2" i="15"/>
  <c r="L14" i="16"/>
  <c r="U3" i="18"/>
  <c r="S3" i="18"/>
  <c r="T3" i="18" s="1"/>
  <c r="R3" i="18"/>
  <c r="O3" i="18"/>
  <c r="N3" i="18"/>
  <c r="L3" i="18"/>
  <c r="U27" i="18"/>
  <c r="L27" i="18"/>
  <c r="AB27" i="18"/>
  <c r="Z27" i="18" s="1"/>
  <c r="AA27" i="18" s="1"/>
  <c r="X27" i="18"/>
  <c r="S27" i="18"/>
  <c r="T27" i="18" s="1"/>
  <c r="O27" i="18"/>
  <c r="U62" i="18"/>
  <c r="S62" i="18"/>
  <c r="T62" i="18" s="1"/>
  <c r="L62" i="18"/>
  <c r="AB62" i="18"/>
  <c r="Z62" i="18" s="1"/>
  <c r="AA62" i="18" s="1"/>
  <c r="X62" i="18"/>
  <c r="R62" i="18"/>
  <c r="O62" i="18"/>
  <c r="X3" i="18"/>
  <c r="X16" i="18"/>
  <c r="U16" i="18"/>
  <c r="S16" i="18"/>
  <c r="T16" i="18" s="1"/>
  <c r="R16" i="18"/>
  <c r="N16" i="18"/>
  <c r="N27" i="18"/>
  <c r="N62" i="18"/>
  <c r="X11" i="18"/>
  <c r="U11" i="18"/>
  <c r="S11" i="18"/>
  <c r="T11" i="18" s="1"/>
  <c r="R11" i="18"/>
  <c r="N11" i="18"/>
  <c r="O16" i="18"/>
  <c r="R27" i="18"/>
  <c r="AB3" i="18"/>
  <c r="Z3" i="18" s="1"/>
  <c r="AA3" i="18" s="1"/>
  <c r="X6" i="18"/>
  <c r="U6" i="18"/>
  <c r="S6" i="18"/>
  <c r="T6" i="18" s="1"/>
  <c r="R6" i="18"/>
  <c r="N6" i="18"/>
  <c r="X40" i="18"/>
  <c r="U40" i="18"/>
  <c r="S40" i="18"/>
  <c r="T40" i="18" s="1"/>
  <c r="R40" i="18"/>
  <c r="O40" i="18"/>
  <c r="N40" i="18"/>
  <c r="L40" i="18"/>
  <c r="U80" i="18"/>
  <c r="S80" i="18"/>
  <c r="T80" i="18" s="1"/>
  <c r="R80" i="18"/>
  <c r="O80" i="18"/>
  <c r="L80" i="18"/>
  <c r="AB80" i="18"/>
  <c r="Z80" i="18" s="1"/>
  <c r="AA80" i="18" s="1"/>
  <c r="X80" i="18"/>
  <c r="N80" i="18"/>
  <c r="O6" i="18"/>
  <c r="S15" i="18"/>
  <c r="T15" i="18" s="1"/>
  <c r="AB16" i="18"/>
  <c r="Z16" i="18" s="1"/>
  <c r="AA16" i="18" s="1"/>
  <c r="X20" i="18"/>
  <c r="U20" i="18"/>
  <c r="S20" i="18"/>
  <c r="T20" i="18" s="1"/>
  <c r="R20" i="18"/>
  <c r="N20" i="18"/>
  <c r="O31" i="18"/>
  <c r="N31" i="18"/>
  <c r="X31" i="18"/>
  <c r="U31" i="18"/>
  <c r="S31" i="18"/>
  <c r="T31" i="18" s="1"/>
  <c r="R31" i="18"/>
  <c r="L31" i="18"/>
  <c r="N30" i="15"/>
  <c r="X34" i="15"/>
  <c r="N37" i="15"/>
  <c r="S10" i="18"/>
  <c r="T10" i="18" s="1"/>
  <c r="O20" i="18"/>
  <c r="U77" i="18"/>
  <c r="S77" i="18"/>
  <c r="T77" i="18" s="1"/>
  <c r="R77" i="18"/>
  <c r="O77" i="18"/>
  <c r="N77" i="18"/>
  <c r="L77" i="18"/>
  <c r="AB77" i="18"/>
  <c r="Z77" i="18" s="1"/>
  <c r="AA77" i="18" s="1"/>
  <c r="X77" i="18"/>
  <c r="M15" i="16"/>
  <c r="L15" i="16"/>
  <c r="S5" i="18"/>
  <c r="T5" i="18" s="1"/>
  <c r="AB6" i="18"/>
  <c r="Z6" i="18" s="1"/>
  <c r="AA6" i="18" s="1"/>
  <c r="AB20" i="18"/>
  <c r="Z20" i="18" s="1"/>
  <c r="AA20" i="18" s="1"/>
  <c r="X22" i="18"/>
  <c r="U22" i="18"/>
  <c r="S22" i="18"/>
  <c r="T22" i="18" s="1"/>
  <c r="R22" i="18"/>
  <c r="N22" i="18"/>
  <c r="AB31" i="18"/>
  <c r="Z31" i="18" s="1"/>
  <c r="AA31" i="18" s="1"/>
  <c r="O51" i="18"/>
  <c r="U51" i="18"/>
  <c r="AB51" i="18"/>
  <c r="Z51" i="18" s="1"/>
  <c r="AA51" i="18" s="1"/>
  <c r="X51" i="18"/>
  <c r="S51" i="18"/>
  <c r="T51" i="18" s="1"/>
  <c r="R51" i="18"/>
  <c r="N51" i="18"/>
  <c r="O22" i="18"/>
  <c r="U42" i="18"/>
  <c r="X42" i="18"/>
  <c r="L42" i="18"/>
  <c r="AB42" i="18"/>
  <c r="Z42" i="18" s="1"/>
  <c r="AA42" i="18" s="1"/>
  <c r="S42" i="18"/>
  <c r="T42" i="18" s="1"/>
  <c r="O42" i="18"/>
  <c r="U47" i="18"/>
  <c r="S47" i="18"/>
  <c r="T47" i="18" s="1"/>
  <c r="R47" i="18"/>
  <c r="AB47" i="18"/>
  <c r="Z47" i="18" s="1"/>
  <c r="AA47" i="18" s="1"/>
  <c r="X47" i="18"/>
  <c r="N47" i="18"/>
  <c r="U13" i="18"/>
  <c r="S13" i="18"/>
  <c r="T13" i="18" s="1"/>
  <c r="R13" i="18"/>
  <c r="O13" i="18"/>
  <c r="N13" i="18"/>
  <c r="L13" i="18"/>
  <c r="AB22" i="18"/>
  <c r="Z22" i="18" s="1"/>
  <c r="AA22" i="18" s="1"/>
  <c r="O36" i="18"/>
  <c r="N36" i="18"/>
  <c r="L36" i="18"/>
  <c r="AB36" i="18"/>
  <c r="Z36" i="18" s="1"/>
  <c r="AA36" i="18" s="1"/>
  <c r="X36" i="18"/>
  <c r="U36" i="18"/>
  <c r="S36" i="18"/>
  <c r="T36" i="18" s="1"/>
  <c r="N42" i="18"/>
  <c r="O47" i="18"/>
  <c r="L13" i="16"/>
  <c r="U8" i="18"/>
  <c r="S8" i="18"/>
  <c r="T8" i="18" s="1"/>
  <c r="R8" i="18"/>
  <c r="O8" i="18"/>
  <c r="N8" i="18"/>
  <c r="L8" i="18"/>
  <c r="S24" i="18"/>
  <c r="T24" i="18" s="1"/>
  <c r="R24" i="18"/>
  <c r="L24" i="18"/>
  <c r="AB24" i="18"/>
  <c r="Z24" i="18" s="1"/>
  <c r="AA24" i="18" s="1"/>
  <c r="X24" i="18"/>
  <c r="U24" i="18"/>
  <c r="O24" i="18"/>
  <c r="S39" i="18"/>
  <c r="T39" i="18" s="1"/>
  <c r="R39" i="18"/>
  <c r="AB39" i="18"/>
  <c r="Z39" i="18" s="1"/>
  <c r="AA39" i="18" s="1"/>
  <c r="X39" i="18"/>
  <c r="U39" i="18"/>
  <c r="N39" i="18"/>
  <c r="R42" i="18"/>
  <c r="S79" i="18"/>
  <c r="T79" i="18" s="1"/>
  <c r="O79" i="18"/>
  <c r="X79" i="18"/>
  <c r="U79" i="18"/>
  <c r="L79" i="18"/>
  <c r="U82" i="18"/>
  <c r="S82" i="18"/>
  <c r="T82" i="18" s="1"/>
  <c r="X82" i="18"/>
  <c r="L82" i="18"/>
  <c r="S96" i="18"/>
  <c r="T96" i="18" s="1"/>
  <c r="X5" i="18"/>
  <c r="X10" i="18"/>
  <c r="X15" i="18"/>
  <c r="U19" i="18"/>
  <c r="X21" i="18"/>
  <c r="X23" i="18"/>
  <c r="X32" i="18"/>
  <c r="U35" i="18"/>
  <c r="AB37" i="18"/>
  <c r="Z37" i="18" s="1"/>
  <c r="AA37" i="18" s="1"/>
  <c r="S69" i="18"/>
  <c r="T69" i="18" s="1"/>
  <c r="O69" i="18"/>
  <c r="N69" i="18"/>
  <c r="X70" i="18"/>
  <c r="N70" i="18"/>
  <c r="N79" i="18"/>
  <c r="N82" i="18"/>
  <c r="S84" i="18"/>
  <c r="T84" i="18" s="1"/>
  <c r="O84" i="18"/>
  <c r="L84" i="18"/>
  <c r="AB84" i="18"/>
  <c r="Z84" i="18" s="1"/>
  <c r="AA84" i="18" s="1"/>
  <c r="R84" i="18"/>
  <c r="U87" i="18"/>
  <c r="S87" i="18"/>
  <c r="T87" i="18" s="1"/>
  <c r="L87" i="18"/>
  <c r="AB87" i="18"/>
  <c r="Z87" i="18" s="1"/>
  <c r="AA87" i="18" s="1"/>
  <c r="O87" i="18"/>
  <c r="O71" i="18"/>
  <c r="AB71" i="18"/>
  <c r="Z71" i="18" s="1"/>
  <c r="AA71" i="18" s="1"/>
  <c r="S71" i="18"/>
  <c r="T71" i="18" s="1"/>
  <c r="R71" i="18"/>
  <c r="X71" i="18"/>
  <c r="R79" i="18"/>
  <c r="O82" i="18"/>
  <c r="S34" i="18"/>
  <c r="T34" i="18" s="1"/>
  <c r="R34" i="18"/>
  <c r="O66" i="18"/>
  <c r="X66" i="18"/>
  <c r="U66" i="18"/>
  <c r="N71" i="18"/>
  <c r="R82" i="18"/>
  <c r="AB5" i="18"/>
  <c r="Z5" i="18" s="1"/>
  <c r="AA5" i="18" s="1"/>
  <c r="AB10" i="18"/>
  <c r="Z10" i="18" s="1"/>
  <c r="AA10" i="18" s="1"/>
  <c r="AB15" i="18"/>
  <c r="Z15" i="18" s="1"/>
  <c r="AA15" i="18" s="1"/>
  <c r="L21" i="18"/>
  <c r="AB21" i="18"/>
  <c r="Z21" i="18" s="1"/>
  <c r="AA21" i="18" s="1"/>
  <c r="N34" i="18"/>
  <c r="L35" i="18"/>
  <c r="N37" i="18"/>
  <c r="S59" i="18"/>
  <c r="T59" i="18" s="1"/>
  <c r="N66" i="18"/>
  <c r="S100" i="18"/>
  <c r="T100" i="18" s="1"/>
  <c r="O26" i="18"/>
  <c r="N26" i="18"/>
  <c r="O34" i="18"/>
  <c r="O37" i="18"/>
  <c r="S44" i="18"/>
  <c r="T44" i="18" s="1"/>
  <c r="X44" i="18"/>
  <c r="S49" i="18"/>
  <c r="T49" i="18" s="1"/>
  <c r="R49" i="18"/>
  <c r="X55" i="18"/>
  <c r="U55" i="18"/>
  <c r="R66" i="18"/>
  <c r="U67" i="18"/>
  <c r="O67" i="18"/>
  <c r="N67" i="18"/>
  <c r="U71" i="18"/>
  <c r="AB79" i="18"/>
  <c r="Z79" i="18" s="1"/>
  <c r="AA79" i="18" s="1"/>
  <c r="AB82" i="18"/>
  <c r="Z82" i="18" s="1"/>
  <c r="AA82" i="18" s="1"/>
  <c r="O5" i="18"/>
  <c r="AB7" i="18"/>
  <c r="Z7" i="18" s="1"/>
  <c r="AA7" i="18" s="1"/>
  <c r="O10" i="18"/>
  <c r="AB12" i="18"/>
  <c r="Z12" i="18" s="1"/>
  <c r="AA12" i="18" s="1"/>
  <c r="O15" i="18"/>
  <c r="AB17" i="18"/>
  <c r="Z17" i="18" s="1"/>
  <c r="AA17" i="18" s="1"/>
  <c r="O21" i="18"/>
  <c r="O23" i="18"/>
  <c r="R26" i="18"/>
  <c r="S29" i="18"/>
  <c r="T29" i="18" s="1"/>
  <c r="R29" i="18"/>
  <c r="N35" i="18"/>
  <c r="R37" i="18"/>
  <c r="O41" i="18"/>
  <c r="N41" i="18"/>
  <c r="N44" i="18"/>
  <c r="N49" i="18"/>
  <c r="N55" i="18"/>
  <c r="O59" i="18"/>
  <c r="S60" i="18"/>
  <c r="T60" i="18" s="1"/>
  <c r="R60" i="18"/>
  <c r="S64" i="18"/>
  <c r="T64" i="18" s="1"/>
  <c r="U64" i="18"/>
  <c r="S66" i="18"/>
  <c r="T66" i="18" s="1"/>
  <c r="R67" i="18"/>
  <c r="U70" i="18"/>
  <c r="L4" i="18"/>
  <c r="R5" i="18"/>
  <c r="N7" i="18"/>
  <c r="L9" i="18"/>
  <c r="R10" i="18"/>
  <c r="N12" i="18"/>
  <c r="L14" i="18"/>
  <c r="R15" i="18"/>
  <c r="N17" i="18"/>
  <c r="U18" i="18"/>
  <c r="N19" i="18"/>
  <c r="R21" i="18"/>
  <c r="R23" i="18"/>
  <c r="U25" i="18"/>
  <c r="S26" i="18"/>
  <c r="T26" i="18" s="1"/>
  <c r="N29" i="18"/>
  <c r="L30" i="18"/>
  <c r="N32" i="18"/>
  <c r="U34" i="18"/>
  <c r="O35" i="18"/>
  <c r="S37" i="18"/>
  <c r="T37" i="18" s="1"/>
  <c r="R41" i="18"/>
  <c r="O44" i="18"/>
  <c r="R45" i="18"/>
  <c r="O45" i="18"/>
  <c r="L46" i="18"/>
  <c r="O49" i="18"/>
  <c r="O55" i="18"/>
  <c r="L57" i="18"/>
  <c r="R59" i="18"/>
  <c r="N60" i="18"/>
  <c r="O61" i="18"/>
  <c r="AB61" i="18"/>
  <c r="Z61" i="18" s="1"/>
  <c r="AA61" i="18" s="1"/>
  <c r="L61" i="18"/>
  <c r="N64" i="18"/>
  <c r="S67" i="18"/>
  <c r="T67" i="18" s="1"/>
  <c r="AB70" i="18"/>
  <c r="Z70" i="18" s="1"/>
  <c r="AA70" i="18" s="1"/>
  <c r="S74" i="18"/>
  <c r="T74" i="18" s="1"/>
  <c r="O74" i="18"/>
  <c r="R74" i="18"/>
  <c r="N74" i="18"/>
  <c r="X18" i="18"/>
  <c r="O19" i="18"/>
  <c r="S21" i="18"/>
  <c r="T21" i="18" s="1"/>
  <c r="S23" i="18"/>
  <c r="T23" i="18" s="1"/>
  <c r="O29" i="18"/>
  <c r="O32" i="18"/>
  <c r="X34" i="18"/>
  <c r="R35" i="18"/>
  <c r="X37" i="18"/>
  <c r="S41" i="18"/>
  <c r="T41" i="18" s="1"/>
  <c r="R44" i="18"/>
  <c r="U49" i="18"/>
  <c r="R55" i="18"/>
  <c r="O56" i="18"/>
  <c r="R56" i="18"/>
  <c r="N56" i="18"/>
  <c r="O60" i="18"/>
  <c r="N61" i="18"/>
  <c r="O64" i="18"/>
  <c r="AB69" i="18"/>
  <c r="Z69" i="18" s="1"/>
  <c r="AA69" i="18" s="1"/>
  <c r="U74" i="18"/>
  <c r="S102" i="18"/>
  <c r="T102" i="18" s="1"/>
  <c r="X89" i="18"/>
  <c r="S89" i="18"/>
  <c r="T89" i="18" s="1"/>
  <c r="O89" i="18"/>
  <c r="L28" i="18"/>
  <c r="L33" i="18"/>
  <c r="L38" i="18"/>
  <c r="L50" i="18"/>
  <c r="S54" i="18"/>
  <c r="T54" i="18" s="1"/>
  <c r="X85" i="18"/>
  <c r="N89" i="18"/>
  <c r="N90" i="18"/>
  <c r="U90" i="18"/>
  <c r="S98" i="18"/>
  <c r="T98" i="18" s="1"/>
  <c r="U72" i="18"/>
  <c r="S72" i="18"/>
  <c r="T72" i="18" s="1"/>
  <c r="R89" i="18"/>
  <c r="AB92" i="18"/>
  <c r="Z92" i="18" s="1"/>
  <c r="AA92" i="18" s="1"/>
  <c r="S93" i="18"/>
  <c r="T93" i="18" s="1"/>
  <c r="R95" i="18"/>
  <c r="R97" i="18"/>
  <c r="R99" i="18"/>
  <c r="R101" i="18"/>
  <c r="R103" i="18"/>
  <c r="L94" i="18"/>
  <c r="AB94" i="18"/>
  <c r="Z94" i="18" s="1"/>
  <c r="AA94" i="18" s="1"/>
  <c r="S95" i="18"/>
  <c r="T95" i="18" s="1"/>
  <c r="L96" i="18"/>
  <c r="AB96" i="18"/>
  <c r="Z96" i="18" s="1"/>
  <c r="AA96" i="18" s="1"/>
  <c r="S97" i="18"/>
  <c r="T97" i="18" s="1"/>
  <c r="L98" i="18"/>
  <c r="AB98" i="18"/>
  <c r="Z98" i="18" s="1"/>
  <c r="AA98" i="18" s="1"/>
  <c r="S99" i="18"/>
  <c r="T99" i="18" s="1"/>
  <c r="L100" i="18"/>
  <c r="AB100" i="18"/>
  <c r="Z100" i="18" s="1"/>
  <c r="AA100" i="18" s="1"/>
  <c r="S101" i="18"/>
  <c r="T101" i="18" s="1"/>
  <c r="L102" i="18"/>
  <c r="AB102" i="18"/>
  <c r="Z102" i="18" s="1"/>
  <c r="AA102" i="18" s="1"/>
  <c r="S103" i="18"/>
  <c r="T103" i="18" s="1"/>
  <c r="R92" i="18"/>
  <c r="N94" i="18"/>
  <c r="U95" i="18"/>
  <c r="N96" i="18"/>
  <c r="U97" i="18"/>
  <c r="N98" i="18"/>
  <c r="U99" i="18"/>
  <c r="N100" i="18"/>
  <c r="U101" i="18"/>
  <c r="N102" i="18"/>
  <c r="U103" i="18"/>
  <c r="AB91" i="18"/>
  <c r="Z91" i="18" s="1"/>
  <c r="AA91" i="18" s="1"/>
  <c r="S92" i="18"/>
  <c r="T92" i="18" s="1"/>
  <c r="O94" i="18"/>
  <c r="O96" i="18"/>
  <c r="O98" i="18"/>
  <c r="O100" i="18"/>
  <c r="O102" i="18"/>
  <c r="L93" i="18"/>
  <c r="R94" i="18"/>
  <c r="R96" i="18"/>
  <c r="R98" i="18"/>
  <c r="R100" i="18"/>
  <c r="R102" i="18"/>
  <c r="U92" i="18"/>
  <c r="AB93" i="18"/>
  <c r="Z93" i="18" s="1"/>
  <c r="AA93" i="18" s="1"/>
  <c r="L95" i="18"/>
  <c r="AB95" i="18"/>
  <c r="Z95" i="18" s="1"/>
  <c r="AA95" i="18" s="1"/>
  <c r="L97" i="18"/>
  <c r="AB97" i="18"/>
  <c r="Z97" i="18" s="1"/>
  <c r="AA97" i="18" s="1"/>
  <c r="L99" i="18"/>
  <c r="AB99" i="18"/>
  <c r="Z99" i="18" s="1"/>
  <c r="AA99" i="18" s="1"/>
  <c r="L101" i="18"/>
  <c r="AB101" i="18"/>
  <c r="Z101" i="18" s="1"/>
  <c r="AA101" i="18" s="1"/>
  <c r="L103" i="18"/>
  <c r="AB103" i="18"/>
  <c r="Z103" i="18" s="1"/>
  <c r="AA103" i="18" s="1"/>
  <c r="X92" i="18"/>
  <c r="Q4" i="4" l="1"/>
  <c r="J2" i="7"/>
  <c r="R2" i="7" s="1"/>
  <c r="Q4" i="7"/>
  <c r="P4" i="10"/>
  <c r="I2" i="10"/>
  <c r="P3" i="10"/>
  <c r="X2" i="7"/>
  <c r="Q3" i="7"/>
  <c r="I2" i="8"/>
  <c r="P3" i="8"/>
  <c r="P4" i="8"/>
  <c r="T5" i="3"/>
  <c r="I3" i="13"/>
  <c r="N4" i="4"/>
  <c r="M4" i="4"/>
  <c r="P4" i="3"/>
  <c r="P3" i="3"/>
  <c r="I2" i="3"/>
  <c r="Q4" i="11"/>
  <c r="Q3" i="11"/>
  <c r="J2" i="11"/>
  <c r="Q3" i="4"/>
  <c r="O2" i="5"/>
  <c r="I2" i="5"/>
  <c r="N4" i="5"/>
  <c r="N3" i="5"/>
  <c r="P7" i="7"/>
  <c r="P5" i="7" s="1"/>
  <c r="R5" i="7" s="1"/>
  <c r="N5" i="7"/>
  <c r="Z38" i="13"/>
  <c r="I2" i="9"/>
  <c r="P4" i="9"/>
  <c r="P3" i="9"/>
  <c r="J2" i="4"/>
  <c r="AA2" i="7"/>
  <c r="Q2" i="4" l="1"/>
  <c r="Q1" i="4" s="1"/>
  <c r="P2" i="9"/>
  <c r="P1" i="9" s="1"/>
  <c r="Q2" i="7"/>
  <c r="Q1" i="7" s="1"/>
  <c r="P2" i="10"/>
  <c r="P1" i="10" s="1"/>
  <c r="Q2" i="11"/>
  <c r="Q1" i="11" s="1"/>
  <c r="M4" i="3"/>
  <c r="N2" i="3"/>
  <c r="P2" i="3"/>
  <c r="P1" i="3" s="1"/>
  <c r="M2" i="7"/>
  <c r="Z2" i="7"/>
  <c r="N2" i="10"/>
  <c r="T2" i="10"/>
  <c r="E4" i="13"/>
  <c r="E6" i="13" s="1"/>
  <c r="J2" i="5"/>
  <c r="R2" i="4"/>
  <c r="O2" i="4"/>
  <c r="L3" i="4"/>
  <c r="N2" i="5"/>
  <c r="N1" i="5" s="1"/>
  <c r="O2" i="11"/>
  <c r="N3" i="11"/>
  <c r="R2" i="11"/>
  <c r="O2" i="7"/>
  <c r="T2" i="9"/>
  <c r="M4" i="9"/>
  <c r="N2" i="9"/>
  <c r="P2" i="8"/>
  <c r="P1" i="8" s="1"/>
  <c r="T2" i="8"/>
  <c r="N2" i="8"/>
  <c r="M4" i="8"/>
  <c r="A6" i="13" l="1"/>
  <c r="F4" i="13"/>
  <c r="F6" i="13" s="1"/>
  <c r="M2" i="8"/>
  <c r="N2" i="11"/>
  <c r="J4" i="13"/>
  <c r="J6" i="13" s="1"/>
  <c r="G4" i="13"/>
  <c r="G6" i="13" s="1"/>
  <c r="M2" i="9"/>
  <c r="I4" i="13"/>
  <c r="I6" i="13" s="1"/>
  <c r="N2" i="4"/>
  <c r="C4" i="13"/>
  <c r="N2" i="7"/>
  <c r="H4" i="13"/>
  <c r="H6" i="13" s="1"/>
  <c r="M2" i="10"/>
  <c r="C3" i="13"/>
  <c r="N3" i="13" s="1"/>
  <c r="N3" i="7"/>
  <c r="D4" i="13"/>
  <c r="D6" i="13" s="1"/>
  <c r="M2" i="3"/>
  <c r="N4" i="13" l="1"/>
  <c r="N6" i="13" s="1"/>
  <c r="C6" i="13"/>
</calcChain>
</file>

<file path=xl/sharedStrings.xml><?xml version="1.0" encoding="utf-8"?>
<sst xmlns="http://schemas.openxmlformats.org/spreadsheetml/2006/main" count="11332" uniqueCount="6174">
  <si>
    <t>RAJESH SIR</t>
  </si>
  <si>
    <t>VIKAAS</t>
  </si>
  <si>
    <t>KREDENT</t>
  </si>
  <si>
    <t>Sheela Gupta</t>
  </si>
  <si>
    <t>Tanvi Gupta</t>
  </si>
  <si>
    <t>Arushi Gupta</t>
  </si>
  <si>
    <t>nikhil</t>
  </si>
  <si>
    <t>taarini</t>
  </si>
  <si>
    <t>Mcap average</t>
  </si>
  <si>
    <t>Script</t>
  </si>
  <si>
    <t>NSE:AEGISCHEM</t>
  </si>
  <si>
    <t>NSE:BANKINDIA</t>
  </si>
  <si>
    <t>NSE:ALLSEC</t>
  </si>
  <si>
    <t>NSE:BLKASHYAP</t>
  </si>
  <si>
    <t>NSE:AJMERA</t>
  </si>
  <si>
    <t>NSE:ALBERTDAVD</t>
  </si>
  <si>
    <t>NSE:CENTUM</t>
  </si>
  <si>
    <t>NSE:ARIHANTSUP</t>
  </si>
  <si>
    <t>NSE:CONFIPET</t>
  </si>
  <si>
    <t>NSE:BALMLAWRIE</t>
  </si>
  <si>
    <t>NSE:BHARTIARTL</t>
  </si>
  <si>
    <t>NSE:DIXON</t>
  </si>
  <si>
    <t>NSE:JAYBARMARU</t>
  </si>
  <si>
    <t>NSE:DEEPINDS</t>
  </si>
  <si>
    <t>NSE:GET&amp;D</t>
  </si>
  <si>
    <t>NSE:PFOCUS</t>
  </si>
  <si>
    <t>NSE:HFCL</t>
  </si>
  <si>
    <t>NSE:CENTURYTEX</t>
  </si>
  <si>
    <t>NSE:SANDHAR</t>
  </si>
  <si>
    <t>NSE:CAPACITE</t>
  </si>
  <si>
    <t>NSE:GOLDBEES</t>
  </si>
  <si>
    <t>NSE:ICIL</t>
  </si>
  <si>
    <t>NSE:CYIENT</t>
  </si>
  <si>
    <t>Grand Total</t>
  </si>
  <si>
    <t>NSE:CAREERP</t>
  </si>
  <si>
    <t>NSE:HAVELLS</t>
  </si>
  <si>
    <t>NSE:INDIANB</t>
  </si>
  <si>
    <t>NSE:HGINFRA</t>
  </si>
  <si>
    <t>NSE:MARATHON</t>
  </si>
  <si>
    <t>NSE:HINDCOPPER</t>
  </si>
  <si>
    <t>NSE:MIRCELECTR</t>
  </si>
  <si>
    <t>NSE:EIHOTEL</t>
  </si>
  <si>
    <t>NSE:HERITGFOOD</t>
  </si>
  <si>
    <t>NSE:HUDCO</t>
  </si>
  <si>
    <t>NSE:IMFA</t>
  </si>
  <si>
    <t>NSE:PRSMJOHNSN</t>
  </si>
  <si>
    <t>NSE:GIPCL</t>
  </si>
  <si>
    <t>NSE:INDHOTEL</t>
  </si>
  <si>
    <t>NSE:ITDCEM</t>
  </si>
  <si>
    <t>NSE:SMLISUZU</t>
  </si>
  <si>
    <t>NSE:GULFOILLUB</t>
  </si>
  <si>
    <t>NSE:JSWENERGY</t>
  </si>
  <si>
    <t>NSE:SPLPETRO</t>
  </si>
  <si>
    <t>NSE:KEI</t>
  </si>
  <si>
    <t>NSE:SWARAJENG</t>
  </si>
  <si>
    <t>NSE:MARKSANS</t>
  </si>
  <si>
    <t>NSE:ROHLTD</t>
  </si>
  <si>
    <t>NSE:KSB</t>
  </si>
  <si>
    <t>NSE:ZENSARTECH</t>
  </si>
  <si>
    <t>NSE:SASKEN</t>
  </si>
  <si>
    <t>NSE:MOTILALOFS</t>
  </si>
  <si>
    <t>NSE:SHREDIGCEM</t>
  </si>
  <si>
    <t>NSE:MUTHOOTFIN</t>
  </si>
  <si>
    <t>NSE:ORIENTCER</t>
  </si>
  <si>
    <t>NSE:NAM-INDIA</t>
  </si>
  <si>
    <t>NSE:INDOTECH</t>
  </si>
  <si>
    <t>NSE:SOLARINDS</t>
  </si>
  <si>
    <t>NSE:NLCINDIA</t>
  </si>
  <si>
    <t>NSE:SPCENET</t>
  </si>
  <si>
    <t>NSE:PETRONET</t>
  </si>
  <si>
    <t>NSE:LOKESHMACH</t>
  </si>
  <si>
    <t>NSE:STARCEMENT</t>
  </si>
  <si>
    <t>NSE:RICOAUTO</t>
  </si>
  <si>
    <t>NSE:TCS</t>
  </si>
  <si>
    <t>NSE:KAMDHENU</t>
  </si>
  <si>
    <t>NSE:WINDLAS</t>
  </si>
  <si>
    <t>NSE:SHRIRAMFIN</t>
  </si>
  <si>
    <t>NSE:TEXRAIL</t>
  </si>
  <si>
    <t>NSE:NCC</t>
  </si>
  <si>
    <t>NSE:TIPSINDLTD</t>
  </si>
  <si>
    <t>NSE:SAIL</t>
  </si>
  <si>
    <t>NSE:SHRIPISTON</t>
  </si>
  <si>
    <t>NSE:SNOWMAN</t>
  </si>
  <si>
    <t>Scripts</t>
  </si>
  <si>
    <t>Clients</t>
  </si>
  <si>
    <t>Rajesh Sir</t>
  </si>
  <si>
    <t>Vikaas</t>
  </si>
  <si>
    <t>Kredent-new</t>
  </si>
  <si>
    <t>Rohit</t>
  </si>
  <si>
    <t>CMP</t>
  </si>
  <si>
    <t>SL</t>
  </si>
  <si>
    <t>Alert</t>
  </si>
  <si>
    <t>Buy Date</t>
  </si>
  <si>
    <t>Buy Price</t>
  </si>
  <si>
    <t>Buy Quantity</t>
  </si>
  <si>
    <t>MTM</t>
  </si>
  <si>
    <t xml:space="preserve">SL </t>
  </si>
  <si>
    <t>Target</t>
  </si>
  <si>
    <t>Open MTM</t>
  </si>
  <si>
    <t>%return</t>
  </si>
  <si>
    <t>Amount invested</t>
  </si>
  <si>
    <t>Total Investment</t>
  </si>
  <si>
    <t>total percentage</t>
  </si>
  <si>
    <t>Total MTM</t>
  </si>
  <si>
    <t>SUCCESS RATIO</t>
  </si>
  <si>
    <t>mm/dd/yyyy</t>
  </si>
  <si>
    <t>DAYS OF BUSINESS</t>
  </si>
  <si>
    <t xml:space="preserve">count </t>
  </si>
  <si>
    <t>current percentage</t>
  </si>
  <si>
    <t>&lt;0</t>
  </si>
  <si>
    <t>&gt;0</t>
  </si>
  <si>
    <t>booked PnL</t>
  </si>
  <si>
    <t>EXITS</t>
  </si>
  <si>
    <t>date</t>
  </si>
  <si>
    <t>Buy quantity</t>
  </si>
  <si>
    <t>Sell Price</t>
  </si>
  <si>
    <t>Sell Quantity</t>
  </si>
  <si>
    <t>% pnl</t>
  </si>
  <si>
    <t>PnL</t>
  </si>
  <si>
    <t>exit date</t>
  </si>
  <si>
    <t>exit price when SL clbs hit</t>
  </si>
  <si>
    <t>KSL</t>
  </si>
  <si>
    <t>IOB</t>
  </si>
  <si>
    <t>RML</t>
  </si>
  <si>
    <t>Prec wire</t>
  </si>
  <si>
    <t>MCX</t>
  </si>
  <si>
    <t>Marico</t>
  </si>
  <si>
    <t>/</t>
  </si>
  <si>
    <t>HONDAPOWER</t>
  </si>
  <si>
    <t>IDBI BANK</t>
  </si>
  <si>
    <t>JK tyre</t>
  </si>
  <si>
    <t>Nesco</t>
  </si>
  <si>
    <t>Mukand</t>
  </si>
  <si>
    <t>kolte patil</t>
  </si>
  <si>
    <t>tata coffee</t>
  </si>
  <si>
    <t>PETRONET</t>
  </si>
  <si>
    <t>dividend = 7</t>
  </si>
  <si>
    <t>Uno Minda</t>
  </si>
  <si>
    <t>COROMANDEL</t>
  </si>
  <si>
    <t>BCLIND</t>
  </si>
  <si>
    <t>ROSSELLIND</t>
  </si>
  <si>
    <t>thermax</t>
  </si>
  <si>
    <t>SDBL</t>
  </si>
  <si>
    <t>HFCL</t>
  </si>
  <si>
    <t>WSTCSTPAPR</t>
  </si>
  <si>
    <t>Igarashi Motors</t>
  </si>
  <si>
    <t>NSE:HCG</t>
  </si>
  <si>
    <t>NSE:VGUARD</t>
  </si>
  <si>
    <t>NSE:VSSL</t>
  </si>
  <si>
    <t>NSE:DALBHARAT</t>
  </si>
  <si>
    <t>NSE:SBILIFE</t>
  </si>
  <si>
    <t>NSE:ADFFOODS</t>
  </si>
  <si>
    <t>NSE:BFINVEST</t>
  </si>
  <si>
    <t>NSE:COALINDIA</t>
  </si>
  <si>
    <t>dividend adjusted for 15.25</t>
  </si>
  <si>
    <t>NSE:REPRO</t>
  </si>
  <si>
    <t>NSE:BANKBARODA</t>
  </si>
  <si>
    <t>NSE:LUMAXIND</t>
  </si>
  <si>
    <t>NSE:POLYMED</t>
  </si>
  <si>
    <t>NSE:ENGINERSIN</t>
  </si>
  <si>
    <t>NSE:TNPL</t>
  </si>
  <si>
    <t>NSE:SURYAROSNI</t>
  </si>
  <si>
    <t>NSE:HITECHGEAR</t>
  </si>
  <si>
    <t>NSE:ONWARDTEC</t>
  </si>
  <si>
    <t>NSE:DREDGECORP</t>
  </si>
  <si>
    <t>NSE:PROZONER</t>
  </si>
  <si>
    <t>NSE:AGARIND</t>
  </si>
  <si>
    <t>NSE:RELINFRA</t>
  </si>
  <si>
    <t>NSE:IRCON</t>
  </si>
  <si>
    <t>NSE:RBL</t>
  </si>
  <si>
    <t>NSE:RANEHOLDIN</t>
  </si>
  <si>
    <t>NSE:JAYAGROGN</t>
  </si>
  <si>
    <t>NSE:PTC</t>
  </si>
  <si>
    <t>NSE:ZOTA</t>
  </si>
  <si>
    <t>NSE:DIAMONDYD</t>
  </si>
  <si>
    <t>NSE:SHARDAMOTR</t>
  </si>
  <si>
    <t>NSE:PCBL</t>
  </si>
  <si>
    <t>NSE:NIACL</t>
  </si>
  <si>
    <t>NSE:PATELENG</t>
  </si>
  <si>
    <t>NSE:ACCELYA</t>
  </si>
  <si>
    <t>NSE:MANINDS</t>
  </si>
  <si>
    <t>NSE:PENINLAND</t>
  </si>
  <si>
    <t>NSE:DHANUKA</t>
  </si>
  <si>
    <t>NSE:Albertdavd</t>
  </si>
  <si>
    <t>NSE:SHALBY</t>
  </si>
  <si>
    <t>NSE:PARACABLES</t>
  </si>
  <si>
    <t>reconciled</t>
  </si>
  <si>
    <t>portfolio value</t>
  </si>
  <si>
    <t>sell price</t>
  </si>
  <si>
    <t>P&amp;L</t>
  </si>
  <si>
    <t>Sell date</t>
  </si>
  <si>
    <t>NIKHIL1100</t>
  </si>
  <si>
    <t>02N069</t>
  </si>
  <si>
    <t xml:space="preserve">TOTAL = </t>
  </si>
  <si>
    <t>VAR</t>
  </si>
  <si>
    <t>UPSIDE</t>
  </si>
  <si>
    <t>NSE:RTNPOWER</t>
  </si>
  <si>
    <t>MCAP</t>
  </si>
  <si>
    <t>Y</t>
  </si>
  <si>
    <t>NSE:VASCONEQ</t>
  </si>
  <si>
    <t>NSE:VLSFINANCE</t>
  </si>
  <si>
    <t>NSE:PRECWIRE</t>
  </si>
  <si>
    <t>NSE:KIRLOSBROS</t>
  </si>
  <si>
    <t>NSE:KECL</t>
  </si>
  <si>
    <t>NSE:NESCO</t>
  </si>
  <si>
    <t>NIFTY 250424 FUT</t>
  </si>
  <si>
    <t>SHORT</t>
  </si>
  <si>
    <t>NSE:PRAKASH</t>
  </si>
  <si>
    <t>NSE:SKIPPER</t>
  </si>
  <si>
    <t>open MTM</t>
  </si>
  <si>
    <t>Sector</t>
  </si>
  <si>
    <t>net MTM</t>
  </si>
  <si>
    <t>Exits</t>
  </si>
  <si>
    <t>BOOKED MTM</t>
  </si>
  <si>
    <t>P/L</t>
  </si>
  <si>
    <t>%return current</t>
  </si>
  <si>
    <t>NSE:HONDAPOWER</t>
  </si>
  <si>
    <t>NSE:GPPL</t>
  </si>
  <si>
    <t>22ND NOV</t>
  </si>
  <si>
    <t>Split 10/1</t>
  </si>
  <si>
    <t>NSE:ROSSELLIND</t>
  </si>
  <si>
    <t>NSE:WSTCSTPAPR</t>
  </si>
  <si>
    <t>NSE:IGARASHI</t>
  </si>
  <si>
    <t>NSE:ORBTEXP</t>
  </si>
  <si>
    <t>NSE:KESORAMIND</t>
  </si>
  <si>
    <t>NSE:ENDURANCE</t>
  </si>
  <si>
    <t>NSE:HITECH</t>
  </si>
  <si>
    <t>NSE:IOB</t>
  </si>
  <si>
    <t>NSE:PSB</t>
  </si>
  <si>
    <t>NSE:STERTOOLS</t>
  </si>
  <si>
    <t>NSE:UTTAMSUGAR</t>
  </si>
  <si>
    <t>NSE:UCOBANK</t>
  </si>
  <si>
    <t>NSE:SUDARSCHEM</t>
  </si>
  <si>
    <t>NSE:KOKUYOCMLN</t>
  </si>
  <si>
    <t>NSE:SATIN</t>
  </si>
  <si>
    <t>03/27/24</t>
  </si>
  <si>
    <t>NSE:SPANDANA</t>
  </si>
  <si>
    <t>NSE:NRBBEARING</t>
  </si>
  <si>
    <t>NSE:HERCULES</t>
  </si>
  <si>
    <t>NSE:RCF</t>
  </si>
  <si>
    <t>NSE:DYNAMATECH</t>
  </si>
  <si>
    <t>NSE:CREST</t>
  </si>
  <si>
    <t>NIFTY APR fut</t>
  </si>
  <si>
    <t>NSE:MCX</t>
  </si>
  <si>
    <t>NSE:ERIS</t>
  </si>
  <si>
    <t>NSE:IRB</t>
  </si>
  <si>
    <t>NSE:JKIL</t>
  </si>
  <si>
    <t>RA540519</t>
  </si>
  <si>
    <t>TTK healthcare</t>
  </si>
  <si>
    <t>24th April</t>
  </si>
  <si>
    <t>5th may</t>
  </si>
  <si>
    <t>12th may</t>
  </si>
  <si>
    <t>250 / 360</t>
  </si>
  <si>
    <t xml:space="preserve">total = </t>
  </si>
  <si>
    <t>pressure sensitive</t>
  </si>
  <si>
    <t>28th April</t>
  </si>
  <si>
    <t>22nd may</t>
  </si>
  <si>
    <t>booked MTM</t>
  </si>
  <si>
    <t>payout applicable</t>
  </si>
  <si>
    <t>payment received</t>
  </si>
  <si>
    <t xml:space="preserve">Received by </t>
  </si>
  <si>
    <t>refex ind</t>
  </si>
  <si>
    <t>23rd may</t>
  </si>
  <si>
    <t>Till 31st May</t>
  </si>
  <si>
    <t>Akash</t>
  </si>
  <si>
    <t>aia engineering</t>
  </si>
  <si>
    <t>16th may</t>
  </si>
  <si>
    <t>denora</t>
  </si>
  <si>
    <t>2nd may</t>
  </si>
  <si>
    <t>15th may</t>
  </si>
  <si>
    <t>June</t>
  </si>
  <si>
    <t>rane madras</t>
  </si>
  <si>
    <t>4th may</t>
  </si>
  <si>
    <t>manaksia</t>
  </si>
  <si>
    <t>9th may</t>
  </si>
  <si>
    <t>29th may</t>
  </si>
  <si>
    <t>July</t>
  </si>
  <si>
    <t>shivam ( COLLECTED BY AKASH )</t>
  </si>
  <si>
    <t>technoe</t>
  </si>
  <si>
    <t>kirloskar bro</t>
  </si>
  <si>
    <t>11th may</t>
  </si>
  <si>
    <t>24th may</t>
  </si>
  <si>
    <t>August</t>
  </si>
  <si>
    <t>linc</t>
  </si>
  <si>
    <t>18th may</t>
  </si>
  <si>
    <t>September</t>
  </si>
  <si>
    <t>centum</t>
  </si>
  <si>
    <t>3rd may</t>
  </si>
  <si>
    <t>5th June</t>
  </si>
  <si>
    <t>shivam - 26th feb</t>
  </si>
  <si>
    <t>October</t>
  </si>
  <si>
    <t>gipcl</t>
  </si>
  <si>
    <t>akzo india</t>
  </si>
  <si>
    <t>unknown</t>
  </si>
  <si>
    <t>ALLSEC TECHNOLOGIES LTD.</t>
  </si>
  <si>
    <t>NB</t>
  </si>
  <si>
    <t>November</t>
  </si>
  <si>
    <t>8th June</t>
  </si>
  <si>
    <t>CENTUM ELECTRONICS LTD.</t>
  </si>
  <si>
    <t>star cement</t>
  </si>
  <si>
    <t>Dixon Technologies (India</t>
  </si>
  <si>
    <t>December</t>
  </si>
  <si>
    <t>olectra greentech</t>
  </si>
  <si>
    <t>13th June</t>
  </si>
  <si>
    <t>NIPPON INDIA ETF GOLD BEE</t>
  </si>
  <si>
    <t>HAVELLS INDIA LTD.</t>
  </si>
  <si>
    <t>January</t>
  </si>
  <si>
    <t>Ador weld</t>
  </si>
  <si>
    <t>26th April</t>
  </si>
  <si>
    <t>23rd June</t>
  </si>
  <si>
    <t>INDO COUNT INDUSTRIES LTD</t>
  </si>
  <si>
    <t>INDIAN BANK</t>
  </si>
  <si>
    <t>february</t>
  </si>
  <si>
    <t>1st June</t>
  </si>
  <si>
    <t>KEI INDUSTRIES LTD.</t>
  </si>
  <si>
    <t>MARATHON NEXTGEN REALTY L</t>
  </si>
  <si>
    <t>bengal tea and fabrics</t>
  </si>
  <si>
    <t>4th July</t>
  </si>
  <si>
    <t>MIRC ELECTRONICS LTD.</t>
  </si>
  <si>
    <t>5th July</t>
  </si>
  <si>
    <t>RICO AUTO INDUSTRIES LTD.</t>
  </si>
  <si>
    <t>Taj gvk</t>
  </si>
  <si>
    <t>ROYAL ORCHID HOTELS LTD.</t>
  </si>
  <si>
    <t>sundaram finance</t>
  </si>
  <si>
    <t>Sandhar Technologies Limi</t>
  </si>
  <si>
    <t>26th june</t>
  </si>
  <si>
    <t>SML ISUZU LIMITED</t>
  </si>
  <si>
    <t>patanjali</t>
  </si>
  <si>
    <t>10th July</t>
  </si>
  <si>
    <t>SNOWMAN LOGISTICS LTD</t>
  </si>
  <si>
    <t>nrb bearing</t>
  </si>
  <si>
    <t>11th july</t>
  </si>
  <si>
    <t>SOLAR INDUSTRIES (I) LTD</t>
  </si>
  <si>
    <t>sml isuzu</t>
  </si>
  <si>
    <t>17th may</t>
  </si>
  <si>
    <t>13th July</t>
  </si>
  <si>
    <t>SUPREME PETROCHEM LTD.</t>
  </si>
  <si>
    <t>nhpc</t>
  </si>
  <si>
    <t>14th July</t>
  </si>
  <si>
    <t>SWARAJ ENGINES LTD</t>
  </si>
  <si>
    <t>banswara syntex</t>
  </si>
  <si>
    <t>27th April</t>
  </si>
  <si>
    <t>20th July</t>
  </si>
  <si>
    <t>TATA CONSULTANCY SERVICES</t>
  </si>
  <si>
    <t>arvind smartspaces</t>
  </si>
  <si>
    <t>21st june</t>
  </si>
  <si>
    <t>AEGIS LOGISTICS LTD.</t>
  </si>
  <si>
    <t>gencon</t>
  </si>
  <si>
    <t>7th June</t>
  </si>
  <si>
    <t>27th July</t>
  </si>
  <si>
    <t>JAY BHARAT MARUTI LTD.</t>
  </si>
  <si>
    <t>maxvil</t>
  </si>
  <si>
    <t>Kamdhenu Limited</t>
  </si>
  <si>
    <t>MARKSANS PHARMA LTD.</t>
  </si>
  <si>
    <t>eih hotels</t>
  </si>
  <si>
    <t>1st aug</t>
  </si>
  <si>
    <t>PRIME FOCUS LTD.</t>
  </si>
  <si>
    <t>19th may</t>
  </si>
  <si>
    <t>CENTURY TEXTILES &amp; INDUST</t>
  </si>
  <si>
    <t>Kokuyo Camlin</t>
  </si>
  <si>
    <t>2nd aug</t>
  </si>
  <si>
    <t>Deep Industries Limited</t>
  </si>
  <si>
    <t>premier explosives</t>
  </si>
  <si>
    <t>GULF OIL LUB. IND. LTD.</t>
  </si>
  <si>
    <t>kddl</t>
  </si>
  <si>
    <t>2nd June</t>
  </si>
  <si>
    <t>9th aug</t>
  </si>
  <si>
    <t>HINDUSTAN COPPER LTD.</t>
  </si>
  <si>
    <t>pitti eng</t>
  </si>
  <si>
    <t>10th aug</t>
  </si>
  <si>
    <t>INDIAN HOTELS CO.LTD.</t>
  </si>
  <si>
    <t>lumaxtech</t>
  </si>
  <si>
    <t>INDIAN METALS &amp; FERRO ALL</t>
  </si>
  <si>
    <t>somiconvey</t>
  </si>
  <si>
    <t>19th june</t>
  </si>
  <si>
    <t>11th aug</t>
  </si>
  <si>
    <t>JSW ENERGY LTD</t>
  </si>
  <si>
    <t>LOKESH MACHINES LTD</t>
  </si>
  <si>
    <t>Gocl Corp</t>
  </si>
  <si>
    <t>14th aug</t>
  </si>
  <si>
    <t>MUTHOOT FINANCE LTD.</t>
  </si>
  <si>
    <t>Kecl</t>
  </si>
  <si>
    <t>SPACENET ENTERS IND LTD</t>
  </si>
  <si>
    <t>Time techno</t>
  </si>
  <si>
    <t>NCC LIMITED</t>
  </si>
  <si>
    <t>banco india</t>
  </si>
  <si>
    <t>16th aug</t>
  </si>
  <si>
    <t>nykaa</t>
  </si>
  <si>
    <t>Mazda ltd</t>
  </si>
  <si>
    <t>18th aug</t>
  </si>
  <si>
    <t>tpl plastech</t>
  </si>
  <si>
    <t>Bajajholding</t>
  </si>
  <si>
    <t>25th aug</t>
  </si>
  <si>
    <t>31st aug</t>
  </si>
  <si>
    <t>deep industry</t>
  </si>
  <si>
    <t>30th june</t>
  </si>
  <si>
    <t>4th sep</t>
  </si>
  <si>
    <t>PRESSMAN</t>
  </si>
  <si>
    <t>Zensartech</t>
  </si>
  <si>
    <t>6th June</t>
  </si>
  <si>
    <t>5th sep</t>
  </si>
  <si>
    <t>Nitin spinners</t>
  </si>
  <si>
    <t>Windsor machines</t>
  </si>
  <si>
    <t>crisil</t>
  </si>
  <si>
    <t>6th sep</t>
  </si>
  <si>
    <t>wabag</t>
  </si>
  <si>
    <t>8th may</t>
  </si>
  <si>
    <t>hcg</t>
  </si>
  <si>
    <t>Astrazeneca</t>
  </si>
  <si>
    <t>everest ind</t>
  </si>
  <si>
    <t>rites</t>
  </si>
  <si>
    <t>8th sep</t>
  </si>
  <si>
    <t>HCG</t>
  </si>
  <si>
    <t>11th sep</t>
  </si>
  <si>
    <t>shalby</t>
  </si>
  <si>
    <t>7th July</t>
  </si>
  <si>
    <t>Rossell India</t>
  </si>
  <si>
    <t>12th sep</t>
  </si>
  <si>
    <t>Technoe</t>
  </si>
  <si>
    <t>imagicaa</t>
  </si>
  <si>
    <t>13th  sep</t>
  </si>
  <si>
    <t>grindwell norton</t>
  </si>
  <si>
    <t>Akzoindia</t>
  </si>
  <si>
    <t>J&amp;K bank</t>
  </si>
  <si>
    <t>15th Sep</t>
  </si>
  <si>
    <t>grse</t>
  </si>
  <si>
    <t>pgil</t>
  </si>
  <si>
    <t>22nd sep</t>
  </si>
  <si>
    <t>BCG</t>
  </si>
  <si>
    <t xml:space="preserve">N/A - </t>
  </si>
  <si>
    <t>PNC Infra</t>
  </si>
  <si>
    <t>25th sep</t>
  </si>
  <si>
    <t>maharastra seemless</t>
  </si>
  <si>
    <t>26th sep</t>
  </si>
  <si>
    <t>precision wire</t>
  </si>
  <si>
    <t>14th June</t>
  </si>
  <si>
    <t>28th sep</t>
  </si>
  <si>
    <t>jindaldrill</t>
  </si>
  <si>
    <t>27th june</t>
  </si>
  <si>
    <t>4th oct</t>
  </si>
  <si>
    <t>Neuland Lab</t>
  </si>
  <si>
    <t>9th June</t>
  </si>
  <si>
    <t>5th oct</t>
  </si>
  <si>
    <t>Network 18</t>
  </si>
  <si>
    <t>25th may</t>
  </si>
  <si>
    <t>10th oct</t>
  </si>
  <si>
    <t>SKF</t>
  </si>
  <si>
    <t>asterdm</t>
  </si>
  <si>
    <t>12th june</t>
  </si>
  <si>
    <t>vascon eng</t>
  </si>
  <si>
    <t>11th oct</t>
  </si>
  <si>
    <t>Jpolyinvest</t>
  </si>
  <si>
    <t>17TH OCT</t>
  </si>
  <si>
    <t>ITD cem</t>
  </si>
  <si>
    <t>19TH OCT</t>
  </si>
  <si>
    <t>25th oct</t>
  </si>
  <si>
    <t>Minda corp</t>
  </si>
  <si>
    <t>Hudco</t>
  </si>
  <si>
    <t>NRB BEARINGS</t>
  </si>
  <si>
    <t>DSSL</t>
  </si>
  <si>
    <t>ISMT</t>
  </si>
  <si>
    <t>lincoln pharma</t>
  </si>
  <si>
    <t>26th oct</t>
  </si>
  <si>
    <t>BRIGADE</t>
  </si>
  <si>
    <t>8TH NOV</t>
  </si>
  <si>
    <t>17TH NOV</t>
  </si>
  <si>
    <t>Gandhi tube</t>
  </si>
  <si>
    <t>DIVIDENT 7</t>
  </si>
  <si>
    <t>30TH NOV</t>
  </si>
  <si>
    <t>4th dec</t>
  </si>
  <si>
    <t>NSE:EVEREADY</t>
  </si>
  <si>
    <t>NSE:MENONBE</t>
  </si>
  <si>
    <t>NSE:SDBL</t>
  </si>
  <si>
    <t>7th dec</t>
  </si>
  <si>
    <t>15th dec</t>
  </si>
  <si>
    <t>27TH DEC</t>
  </si>
  <si>
    <t>NSE:REFEX</t>
  </si>
  <si>
    <t>29th dec</t>
  </si>
  <si>
    <t>NSE:JPOLYINVST</t>
  </si>
  <si>
    <t>2nd jan</t>
  </si>
  <si>
    <t>NSE:NAVNETEDUL</t>
  </si>
  <si>
    <t>3rd jan</t>
  </si>
  <si>
    <t>NSE:UNOMINDA</t>
  </si>
  <si>
    <t>4th jan</t>
  </si>
  <si>
    <t>12th jan</t>
  </si>
  <si>
    <t>xx</t>
  </si>
  <si>
    <t>16th jan</t>
  </si>
  <si>
    <t>18TH JAN</t>
  </si>
  <si>
    <t>19th jan</t>
  </si>
  <si>
    <t>divident adjusted for 15.25</t>
  </si>
  <si>
    <t>23rd jan</t>
  </si>
  <si>
    <t>29th jan</t>
  </si>
  <si>
    <t>NSE:GOCLCORP</t>
  </si>
  <si>
    <t>5th feb</t>
  </si>
  <si>
    <t>NSE:KOLTEPATIL</t>
  </si>
  <si>
    <t>9th feb</t>
  </si>
  <si>
    <t>12th feb</t>
  </si>
  <si>
    <t>16th feb</t>
  </si>
  <si>
    <t>13th feb</t>
  </si>
  <si>
    <t>19th feb</t>
  </si>
  <si>
    <t>NSE:TBZ</t>
  </si>
  <si>
    <t>NSE:FDC</t>
  </si>
  <si>
    <t>1st march</t>
  </si>
  <si>
    <t>NSE:GANESHHOUC</t>
  </si>
  <si>
    <t>4th march</t>
  </si>
  <si>
    <t>5th march</t>
  </si>
  <si>
    <t>7th march</t>
  </si>
  <si>
    <t>11th march</t>
  </si>
  <si>
    <t>NSE:PENIND</t>
  </si>
  <si>
    <t>ACCELYA SOLUTIONS INDIA L</t>
  </si>
  <si>
    <t>15th march</t>
  </si>
  <si>
    <t>NESCO LTD.</t>
  </si>
  <si>
    <t>ORIENT CERATECH LIMITED</t>
  </si>
  <si>
    <t>VLS FINANCE LTD.</t>
  </si>
  <si>
    <t>03/14/24</t>
  </si>
  <si>
    <t>NSE:SELAN</t>
  </si>
  <si>
    <t>03/15/24</t>
  </si>
  <si>
    <t>03/18/24</t>
  </si>
  <si>
    <t>NSE:DBCORP</t>
  </si>
  <si>
    <t>NSE:ORIENTHOT</t>
  </si>
  <si>
    <t>NSE:BAJAJHIND</t>
  </si>
  <si>
    <t>BAJAJ HINDUSTHAN SUGAR LI</t>
  </si>
  <si>
    <t>03/21/24</t>
  </si>
  <si>
    <t>03/22/24</t>
  </si>
  <si>
    <t>03/22/28</t>
  </si>
  <si>
    <t>NSE:CEAT</t>
  </si>
  <si>
    <t>NSE:AXISCADES</t>
  </si>
  <si>
    <t>User ID</t>
  </si>
  <si>
    <t>R9720005</t>
  </si>
  <si>
    <t>Password</t>
  </si>
  <si>
    <t>1100sheela</t>
  </si>
  <si>
    <t>Company Name</t>
  </si>
  <si>
    <t>MPIN</t>
  </si>
  <si>
    <t>Pan No</t>
  </si>
  <si>
    <t>AEZPG7054B</t>
  </si>
  <si>
    <t>ALBERT DAVID LIMITED</t>
  </si>
  <si>
    <t>Mobile</t>
  </si>
  <si>
    <t>ARIHANT SUPERSTRUCT LTD</t>
  </si>
  <si>
    <t>BANK OF INDIA</t>
  </si>
  <si>
    <t>B.L.KASHYAP &amp; SON LTD</t>
  </si>
  <si>
    <t>CENTUM ELECTRONICS LTD</t>
  </si>
  <si>
    <t>kesoram</t>
  </si>
  <si>
    <t>HFCL LIMITED</t>
  </si>
  <si>
    <t>ITD CEMENTATION INDIA LTD</t>
  </si>
  <si>
    <t>JAY BHARAT MARUTI LTD</t>
  </si>
  <si>
    <t>NSE:ECLERX</t>
  </si>
  <si>
    <t>ECLERX SERVICES LTD</t>
  </si>
  <si>
    <t>MARKSANS PHARMA LIMITED</t>
  </si>
  <si>
    <t>ENGINEERS INDIA LTD</t>
  </si>
  <si>
    <t>PRIME FOCUS LIMITED</t>
  </si>
  <si>
    <t>KOKUYO CAMLIN LIMITED</t>
  </si>
  <si>
    <t>MARATHON NXTGEN REALT LTD</t>
  </si>
  <si>
    <t>ONWARD TECHNOLOGIES LTD</t>
  </si>
  <si>
    <t xml:space="preserve">ncc </t>
  </si>
  <si>
    <t>sold at 218</t>
  </si>
  <si>
    <t>POLY MEDICURE LIMITED</t>
  </si>
  <si>
    <t>SUPREME PETROCHEM LIMITED</t>
  </si>
  <si>
    <t>SPANDANA SPHOORTY FIN LTD</t>
  </si>
  <si>
    <t>NSE:VRLLOG</t>
  </si>
  <si>
    <t>VRL LOGISTICS LIMITED</t>
  </si>
  <si>
    <t>AGARWAL INDS CORP LTD.</t>
  </si>
  <si>
    <t>WINDLAS BIOTECH LIMITED</t>
  </si>
  <si>
    <t>BALMER LAWRIE &amp; CO LTD</t>
  </si>
  <si>
    <t>ZENSAR TECHNOLOGIES LTD</t>
  </si>
  <si>
    <t>NSE:DVL</t>
  </si>
  <si>
    <t>NSE:ONEPOINT</t>
  </si>
  <si>
    <t>ONE POINT ONE SOL LTD</t>
  </si>
  <si>
    <t>ZOTA HEALTH CARE LIMITED</t>
  </si>
  <si>
    <t>RANE HOLDINGS LIMITED</t>
  </si>
  <si>
    <t>THE HI-TECH GEARS LIMITED</t>
  </si>
  <si>
    <t>IRCON INTERNATIONAL LTD</t>
  </si>
  <si>
    <t>JAYANT AGRO ORGANICS LTD</t>
  </si>
  <si>
    <t>NRB BEARING LIMITED</t>
  </si>
  <si>
    <t>PROZONE REALTY LIMITED</t>
  </si>
  <si>
    <t>RANE BRAKE LINING LTD</t>
  </si>
  <si>
    <t>TEXMACO RAIL &amp; ENG. LTD.</t>
  </si>
  <si>
    <t>TO THINK</t>
  </si>
  <si>
    <t>NSE:BEPL</t>
  </si>
  <si>
    <t>BHANSALI ENG. POLYMERS LT</t>
  </si>
  <si>
    <t>MIRC ELECTRONICS LTD</t>
  </si>
  <si>
    <t>ACCELYA SOLN INDIA LTD</t>
  </si>
  <si>
    <t>DHANUKA AGRITECH LTD</t>
  </si>
  <si>
    <t>DYNAMATIC TECHNOLOGIES</t>
  </si>
  <si>
    <t>MAN INDUSTRIES (I) LTD.</t>
  </si>
  <si>
    <t>PRATAAP SNACKS LIMITED</t>
  </si>
  <si>
    <t>SHARDA MOTOR INDS LTD</t>
  </si>
  <si>
    <t>CREST VENTURES LIMITED</t>
  </si>
  <si>
    <t>GUJARAT PIPAVAV PORT LTD</t>
  </si>
  <si>
    <t>KIRLOSKAR BROTHERS LTD.</t>
  </si>
  <si>
    <t>PENINSULA LAND LIMITED</t>
  </si>
  <si>
    <t>VLS FINANCE LTD</t>
  </si>
  <si>
    <t>NSE:ANUP</t>
  </si>
  <si>
    <t>THE ANUP ENGINEERING LTD</t>
  </si>
  <si>
    <t>BAJAJ HINDUSTHAN SUGAR LT</t>
  </si>
  <si>
    <t>PARAMOUNT COMM LTD</t>
  </si>
  <si>
    <t>PRECISION WIRES INDIA LTD</t>
  </si>
  <si>
    <t>NSE:SCI</t>
  </si>
  <si>
    <t>SHIPPING CORP OF INDIA LT</t>
  </si>
  <si>
    <t>IRB INFRA DEV LTD.</t>
  </si>
  <si>
    <t>SATIN</t>
  </si>
  <si>
    <t>HERITAGE FOODS LTD</t>
  </si>
  <si>
    <t>BANKINDIA</t>
  </si>
  <si>
    <t>PSB</t>
  </si>
  <si>
    <t>UCOBANK</t>
  </si>
  <si>
    <t>GPPL</t>
  </si>
  <si>
    <t>PROZONER</t>
  </si>
  <si>
    <t>HITECH</t>
  </si>
  <si>
    <t>IRB</t>
  </si>
  <si>
    <t>Sterling tool</t>
  </si>
  <si>
    <t>DYNAMATECH</t>
  </si>
  <si>
    <t>IGARASHI</t>
  </si>
  <si>
    <t>AGARIND</t>
  </si>
  <si>
    <t>JAYAGROGN</t>
  </si>
  <si>
    <t>UTTAMSUGAR</t>
  </si>
  <si>
    <t>R9720006</t>
  </si>
  <si>
    <t>2200tanvi</t>
  </si>
  <si>
    <t>ALBERT DAVID LTD.</t>
  </si>
  <si>
    <t>BESPG3808R</t>
  </si>
  <si>
    <t>BALMER LAWRIE &amp; CO.LTD.</t>
  </si>
  <si>
    <t>B.L.KASHYAP AND SONS LTD.</t>
  </si>
  <si>
    <t>CONFIDENCE PETROLEUM INDI</t>
  </si>
  <si>
    <t>top up</t>
  </si>
  <si>
    <t>NSE:ALEMBICLTD</t>
  </si>
  <si>
    <t>ALEMBIC LIMITED</t>
  </si>
  <si>
    <t>HERITAGE FOODS LIMITED</t>
  </si>
  <si>
    <t>Housing &amp;Urban Developmen</t>
  </si>
  <si>
    <t>TAMILNADU NEWSPRT &amp; PAPER</t>
  </si>
  <si>
    <t>NSE:UJJIVAN</t>
  </si>
  <si>
    <t>UJJIVAN FIN. SERVC. LTD.</t>
  </si>
  <si>
    <t>The Anup Engineering Ltd</t>
  </si>
  <si>
    <t>exit</t>
  </si>
  <si>
    <t>FDC LTD.</t>
  </si>
  <si>
    <t>INDO TECH TRANSFORMERS LT</t>
  </si>
  <si>
    <t>IRCON International Ltd</t>
  </si>
  <si>
    <t>NSE:MAZDA</t>
  </si>
  <si>
    <t>MAZDA LTD.</t>
  </si>
  <si>
    <t xml:space="preserve">exit </t>
  </si>
  <si>
    <t>buy sml</t>
  </si>
  <si>
    <t>Sasken Technologies Limit</t>
  </si>
  <si>
    <t>NRB BEARINGS LTD.</t>
  </si>
  <si>
    <t>BHANSALI ENGINEERING POLY</t>
  </si>
  <si>
    <t>Star Cement Limited</t>
  </si>
  <si>
    <t>ARIHANT SUPERSTRUCTURES L</t>
  </si>
  <si>
    <t>MAN INDUSTRIES (INDIA) LT</t>
  </si>
  <si>
    <t>PATEL ENGINEERING LTD.</t>
  </si>
  <si>
    <t>TEXMACO RAIL &amp; ENGINEERIN</t>
  </si>
  <si>
    <t>NSE:STYRENIX</t>
  </si>
  <si>
    <t>Styrenix Performance Mate</t>
  </si>
  <si>
    <t>TIPS INDUSTRIES LTD.</t>
  </si>
  <si>
    <t>PTC INDIA LTD.</t>
  </si>
  <si>
    <t>ZENSAR TECHNOLOGIES LTD.</t>
  </si>
  <si>
    <t>NSE:HSCL</t>
  </si>
  <si>
    <t>Himadri Speciality Chemic</t>
  </si>
  <si>
    <t>Capacit'e Infraprojects L</t>
  </si>
  <si>
    <t>CREST</t>
  </si>
  <si>
    <t>PARAMOUNT COMMUNICATIONS</t>
  </si>
  <si>
    <t>SHIPPING CORPORATION OF I</t>
  </si>
  <si>
    <t>NSE:KSL</t>
  </si>
  <si>
    <t>KALYANI STEELS LTD.</t>
  </si>
  <si>
    <t>R9720007</t>
  </si>
  <si>
    <t>sl alert</t>
  </si>
  <si>
    <t>2200arushi</t>
  </si>
  <si>
    <t>BGHPG2470G</t>
  </si>
  <si>
    <t>NSE:JTEKTINDIA</t>
  </si>
  <si>
    <t>JTEKT INDIA LIMITED</t>
  </si>
  <si>
    <t>Dhunseri Ventures Limited</t>
  </si>
  <si>
    <t>SHREE DIGVIJAY CEMENT CO.</t>
  </si>
  <si>
    <t>SOLAR INDUSTRIES INDIA LT</t>
  </si>
  <si>
    <t>RANE BRAKE LINING LTD.</t>
  </si>
  <si>
    <t>RASHTRIYA CHEMICALS &amp; FER</t>
  </si>
  <si>
    <t>AEKPU8874N</t>
  </si>
  <si>
    <t>GE T&amp;D India Limited</t>
  </si>
  <si>
    <t>NSE:REPCOHOME</t>
  </si>
  <si>
    <t>PRISM JOHNSON LIMITED.</t>
  </si>
  <si>
    <t>Z1N Cap</t>
  </si>
  <si>
    <t>Taarini</t>
  </si>
  <si>
    <t>Nifty 50</t>
  </si>
  <si>
    <t>BSE 500</t>
  </si>
  <si>
    <t>BSE-SMLCAP</t>
  </si>
  <si>
    <t>Total</t>
  </si>
  <si>
    <t>TOTAL AUM</t>
  </si>
  <si>
    <t>Invested</t>
  </si>
  <si>
    <t>today</t>
  </si>
  <si>
    <t>BUSINESS DAYS</t>
  </si>
  <si>
    <t>% return</t>
  </si>
  <si>
    <t>PROFIT change</t>
  </si>
  <si>
    <t xml:space="preserve"> </t>
  </si>
  <si>
    <t>09/02/2024/</t>
  </si>
  <si>
    <t>360ONE</t>
  </si>
  <si>
    <t>5PAISA</t>
  </si>
  <si>
    <t>63MOONS</t>
  </si>
  <si>
    <t>19-01-2024</t>
  </si>
  <si>
    <t>GLENMARK</t>
  </si>
  <si>
    <t>Largecap</t>
  </si>
  <si>
    <t>Pharmaceuticals</t>
  </si>
  <si>
    <t>ABB</t>
  </si>
  <si>
    <t>23-01-2024</t>
  </si>
  <si>
    <t>Industrials</t>
  </si>
  <si>
    <t>ABBOTINDIA</t>
  </si>
  <si>
    <t>31-01-2024</t>
  </si>
  <si>
    <t>DRREDDY</t>
  </si>
  <si>
    <t>ACCELYA</t>
  </si>
  <si>
    <t>SHREECEM</t>
  </si>
  <si>
    <t>ACE</t>
  </si>
  <si>
    <t>JINDALSTEL</t>
  </si>
  <si>
    <t>Metals</t>
  </si>
  <si>
    <t>ADSL</t>
  </si>
  <si>
    <t>SBIN</t>
  </si>
  <si>
    <t>Bank</t>
  </si>
  <si>
    <t>ADVANIHOTR</t>
  </si>
  <si>
    <t>TATASTEEL</t>
  </si>
  <si>
    <t>ADVENZYMES</t>
  </si>
  <si>
    <t>AEGISCHEM</t>
  </si>
  <si>
    <t>AHLUCONT</t>
  </si>
  <si>
    <t>AJANTPHARM</t>
  </si>
  <si>
    <t>AJMERA</t>
  </si>
  <si>
    <t>AKZOINDIA</t>
  </si>
  <si>
    <t>ALBERTDAVD</t>
  </si>
  <si>
    <t>ALEMBICLTD</t>
  </si>
  <si>
    <t>ALKEM</t>
  </si>
  <si>
    <t>ALLSEC</t>
  </si>
  <si>
    <t>ANANTRAJ</t>
  </si>
  <si>
    <t>ANUP</t>
  </si>
  <si>
    <t>APLLTD</t>
  </si>
  <si>
    <t>APOLLO</t>
  </si>
  <si>
    <t>APOLLOHOSP</t>
  </si>
  <si>
    <t>APOLLOPIPE</t>
  </si>
  <si>
    <t>APOLLOTYRE</t>
  </si>
  <si>
    <t>APOLSINHOT</t>
  </si>
  <si>
    <t>ARE&amp;M</t>
  </si>
  <si>
    <t>ARIHANTSUP</t>
  </si>
  <si>
    <t>ARVIND</t>
  </si>
  <si>
    <t>ARVSMART</t>
  </si>
  <si>
    <t>ASHAPURMIN</t>
  </si>
  <si>
    <t>ASHIANA</t>
  </si>
  <si>
    <t>ASHOKA</t>
  </si>
  <si>
    <t>ASMS</t>
  </si>
  <si>
    <t>ASTERDM</t>
  </si>
  <si>
    <t>ASTRAMICRO</t>
  </si>
  <si>
    <t>AURIONPRO</t>
  </si>
  <si>
    <t>BAJAJ-AUTO</t>
  </si>
  <si>
    <t>BAJAJHIND</t>
  </si>
  <si>
    <t>BAJAJHLDNG</t>
  </si>
  <si>
    <t>BALAXI</t>
  </si>
  <si>
    <t>BALMLAWRIE</t>
  </si>
  <si>
    <t>BANCOINDIA</t>
  </si>
  <si>
    <t>BANKBARODA</t>
  </si>
  <si>
    <t>BBL</t>
  </si>
  <si>
    <t>BBOX</t>
  </si>
  <si>
    <t>BBTC</t>
  </si>
  <si>
    <t>BDL</t>
  </si>
  <si>
    <t>BEDMUTHA</t>
  </si>
  <si>
    <t>BEL</t>
  </si>
  <si>
    <t>BEML</t>
  </si>
  <si>
    <t>BEPL</t>
  </si>
  <si>
    <t>BFINVEST</t>
  </si>
  <si>
    <t>BHARTIARTL</t>
  </si>
  <si>
    <t>BHEL</t>
  </si>
  <si>
    <t>BIGBLOC</t>
  </si>
  <si>
    <t>BIRLACORPN</t>
  </si>
  <si>
    <t>BIRLAMONEY</t>
  </si>
  <si>
    <t>BLKASHYAP</t>
  </si>
  <si>
    <t>BLUESTARCO</t>
  </si>
  <si>
    <t>BOMDYEING</t>
  </si>
  <si>
    <t>BOSCHLTD</t>
  </si>
  <si>
    <t>BPCL</t>
  </si>
  <si>
    <t>BSE</t>
  </si>
  <si>
    <t>BSOFT</t>
  </si>
  <si>
    <t>CANBK</t>
  </si>
  <si>
    <t>CAPACITE</t>
  </si>
  <si>
    <t>CAPLIPOINT</t>
  </si>
  <si>
    <t>CARERATING</t>
  </si>
  <si>
    <t>CASTROLIND</t>
  </si>
  <si>
    <t>CEATLTD</t>
  </si>
  <si>
    <t>CENTURYPLY</t>
  </si>
  <si>
    <t>CENTURYTEX</t>
  </si>
  <si>
    <t>CGCL</t>
  </si>
  <si>
    <t>CHALET</t>
  </si>
  <si>
    <t>CHEMFAB</t>
  </si>
  <si>
    <t>CHENNPETRO</t>
  </si>
  <si>
    <t>CIPLA</t>
  </si>
  <si>
    <t>COCHINSHIP</t>
  </si>
  <si>
    <t>COFORGE</t>
  </si>
  <si>
    <t>COLPAL</t>
  </si>
  <si>
    <t>CONFIPET</t>
  </si>
  <si>
    <t>CRISIL</t>
  </si>
  <si>
    <t>CUMMINSIND</t>
  </si>
  <si>
    <t>CUPID</t>
  </si>
  <si>
    <t>DHANBANK</t>
  </si>
  <si>
    <t>DHANUKA</t>
  </si>
  <si>
    <t>DIXON</t>
  </si>
  <si>
    <t>DLF</t>
  </si>
  <si>
    <t>ECLERX</t>
  </si>
  <si>
    <t>EDELWEISS</t>
  </si>
  <si>
    <t>EICHERMOT</t>
  </si>
  <si>
    <t>EIHAHOTELS</t>
  </si>
  <si>
    <t>EIHOTEL</t>
  </si>
  <si>
    <t>ELECTCAST</t>
  </si>
  <si>
    <t>ELGIEQUIP</t>
  </si>
  <si>
    <t>ENDURANCE</t>
  </si>
  <si>
    <t>ENGINERSIN</t>
  </si>
  <si>
    <t>ESSARSHPNG</t>
  </si>
  <si>
    <t>EXIDEIND</t>
  </si>
  <si>
    <t>FDC</t>
  </si>
  <si>
    <t>FIEMIND</t>
  </si>
  <si>
    <t>FORTIS</t>
  </si>
  <si>
    <t>FSL</t>
  </si>
  <si>
    <t>GAIL</t>
  </si>
  <si>
    <t>GALLANTT</t>
  </si>
  <si>
    <t>GANDHITUBE</t>
  </si>
  <si>
    <t>GANESHHOUC</t>
  </si>
  <si>
    <t>GEECEE</t>
  </si>
  <si>
    <t>GESHIP</t>
  </si>
  <si>
    <t>GICHSGFIN</t>
  </si>
  <si>
    <t>GICRE</t>
  </si>
  <si>
    <t>GILLETTE</t>
  </si>
  <si>
    <t>GIPCL</t>
  </si>
  <si>
    <t>GMDCLTD</t>
  </si>
  <si>
    <t>GMRINFRA</t>
  </si>
  <si>
    <t>GOACARBON</t>
  </si>
  <si>
    <t>GODFRYPHLP</t>
  </si>
  <si>
    <t>GODREJCP</t>
  </si>
  <si>
    <t>GODREJPROP</t>
  </si>
  <si>
    <t>GOLDTECH</t>
  </si>
  <si>
    <t>GOODLUCK</t>
  </si>
  <si>
    <t>GPIL</t>
  </si>
  <si>
    <t>GPTINFRA</t>
  </si>
  <si>
    <t>GRASIM</t>
  </si>
  <si>
    <t>GREENPOWER</t>
  </si>
  <si>
    <t>GSPL</t>
  </si>
  <si>
    <t>GULFOILLUB</t>
  </si>
  <si>
    <t>HAL</t>
  </si>
  <si>
    <t>HBLPOWER</t>
  </si>
  <si>
    <t>HCC</t>
  </si>
  <si>
    <t>HCLTECH</t>
  </si>
  <si>
    <t>HDFCAMC</t>
  </si>
  <si>
    <t>HERCULES</t>
  </si>
  <si>
    <t>HERITGFOOD</t>
  </si>
  <si>
    <t>HEROMOTOCO</t>
  </si>
  <si>
    <t>HINDCOPPER</t>
  </si>
  <si>
    <t>HINDPETRO</t>
  </si>
  <si>
    <t>HIRECT</t>
  </si>
  <si>
    <t>HITECHGEAR</t>
  </si>
  <si>
    <t>HLVLTD</t>
  </si>
  <si>
    <t>HPL</t>
  </si>
  <si>
    <t>HSCL</t>
  </si>
  <si>
    <t>HUDCO</t>
  </si>
  <si>
    <t>HUHTAMAKI</t>
  </si>
  <si>
    <t>ICICIBANK</t>
  </si>
  <si>
    <t>ICICIGI</t>
  </si>
  <si>
    <t>ICIL</t>
  </si>
  <si>
    <t>IDBI</t>
  </si>
  <si>
    <t>IITL</t>
  </si>
  <si>
    <t>IMAGICAA</t>
  </si>
  <si>
    <t>IMFA</t>
  </si>
  <si>
    <t>INDHOTEL</t>
  </si>
  <si>
    <t>INDIANB</t>
  </si>
  <si>
    <t>INDIANHUME</t>
  </si>
  <si>
    <t>INDIGO</t>
  </si>
  <si>
    <t>INDNIPPON</t>
  </si>
  <si>
    <t>INDOTECH</t>
  </si>
  <si>
    <t>INDSWFTLAB</t>
  </si>
  <si>
    <t>INOXWIND</t>
  </si>
  <si>
    <t>INTELLECT</t>
  </si>
  <si>
    <t>IOC</t>
  </si>
  <si>
    <t>IRCON</t>
  </si>
  <si>
    <t>ISEC</t>
  </si>
  <si>
    <t>ITDCEM</t>
  </si>
  <si>
    <t>J&amp;KBANK</t>
  </si>
  <si>
    <t>JAGRAN</t>
  </si>
  <si>
    <t>JAIBALAJI</t>
  </si>
  <si>
    <t>JAICORPLTD</t>
  </si>
  <si>
    <t>JASH</t>
  </si>
  <si>
    <t>JAYBARMARU</t>
  </si>
  <si>
    <t>JBCHEPHARM</t>
  </si>
  <si>
    <t>JBMA</t>
  </si>
  <si>
    <t>JINDALPHOT</t>
  </si>
  <si>
    <t>JKCEMENT</t>
  </si>
  <si>
    <t>JKIL</t>
  </si>
  <si>
    <t>JKLAKSHMI</t>
  </si>
  <si>
    <t>JKTYRE</t>
  </si>
  <si>
    <t>JPOLYINVST</t>
  </si>
  <si>
    <t>JSWHL</t>
  </si>
  <si>
    <t>JUBLINDS</t>
  </si>
  <si>
    <t>JUSTDIAL</t>
  </si>
  <si>
    <t>JYOTHYLAB</t>
  </si>
  <si>
    <t>KAMATHOTEL</t>
  </si>
  <si>
    <t>KAMDHENU</t>
  </si>
  <si>
    <t>KELLTONTEC</t>
  </si>
  <si>
    <t>KERNEX</t>
  </si>
  <si>
    <t>KESORAMIND</t>
  </si>
  <si>
    <t>KILITCH</t>
  </si>
  <si>
    <t>KIRLOSENG</t>
  </si>
  <si>
    <t>KPIL</t>
  </si>
  <si>
    <t>KPITTECH</t>
  </si>
  <si>
    <t>KSB</t>
  </si>
  <si>
    <t>KSCL</t>
  </si>
  <si>
    <t>L&amp;TFH</t>
  </si>
  <si>
    <t>LEMONTREE</t>
  </si>
  <si>
    <t>LICHSGFIN</t>
  </si>
  <si>
    <t>LINCOLN</t>
  </si>
  <si>
    <t>LLOYDSENGG</t>
  </si>
  <si>
    <t>LOKESHMACH</t>
  </si>
  <si>
    <t>LTTS</t>
  </si>
  <si>
    <t>LUMAXTECH</t>
  </si>
  <si>
    <t>LUPIN</t>
  </si>
  <si>
    <t>M&amp;M</t>
  </si>
  <si>
    <t>MAHABANK</t>
  </si>
  <si>
    <t>MANAPPURAM</t>
  </si>
  <si>
    <t>MANINDS</t>
  </si>
  <si>
    <t>MANINFRA</t>
  </si>
  <si>
    <t>MARUTI</t>
  </si>
  <si>
    <t>MAZDA</t>
  </si>
  <si>
    <t>MBLINFRA</t>
  </si>
  <si>
    <t>MCDOWELL-N</t>
  </si>
  <si>
    <t>MGL</t>
  </si>
  <si>
    <t>MICEL</t>
  </si>
  <si>
    <t>MIDHANI</t>
  </si>
  <si>
    <t>MINDACORP</t>
  </si>
  <si>
    <t>MINDTECK</t>
  </si>
  <si>
    <t>MIRCELECTR</t>
  </si>
  <si>
    <t>MOTILALOFS</t>
  </si>
  <si>
    <t>MRF</t>
  </si>
  <si>
    <t>MSPL</t>
  </si>
  <si>
    <t>MUNJALAU</t>
  </si>
  <si>
    <t>MUNJALSHOW</t>
  </si>
  <si>
    <t>NAGAFERT</t>
  </si>
  <si>
    <t>NAM-INDIA</t>
  </si>
  <si>
    <t>NATCOPHARM</t>
  </si>
  <si>
    <t>NATIONALUM</t>
  </si>
  <si>
    <t>NAUKRI</t>
  </si>
  <si>
    <t>NAVA</t>
  </si>
  <si>
    <t>NBCC</t>
  </si>
  <si>
    <t>NCC</t>
  </si>
  <si>
    <t>NCLIND</t>
  </si>
  <si>
    <t>NESCO</t>
  </si>
  <si>
    <t>NEULANDLAB</t>
  </si>
  <si>
    <t>NEWGEN</t>
  </si>
  <si>
    <t>NH</t>
  </si>
  <si>
    <t>NHPC</t>
  </si>
  <si>
    <t>NIACL</t>
  </si>
  <si>
    <t>NIITLTD</t>
  </si>
  <si>
    <t>NITINSPIN</t>
  </si>
  <si>
    <t>NLCINDIA</t>
  </si>
  <si>
    <t>NMDC</t>
  </si>
  <si>
    <t>NRBBEARING</t>
  </si>
  <si>
    <t>NTPC</t>
  </si>
  <si>
    <t>OFSS</t>
  </si>
  <si>
    <t>OIL</t>
  </si>
  <si>
    <t>OLECTRA</t>
  </si>
  <si>
    <t>OMINFRAL</t>
  </si>
  <si>
    <t>ONEPOINT</t>
  </si>
  <si>
    <t>ONGC</t>
  </si>
  <si>
    <t>ORIENTCEM</t>
  </si>
  <si>
    <t>ORIENTCER</t>
  </si>
  <si>
    <t>ORIENTHOT</t>
  </si>
  <si>
    <t>PARAGMILK</t>
  </si>
  <si>
    <t>PATELENG</t>
  </si>
  <si>
    <t>PCBL</t>
  </si>
  <si>
    <t>PENIND</t>
  </si>
  <si>
    <t>PENINLAND</t>
  </si>
  <si>
    <t>PERSISTENT</t>
  </si>
  <si>
    <t>PFC</t>
  </si>
  <si>
    <t>PFOCUS</t>
  </si>
  <si>
    <t>PFS</t>
  </si>
  <si>
    <t>PGIL</t>
  </si>
  <si>
    <t>PHOENIXLTD</t>
  </si>
  <si>
    <t>PILANIINVS</t>
  </si>
  <si>
    <t>PITTIENG</t>
  </si>
  <si>
    <t>PNB</t>
  </si>
  <si>
    <t>PNCINFRA</t>
  </si>
  <si>
    <t>POLYMED</t>
  </si>
  <si>
    <t>POONAWALLA</t>
  </si>
  <si>
    <t>POWERGRID</t>
  </si>
  <si>
    <t>PPL</t>
  </si>
  <si>
    <t>PREMEXPLN</t>
  </si>
  <si>
    <t>PRESTIGE</t>
  </si>
  <si>
    <t>PRICOLLTD</t>
  </si>
  <si>
    <t>PRIMESECU</t>
  </si>
  <si>
    <t>PRSMJOHNSN</t>
  </si>
  <si>
    <t>PTC</t>
  </si>
  <si>
    <t>PURVA</t>
  </si>
  <si>
    <t>PVP</t>
  </si>
  <si>
    <t>RADICO</t>
  </si>
  <si>
    <t>RECLTD</t>
  </si>
  <si>
    <t>REDINGTON</t>
  </si>
  <si>
    <t>RELIANCE</t>
  </si>
  <si>
    <t>RELINFRA</t>
  </si>
  <si>
    <t>REPCOHOME</t>
  </si>
  <si>
    <t>RITES</t>
  </si>
  <si>
    <t>ROHLTD</t>
  </si>
  <si>
    <t>RPGLIFE</t>
  </si>
  <si>
    <t>RTNPOWER</t>
  </si>
  <si>
    <t>SAIL</t>
  </si>
  <si>
    <t>SALZERELEC</t>
  </si>
  <si>
    <t>SANDESH</t>
  </si>
  <si>
    <t>SANDHAR</t>
  </si>
  <si>
    <t>SANGAMIND</t>
  </si>
  <si>
    <t>SANGHVIMOV</t>
  </si>
  <si>
    <t>SANOFI</t>
  </si>
  <si>
    <t>SASKEN</t>
  </si>
  <si>
    <t>SBILIFE</t>
  </si>
  <si>
    <t>SCHNEIDER</t>
  </si>
  <si>
    <t>SCI</t>
  </si>
  <si>
    <t>SHAKTIPUMP</t>
  </si>
  <si>
    <t>SHALPAINTS</t>
  </si>
  <si>
    <t>SHARDAMOTR</t>
  </si>
  <si>
    <t>SHREDIGCEM</t>
  </si>
  <si>
    <t>SHRIPISTON</t>
  </si>
  <si>
    <t>SHRIRAMFIN</t>
  </si>
  <si>
    <t>SIEMENS</t>
  </si>
  <si>
    <t>SJVN</t>
  </si>
  <si>
    <t>SKIPPER</t>
  </si>
  <si>
    <t>SMLISUZU</t>
  </si>
  <si>
    <t>SMSPHARMA</t>
  </si>
  <si>
    <t>SNOWMAN</t>
  </si>
  <si>
    <t>SOLARINDS</t>
  </si>
  <si>
    <t>SONATSOFTW</t>
  </si>
  <si>
    <t>SOUTHBANK</t>
  </si>
  <si>
    <t>SPAL</t>
  </si>
  <si>
    <t>SPCENET</t>
  </si>
  <si>
    <t>SPIC</t>
  </si>
  <si>
    <t>SPLPETRO</t>
  </si>
  <si>
    <t>STARCEMENT</t>
  </si>
  <si>
    <t>STEL</t>
  </si>
  <si>
    <t>STYRENIX</t>
  </si>
  <si>
    <t>SUBROS</t>
  </si>
  <si>
    <t>SUDARSCHEM</t>
  </si>
  <si>
    <t>SUMMITSEC</t>
  </si>
  <si>
    <t>SUNDARMFIN</t>
  </si>
  <si>
    <t>SUNDARMHLD</t>
  </si>
  <si>
    <t>SUNPHARMA</t>
  </si>
  <si>
    <t>SUZLON</t>
  </si>
  <si>
    <t>SWARAJENG</t>
  </si>
  <si>
    <t>SWELECTES</t>
  </si>
  <si>
    <t>SWSOLAR</t>
  </si>
  <si>
    <t>TAJGVK</t>
  </si>
  <si>
    <t>TALBROAUTO</t>
  </si>
  <si>
    <t>TATACONSUM</t>
  </si>
  <si>
    <t>TATAINVEST</t>
  </si>
  <si>
    <t>TATAMOTORS</t>
  </si>
  <si>
    <t>TATAMTRDVR</t>
  </si>
  <si>
    <t>TCS</t>
  </si>
  <si>
    <t>TECHM</t>
  </si>
  <si>
    <t>TECHNOE</t>
  </si>
  <si>
    <t>TEXINFRA</t>
  </si>
  <si>
    <t>TEXRAIL</t>
  </si>
  <si>
    <t>TFCILTD</t>
  </si>
  <si>
    <t>THEMISMED</t>
  </si>
  <si>
    <t>THERMAX</t>
  </si>
  <si>
    <t>THOMASCOOK</t>
  </si>
  <si>
    <t>TIL</t>
  </si>
  <si>
    <t>TIMETECHNO</t>
  </si>
  <si>
    <t>TIPSINDLTD</t>
  </si>
  <si>
    <t>TORNTPHARM</t>
  </si>
  <si>
    <t>TORNTPOWER</t>
  </si>
  <si>
    <t>TPLPLASTEH</t>
  </si>
  <si>
    <t>TRENT</t>
  </si>
  <si>
    <t>TRIL</t>
  </si>
  <si>
    <t>TTKHLTCARE</t>
  </si>
  <si>
    <t>TVSMOTOR</t>
  </si>
  <si>
    <t>TVSSRICHAK</t>
  </si>
  <si>
    <t>ULTRACEMCO</t>
  </si>
  <si>
    <t>UNICHEMLAB</t>
  </si>
  <si>
    <t>UNIONBANK</t>
  </si>
  <si>
    <t>V2RETAIL</t>
  </si>
  <si>
    <t>VADILALIND</t>
  </si>
  <si>
    <t>VASCONEQ</t>
  </si>
  <si>
    <t>VBL</t>
  </si>
  <si>
    <t>VINDHYATEL</t>
  </si>
  <si>
    <t>VLSFINANCE</t>
  </si>
  <si>
    <t>VOLTAMP</t>
  </si>
  <si>
    <t>WABAG</t>
  </si>
  <si>
    <t>WALCHANNAG</t>
  </si>
  <si>
    <t>WELCORP</t>
  </si>
  <si>
    <t>WINDMACHIN</t>
  </si>
  <si>
    <t>WONDERLA</t>
  </si>
  <si>
    <t>XCHANGING</t>
  </si>
  <si>
    <t>XPROINDIA</t>
  </si>
  <si>
    <t>ZOTA</t>
  </si>
  <si>
    <t>ZYDUSLIFE</t>
  </si>
  <si>
    <t xml:space="preserve">Sheela </t>
  </si>
  <si>
    <t>Tanvi</t>
  </si>
  <si>
    <t>arushi</t>
  </si>
  <si>
    <t>ALEMBIC LTD.</t>
  </si>
  <si>
    <t>BANK OF BARODA</t>
  </si>
  <si>
    <t>ENGINEERS INDIA LTD.</t>
  </si>
  <si>
    <t>JTEKT India Ltd</t>
  </si>
  <si>
    <t>ONWARD TECHNOLOGIES LTD.</t>
  </si>
  <si>
    <t>POLY MEDICURE LTD.</t>
  </si>
  <si>
    <t>REPRO INDIA LTD.</t>
  </si>
  <si>
    <t>TAMIL NADU NEWSPRINT &amp; PA</t>
  </si>
  <si>
    <t>Ujjivan Financial Service</t>
  </si>
  <si>
    <t>VRL Logistics Limited</t>
  </si>
  <si>
    <t>Weights</t>
  </si>
  <si>
    <t>Industry</t>
  </si>
  <si>
    <t>Mcap</t>
  </si>
  <si>
    <t>Ujjivan smal finance bank</t>
  </si>
  <si>
    <t>NSE:</t>
  </si>
  <si>
    <t>UJJIVANSFB</t>
  </si>
  <si>
    <t>NSE:UJJIVANSFB</t>
  </si>
  <si>
    <t>foods and Inns ltd</t>
  </si>
  <si>
    <t>FOODSIN</t>
  </si>
  <si>
    <t>NSE:FOODSIN</t>
  </si>
  <si>
    <t>kirloskar oil engines</t>
  </si>
  <si>
    <t>NSE:KIRLOSENG</t>
  </si>
  <si>
    <t>axis bank</t>
  </si>
  <si>
    <t>AXISBANK</t>
  </si>
  <si>
    <t>NSE:AXISBANK</t>
  </si>
  <si>
    <t>fusion micro finance</t>
  </si>
  <si>
    <t>FUSION</t>
  </si>
  <si>
    <t>NSE:FUSION</t>
  </si>
  <si>
    <t>adani power</t>
  </si>
  <si>
    <t>ADANIPOWER</t>
  </si>
  <si>
    <t>NSE:ADANIPOWER</t>
  </si>
  <si>
    <t>yatharth gospital and trauma</t>
  </si>
  <si>
    <t>YATHARTH</t>
  </si>
  <si>
    <t>NSE:YATHARTH</t>
  </si>
  <si>
    <t xml:space="preserve">spandana spoorty </t>
  </si>
  <si>
    <t>SPANDANA</t>
  </si>
  <si>
    <t>rategain tech</t>
  </si>
  <si>
    <t>RATEGAIN</t>
  </si>
  <si>
    <t>NSE:RATEGAIN</t>
  </si>
  <si>
    <t>welspun corp</t>
  </si>
  <si>
    <t>NSE:WELCORP</t>
  </si>
  <si>
    <t>man infraconstrucion</t>
  </si>
  <si>
    <t>NSE:MANINFRA</t>
  </si>
  <si>
    <t>HG infra eng</t>
  </si>
  <si>
    <t>HGINFRA</t>
  </si>
  <si>
    <t>kirloskar brothers</t>
  </si>
  <si>
    <t>KIRLOSBROS</t>
  </si>
  <si>
    <t>cigniti tech</t>
  </si>
  <si>
    <t>CIGNITITEC</t>
  </si>
  <si>
    <t>NSE:CIGNITITEC</t>
  </si>
  <si>
    <t>canara bank</t>
  </si>
  <si>
    <t>NSE:CANBK</t>
  </si>
  <si>
    <t>SUM of Weights</t>
  </si>
  <si>
    <t>Banking and Finance</t>
  </si>
  <si>
    <t>Cement and Construction</t>
  </si>
  <si>
    <t>Diversified Consumer Services</t>
  </si>
  <si>
    <t>Food Beverages &amp; Tobacco</t>
  </si>
  <si>
    <t>General Industrials</t>
  </si>
  <si>
    <t>Metals &amp; Mining</t>
  </si>
  <si>
    <t>Software &amp; Services</t>
  </si>
  <si>
    <t>Utilities</t>
  </si>
  <si>
    <t>Stock Name</t>
  </si>
  <si>
    <t>NSE code</t>
  </si>
  <si>
    <t>BSE code</t>
  </si>
  <si>
    <t>ISIN</t>
  </si>
  <si>
    <t>Current Price Rs</t>
  </si>
  <si>
    <t>Industry Name</t>
  </si>
  <si>
    <t>sector_name</t>
  </si>
  <si>
    <t>Market Capitalization in Cr</t>
  </si>
  <si>
    <t>Number of shares</t>
  </si>
  <si>
    <t>Reliance Industries Ltd.</t>
  </si>
  <si>
    <t>NSE:RELIANCE</t>
  </si>
  <si>
    <t>INE002A01018</t>
  </si>
  <si>
    <t>Refineries/Petro-Products</t>
  </si>
  <si>
    <t>Oil &amp; Gas</t>
  </si>
  <si>
    <t>Tata Consultancy Services Ltd.</t>
  </si>
  <si>
    <t>INE467B01029</t>
  </si>
  <si>
    <t>IT Consulting &amp; Software</t>
  </si>
  <si>
    <t>HDFC Bank Ltd.</t>
  </si>
  <si>
    <t>NSE:HDFCBANK</t>
  </si>
  <si>
    <t>INE040A01034</t>
  </si>
  <si>
    <t>Banks</t>
  </si>
  <si>
    <t>ICICI Bank Ltd.</t>
  </si>
  <si>
    <t>NSE:ICICIBANK</t>
  </si>
  <si>
    <t>INE090A01021</t>
  </si>
  <si>
    <t>Hindustan Unilever Ltd.</t>
  </si>
  <si>
    <t>NSE:HINDUNILVR</t>
  </si>
  <si>
    <t>INE030A01027</t>
  </si>
  <si>
    <t>Personal Products</t>
  </si>
  <si>
    <t>FMCG</t>
  </si>
  <si>
    <t>Infosys Ltd.</t>
  </si>
  <si>
    <t>NSE:INFY</t>
  </si>
  <si>
    <t>INE009A01021</t>
  </si>
  <si>
    <t>Bharti Airtel Ltd.</t>
  </si>
  <si>
    <t>INE397D01024</t>
  </si>
  <si>
    <t>Telecom Services</t>
  </si>
  <si>
    <t>ITC Ltd.</t>
  </si>
  <si>
    <t>NSE:ITC</t>
  </si>
  <si>
    <t>INE154A01025</t>
  </si>
  <si>
    <t>Cigarettes-Tobacco Products</t>
  </si>
  <si>
    <t>State Bank of India</t>
  </si>
  <si>
    <t>NSE:SBIN</t>
  </si>
  <si>
    <t>INE062A01020</t>
  </si>
  <si>
    <t>Larsen &amp; Toubro Ltd.</t>
  </si>
  <si>
    <t>NSE:LT</t>
  </si>
  <si>
    <t>INE018A01030</t>
  </si>
  <si>
    <t>Construction &amp; Engineering</t>
  </si>
  <si>
    <t>Bajaj Finance Ltd.</t>
  </si>
  <si>
    <t>NSE:BAJFINANCE</t>
  </si>
  <si>
    <t>INE296A01024</t>
  </si>
  <si>
    <t>Finance (including NBFCs)</t>
  </si>
  <si>
    <t>Life Insurance Corporation of India</t>
  </si>
  <si>
    <t>NSE:LICI</t>
  </si>
  <si>
    <t>INE0J1Y01017</t>
  </si>
  <si>
    <t>Life Insurance</t>
  </si>
  <si>
    <t>HCL Technologies Ltd.</t>
  </si>
  <si>
    <t>NSE:HCLTECH</t>
  </si>
  <si>
    <t>INE860A01027</t>
  </si>
  <si>
    <t>Kotak Mahindra Bank Ltd.</t>
  </si>
  <si>
    <t>NSE:KOTAKBANK</t>
  </si>
  <si>
    <t>INE237A01028</t>
  </si>
  <si>
    <t>Axis Bank Ltd.</t>
  </si>
  <si>
    <t>INE238A01034</t>
  </si>
  <si>
    <t>Maruti Suzuki India Ltd.</t>
  </si>
  <si>
    <t>NSE:MARUTI</t>
  </si>
  <si>
    <t>INE585B01010</t>
  </si>
  <si>
    <t>Cars &amp; Utility Vehicles</t>
  </si>
  <si>
    <t>Automobiles &amp; Auto Components</t>
  </si>
  <si>
    <t>Titan Company Ltd.</t>
  </si>
  <si>
    <t>NSE:TITAN</t>
  </si>
  <si>
    <t>INE280A01028</t>
  </si>
  <si>
    <t>Gems &amp; Jewellery</t>
  </si>
  <si>
    <t>Textiles Apparels &amp; Accessories</t>
  </si>
  <si>
    <t>Asian Paints Ltd.</t>
  </si>
  <si>
    <t>NSE:ASIANPAINT</t>
  </si>
  <si>
    <t>INE021A01026</t>
  </si>
  <si>
    <t>Furniture-Furnishing-Paints</t>
  </si>
  <si>
    <t>Sun Pharmaceutical Industries Ltd.</t>
  </si>
  <si>
    <t>NSE:SUNPHARMA</t>
  </si>
  <si>
    <t>INE044A01036</t>
  </si>
  <si>
    <t>Pharmaceuticals &amp; Biotechnology</t>
  </si>
  <si>
    <t>Adani Enterprises Ltd.</t>
  </si>
  <si>
    <t>NSE:ADANIENT</t>
  </si>
  <si>
    <t>INE423A01024</t>
  </si>
  <si>
    <t>Commodity Trading &amp; Distribution</t>
  </si>
  <si>
    <t>Commercial Services &amp; Supplies</t>
  </si>
  <si>
    <t>Bajaj Finserv Ltd.</t>
  </si>
  <si>
    <t>NSE:BAJAJFINSV</t>
  </si>
  <si>
    <t>INE918I01026</t>
  </si>
  <si>
    <t>Holding Companies</t>
  </si>
  <si>
    <t>Diversified</t>
  </si>
  <si>
    <t>UltraTech Cement Ltd.</t>
  </si>
  <si>
    <t>NSE:ULTRACEMCO</t>
  </si>
  <si>
    <t>INE481G01011</t>
  </si>
  <si>
    <t>Cement &amp; Cement Products</t>
  </si>
  <si>
    <t>NTPC Ltd.</t>
  </si>
  <si>
    <t>NSE:NTPC</t>
  </si>
  <si>
    <t>INE733E01010</t>
  </si>
  <si>
    <t>Electric Utilities</t>
  </si>
  <si>
    <t>Avenue Supermarts Ltd.</t>
  </si>
  <si>
    <t>NSE:DMART</t>
  </si>
  <si>
    <t>INE192R01011</t>
  </si>
  <si>
    <t>Department Stores</t>
  </si>
  <si>
    <t>Retailing</t>
  </si>
  <si>
    <t>Oil And Natural Gas Corporation Ltd.</t>
  </si>
  <si>
    <t>NSE:ONGC</t>
  </si>
  <si>
    <t>INE213A01029</t>
  </si>
  <si>
    <t>Exploration &amp; Production</t>
  </si>
  <si>
    <t>Nestle India Ltd.</t>
  </si>
  <si>
    <t>NSE:NESTLEIND</t>
  </si>
  <si>
    <t>INE239A01016</t>
  </si>
  <si>
    <t>Packaged Foods</t>
  </si>
  <si>
    <t>Tata Motors Ltd.</t>
  </si>
  <si>
    <t>NSE:TATAMOTORS</t>
  </si>
  <si>
    <t>INE155A01022</t>
  </si>
  <si>
    <t>Commercial Vehicles</t>
  </si>
  <si>
    <t>Coal India Ltd.</t>
  </si>
  <si>
    <t>INE522F01014</t>
  </si>
  <si>
    <t>Coal</t>
  </si>
  <si>
    <t>Wipro Ltd.</t>
  </si>
  <si>
    <t>NSE:WIPRO</t>
  </si>
  <si>
    <t>INE075A01022</t>
  </si>
  <si>
    <t>Mahindra &amp; Mahindra Ltd.</t>
  </si>
  <si>
    <t>NSE:M&amp;M</t>
  </si>
  <si>
    <t>INE101A01026</t>
  </si>
  <si>
    <t>JSW Steel Ltd.</t>
  </si>
  <si>
    <t>NSE:JSWSTEEL</t>
  </si>
  <si>
    <t>INE019A01038</t>
  </si>
  <si>
    <t>Iron &amp; Steel/Interm.Products</t>
  </si>
  <si>
    <t>Power Grid Corporation of India Ltd.</t>
  </si>
  <si>
    <t>NSE:POWERGRID</t>
  </si>
  <si>
    <t>INE752E01010</t>
  </si>
  <si>
    <t>Adani Ports &amp; Special Economic Zone Ltd.</t>
  </si>
  <si>
    <t>NSE:ADANIPORTS</t>
  </si>
  <si>
    <t>INE742F01042</t>
  </si>
  <si>
    <t>Marine Port &amp; Services</t>
  </si>
  <si>
    <t>Transportation</t>
  </si>
  <si>
    <t>Adani Power Ltd.</t>
  </si>
  <si>
    <t>INE814H01011</t>
  </si>
  <si>
    <t>Adani Green Energy Ltd.</t>
  </si>
  <si>
    <t>NSE:ADANIGREEN</t>
  </si>
  <si>
    <t>INE364U01010</t>
  </si>
  <si>
    <t>Bajaj Auto Ltd.</t>
  </si>
  <si>
    <t>NSE:BAJAJ-AUTO</t>
  </si>
  <si>
    <t>INE917I01010</t>
  </si>
  <si>
    <t>2/3 Wheelers</t>
  </si>
  <si>
    <t>Hindustan Aeronautics Ltd.</t>
  </si>
  <si>
    <t>NSE:HAL</t>
  </si>
  <si>
    <t>INE066F01020</t>
  </si>
  <si>
    <t>Defence</t>
  </si>
  <si>
    <t>LTIMindtree Ltd.</t>
  </si>
  <si>
    <t>NSE:LTIM</t>
  </si>
  <si>
    <t>INE214T01019</t>
  </si>
  <si>
    <t>Indian Oil Corporation Ltd.</t>
  </si>
  <si>
    <t>NSE:IOC</t>
  </si>
  <si>
    <t>INE242A01010</t>
  </si>
  <si>
    <t>Oil Marketing &amp; Distribution</t>
  </si>
  <si>
    <t>Tata Steel Ltd.</t>
  </si>
  <si>
    <t>NSE:TATASTEEL</t>
  </si>
  <si>
    <t>INE081A01020</t>
  </si>
  <si>
    <t>DLF Ltd.</t>
  </si>
  <si>
    <t>NSE:DLF</t>
  </si>
  <si>
    <t>INE271C01023</t>
  </si>
  <si>
    <t>Realty</t>
  </si>
  <si>
    <t>Jio Financial Services Ltd.</t>
  </si>
  <si>
    <t>NSE:JIOFIN</t>
  </si>
  <si>
    <t>INE758E01017</t>
  </si>
  <si>
    <t>HDFC Life Insurance Company Ltd.</t>
  </si>
  <si>
    <t>NSE:HDFCLIFE</t>
  </si>
  <si>
    <t>INE795G01014</t>
  </si>
  <si>
    <t>SBI Life Insurance Company Ltd.</t>
  </si>
  <si>
    <t>INE123W01016</t>
  </si>
  <si>
    <t>Varun Beverages Ltd.</t>
  </si>
  <si>
    <t>NSE:VBL</t>
  </si>
  <si>
    <t>INE200M01021</t>
  </si>
  <si>
    <t>Non-alcoholic Beverages</t>
  </si>
  <si>
    <t>Siemens Ltd.</t>
  </si>
  <si>
    <t>NSE:SIEMENS</t>
  </si>
  <si>
    <t>INE003A01024</t>
  </si>
  <si>
    <t>Heavy Electrical Equipment</t>
  </si>
  <si>
    <t>Grasim Industries Ltd.</t>
  </si>
  <si>
    <t>NSE:GRASIM</t>
  </si>
  <si>
    <t>INE047A01021</t>
  </si>
  <si>
    <t>Hindustan Zinc Ltd.</t>
  </si>
  <si>
    <t>NSE:HINDZINC</t>
  </si>
  <si>
    <t>INE267A01025</t>
  </si>
  <si>
    <t>Zinc</t>
  </si>
  <si>
    <t>Pidilite Industries Ltd.</t>
  </si>
  <si>
    <t>NSE:PIDILITIND</t>
  </si>
  <si>
    <t>INE318A01026</t>
  </si>
  <si>
    <t>Specialty Chemicals</t>
  </si>
  <si>
    <t>Chemicals &amp; Petrochemicals</t>
  </si>
  <si>
    <t>Power Finance Corporation Ltd.</t>
  </si>
  <si>
    <t>NSE:PFC</t>
  </si>
  <si>
    <t>INE134E01011</t>
  </si>
  <si>
    <t>Tech Mahindra Ltd.</t>
  </si>
  <si>
    <t>NSE:TECHM</t>
  </si>
  <si>
    <t>INE669C01036</t>
  </si>
  <si>
    <t>Britannia Industries Ltd.</t>
  </si>
  <si>
    <t>NSE:BRITANNIA</t>
  </si>
  <si>
    <t>INE216A01030</t>
  </si>
  <si>
    <t>Hindalco Industries Ltd.</t>
  </si>
  <si>
    <t>NSE:HINDALCO</t>
  </si>
  <si>
    <t>INE038A01020</t>
  </si>
  <si>
    <t>Aluminium and Aluminium Products</t>
  </si>
  <si>
    <t>IndusInd Bank Ltd.</t>
  </si>
  <si>
    <t>NSE:INDUSINDBK</t>
  </si>
  <si>
    <t>INE095A01012</t>
  </si>
  <si>
    <t>Bharat Electronics Ltd.</t>
  </si>
  <si>
    <t>NSE:BEL</t>
  </si>
  <si>
    <t>INE263A01024</t>
  </si>
  <si>
    <t>InterGlobe Aviation Ltd.</t>
  </si>
  <si>
    <t>NSE:INDIGO</t>
  </si>
  <si>
    <t>INE646L01027</t>
  </si>
  <si>
    <t>Airlines</t>
  </si>
  <si>
    <t>Eicher Motors Ltd.</t>
  </si>
  <si>
    <t>NSE:EICHERMOT</t>
  </si>
  <si>
    <t>INE066A01021</t>
  </si>
  <si>
    <t>Bank of Baroda</t>
  </si>
  <si>
    <t>INE028A01039</t>
  </si>
  <si>
    <t>Godrej Consumer Products Ltd.</t>
  </si>
  <si>
    <t>NSE:GODREJCP</t>
  </si>
  <si>
    <t>INE102D01028</t>
  </si>
  <si>
    <t>REC Ltd.</t>
  </si>
  <si>
    <t>NSE:RECLTD</t>
  </si>
  <si>
    <t>INE020B01018</t>
  </si>
  <si>
    <t>Zomato Ltd.</t>
  </si>
  <si>
    <t>NSE:ZOMATO</t>
  </si>
  <si>
    <t>INE758T01015</t>
  </si>
  <si>
    <t>Internet Software &amp; Services</t>
  </si>
  <si>
    <t>Divi's Laboratories Ltd.</t>
  </si>
  <si>
    <t>NSE:DIVISLAB</t>
  </si>
  <si>
    <t>INE361B01024</t>
  </si>
  <si>
    <t>Adani Energy Solutions Ltd.</t>
  </si>
  <si>
    <t>NSE:ADANIENSOL</t>
  </si>
  <si>
    <t>INE931S01010</t>
  </si>
  <si>
    <t>Indian Railway Finance Corporation Ltd.</t>
  </si>
  <si>
    <t>NSE:IRFC</t>
  </si>
  <si>
    <t>INE053F01010</t>
  </si>
  <si>
    <t>Trent Ltd.</t>
  </si>
  <si>
    <t>NSE:TRENT</t>
  </si>
  <si>
    <t>INE849A01020</t>
  </si>
  <si>
    <t>Bharat Petroleum Corporation Ltd.</t>
  </si>
  <si>
    <t>NSE:BPCL</t>
  </si>
  <si>
    <t>INE029A01011</t>
  </si>
  <si>
    <t>Shree Cements Ltd.</t>
  </si>
  <si>
    <t>NSE:SHREECEM</t>
  </si>
  <si>
    <t>INE070A01015</t>
  </si>
  <si>
    <t>ABB India Ltd.</t>
  </si>
  <si>
    <t>NSE:ABB</t>
  </si>
  <si>
    <t>INE117A01022</t>
  </si>
  <si>
    <t>Cipla Ltd.</t>
  </si>
  <si>
    <t>NSE:CIPLA</t>
  </si>
  <si>
    <t>INE059A01026</t>
  </si>
  <si>
    <t>Cholamandalam Investment &amp; Finance Company Ltd.</t>
  </si>
  <si>
    <t>NSE:CHOLAFIN</t>
  </si>
  <si>
    <t>INE121A01024</t>
  </si>
  <si>
    <t>Dabur India Ltd.</t>
  </si>
  <si>
    <t>NSE:DABUR</t>
  </si>
  <si>
    <t>INE016A01026</t>
  </si>
  <si>
    <t>Dr. Reddy's Laboratories Ltd.</t>
  </si>
  <si>
    <t>NSE:DRREDDY</t>
  </si>
  <si>
    <t>INE089A01023</t>
  </si>
  <si>
    <t>GAIL (India) Ltd.</t>
  </si>
  <si>
    <t>NSE:GAIL</t>
  </si>
  <si>
    <t>INE129A01019</t>
  </si>
  <si>
    <t>Utilities:Non-Electrical</t>
  </si>
  <si>
    <t>Ambuja Cements Ltd.</t>
  </si>
  <si>
    <t>NSE:AMBUJACEM</t>
  </si>
  <si>
    <t>INE079A01024</t>
  </si>
  <si>
    <t>Punjab National Bank</t>
  </si>
  <si>
    <t>NSE:PNB</t>
  </si>
  <si>
    <t>INE160A01022</t>
  </si>
  <si>
    <t>TVS Motor Company Ltd.</t>
  </si>
  <si>
    <t>NSE:TVSMOTOR</t>
  </si>
  <si>
    <t>INE494B01023</t>
  </si>
  <si>
    <t>Vedanta Ltd.</t>
  </si>
  <si>
    <t>NSE:VEDL</t>
  </si>
  <si>
    <t>INE205A01025</t>
  </si>
  <si>
    <t>Macrotech Developers Ltd.</t>
  </si>
  <si>
    <t>NSE:LODHA</t>
  </si>
  <si>
    <t>INE670K01029</t>
  </si>
  <si>
    <t>Tata Power Company Ltd.</t>
  </si>
  <si>
    <t>NSE:TATAPOWER</t>
  </si>
  <si>
    <t>INE245A01021</t>
  </si>
  <si>
    <t>Tata Consumer Products Ltd.</t>
  </si>
  <si>
    <t>NSE:TATACONSUM</t>
  </si>
  <si>
    <t>INE192A01025</t>
  </si>
  <si>
    <t>Union Bank of India</t>
  </si>
  <si>
    <t>NSE:UNIONBANK</t>
  </si>
  <si>
    <t>INE692A01016</t>
  </si>
  <si>
    <t>Bajaj Holdings &amp; Investment Ltd.</t>
  </si>
  <si>
    <t>NSE:BAJAJHLDNG</t>
  </si>
  <si>
    <t>INE118A01012</t>
  </si>
  <si>
    <t>Havells India Ltd.</t>
  </si>
  <si>
    <t>INE176B01034</t>
  </si>
  <si>
    <t>Other Electrical Equipment/Products</t>
  </si>
  <si>
    <t>Consumer Durables</t>
  </si>
  <si>
    <t>Apollo Hospitals Enterprise Ltd.</t>
  </si>
  <si>
    <t>NSE:APOLLOHOSP</t>
  </si>
  <si>
    <t>INE437A01024</t>
  </si>
  <si>
    <t>Healthcare Facilities</t>
  </si>
  <si>
    <t>ICICI Prudential Life Insurance Company Ltd.</t>
  </si>
  <si>
    <t>NSE:ICICIPRULI</t>
  </si>
  <si>
    <t>INE726G01019</t>
  </si>
  <si>
    <t>Adani Total Gas Ltd.</t>
  </si>
  <si>
    <t>NSE:ATGL</t>
  </si>
  <si>
    <t>INE399L01023</t>
  </si>
  <si>
    <t>Polycab India Ltd.</t>
  </si>
  <si>
    <t>NSE:POLYCAB</t>
  </si>
  <si>
    <t>INE455K01017</t>
  </si>
  <si>
    <t>Mankind Pharma Ltd.</t>
  </si>
  <si>
    <t>NSE:MANKIND</t>
  </si>
  <si>
    <t>INE634S01028</t>
  </si>
  <si>
    <t>Canara Bank</t>
  </si>
  <si>
    <t>INE476A01014</t>
  </si>
  <si>
    <t>Shriram Finance Ltd.</t>
  </si>
  <si>
    <t>INE721A01013</t>
  </si>
  <si>
    <t>Indian Overseas Bank</t>
  </si>
  <si>
    <t>INE565A01014</t>
  </si>
  <si>
    <t>Hero MotoCorp Ltd.</t>
  </si>
  <si>
    <t>NSE:HEROMOTOCO</t>
  </si>
  <si>
    <t>INE158A01026</t>
  </si>
  <si>
    <t>United Spirits Ltd.</t>
  </si>
  <si>
    <t>NSE:MCDOWELL-N</t>
  </si>
  <si>
    <t>INE854D01024</t>
  </si>
  <si>
    <t>Breweries &amp; Distilleries</t>
  </si>
  <si>
    <t>Torrent Pharmaceuticals Ltd.</t>
  </si>
  <si>
    <t>NSE:TORNTPHARM</t>
  </si>
  <si>
    <t>INE685A01028</t>
  </si>
  <si>
    <t>SBI Cards and Payment Services Ltd.</t>
  </si>
  <si>
    <t>NSE:SBICARD</t>
  </si>
  <si>
    <t>INE018E01016</t>
  </si>
  <si>
    <t>SRF Ltd.</t>
  </si>
  <si>
    <t>NSE:SRF</t>
  </si>
  <si>
    <t>INE647A01010</t>
  </si>
  <si>
    <t>ICICI Lombard General Insurance Company Ltd.</t>
  </si>
  <si>
    <t>NSE:ICICIGI</t>
  </si>
  <si>
    <t>INE765G01017</t>
  </si>
  <si>
    <t>General Insurance</t>
  </si>
  <si>
    <t>CG Power and Industrial Solutions Ltd.</t>
  </si>
  <si>
    <t>NSE:CGPOWER</t>
  </si>
  <si>
    <t>INE067A01029</t>
  </si>
  <si>
    <t>JSW Energy Ltd.</t>
  </si>
  <si>
    <t>INE121E01018</t>
  </si>
  <si>
    <t>Marico Ltd.</t>
  </si>
  <si>
    <t>NSE:MARICO</t>
  </si>
  <si>
    <t>INE196A01026</t>
  </si>
  <si>
    <t>Jindal Steel &amp; Power Ltd.</t>
  </si>
  <si>
    <t>NSE:JINDALSTEL</t>
  </si>
  <si>
    <t>INE749A01030</t>
  </si>
  <si>
    <t>Berger Paints (India) Ltd.</t>
  </si>
  <si>
    <t>NSE:BERGEPAINT</t>
  </si>
  <si>
    <t>INE463A01038</t>
  </si>
  <si>
    <t>IDBI Bank Ltd.</t>
  </si>
  <si>
    <t>NSE:IDBI</t>
  </si>
  <si>
    <t>INE008A01015</t>
  </si>
  <si>
    <t>Vodafone Idea Ltd.</t>
  </si>
  <si>
    <t>NSE:IDEA</t>
  </si>
  <si>
    <t>INE669E01016</t>
  </si>
  <si>
    <t>Bosch Ltd.</t>
  </si>
  <si>
    <t>NSE:BOSCHLTD</t>
  </si>
  <si>
    <t>INE323A01026</t>
  </si>
  <si>
    <t>Auto Parts &amp; Equipment</t>
  </si>
  <si>
    <t>Zydus Lifesciences Ltd.</t>
  </si>
  <si>
    <t>NSE:ZYDUSLIFE</t>
  </si>
  <si>
    <t>INE010B01027</t>
  </si>
  <si>
    <t>Max Healthcare Institute Ltd.</t>
  </si>
  <si>
    <t>NSE:MAXHEALTH</t>
  </si>
  <si>
    <t>INE027H01010</t>
  </si>
  <si>
    <t>HDFC Asset Management Company Ltd.</t>
  </si>
  <si>
    <t>NSE:HDFCAMC</t>
  </si>
  <si>
    <t>INE127D01025</t>
  </si>
  <si>
    <t>Asset Management Cos.</t>
  </si>
  <si>
    <t>Samvardhana Motherson International Ltd.</t>
  </si>
  <si>
    <t>NSE:MOTHERSON</t>
  </si>
  <si>
    <t>INE775A01035</t>
  </si>
  <si>
    <t>Tube Investments of India Ltd.</t>
  </si>
  <si>
    <t>NSE:TIINDIA</t>
  </si>
  <si>
    <t>INE974X01010</t>
  </si>
  <si>
    <t>Colgate-Palmolive (India) Ltd.</t>
  </si>
  <si>
    <t>NSE:COLPAL</t>
  </si>
  <si>
    <t>INE259A01022</t>
  </si>
  <si>
    <t>IDFC First Bank Ltd.</t>
  </si>
  <si>
    <t>NSE:IDFCFIRSTB</t>
  </si>
  <si>
    <t>INE092T01019</t>
  </si>
  <si>
    <t>Indian Hotels Company Ltd.</t>
  </si>
  <si>
    <t>INE053A01029</t>
  </si>
  <si>
    <t>Hotels</t>
  </si>
  <si>
    <t>Hotels Restaurants &amp; Tourism</t>
  </si>
  <si>
    <t>Aurobindo Pharma Ltd.</t>
  </si>
  <si>
    <t>NSE:AUROPHARMA</t>
  </si>
  <si>
    <t>INE406A01037</t>
  </si>
  <si>
    <t>Bharat Heavy Electricals Ltd.</t>
  </si>
  <si>
    <t>NSE:BHEL</t>
  </si>
  <si>
    <t>INE257A01026</t>
  </si>
  <si>
    <t>Info Edge (India) Ltd.</t>
  </si>
  <si>
    <t>NSE:NAUKRI</t>
  </si>
  <si>
    <t>INE663F01024</t>
  </si>
  <si>
    <t>Supreme Industries Ltd.</t>
  </si>
  <si>
    <t>NSE:SUPREMEIND</t>
  </si>
  <si>
    <t>INE195A01028</t>
  </si>
  <si>
    <t>Plastic Products</t>
  </si>
  <si>
    <t>Muthoot Finance Ltd.</t>
  </si>
  <si>
    <t>INE414G01012</t>
  </si>
  <si>
    <t>PI Industries Ltd.</t>
  </si>
  <si>
    <t>NSE:PIIND</t>
  </si>
  <si>
    <t>INE603J01030</t>
  </si>
  <si>
    <t>Agrochemicals</t>
  </si>
  <si>
    <t>NHPC Ltd.</t>
  </si>
  <si>
    <t>NSE:NHPC</t>
  </si>
  <si>
    <t>INE848E01016</t>
  </si>
  <si>
    <t>Indian Railway Catering &amp; Tourism Corporation Ltd.</t>
  </si>
  <si>
    <t>NSE:IRCTC</t>
  </si>
  <si>
    <t>INE335Y01020</t>
  </si>
  <si>
    <t>Travel Support Services</t>
  </si>
  <si>
    <t>Lupin Ltd.</t>
  </si>
  <si>
    <t>NSE:LUPIN</t>
  </si>
  <si>
    <t>INE326A01037</t>
  </si>
  <si>
    <t>Procter &amp; Gamble Hygiene &amp; Healthcare Ltd.</t>
  </si>
  <si>
    <t>NSE:PGHH</t>
  </si>
  <si>
    <t>INE179A01014</t>
  </si>
  <si>
    <t>YES Bank Ltd.</t>
  </si>
  <si>
    <t>NSE:YESBANK</t>
  </si>
  <si>
    <t>INE528G01035</t>
  </si>
  <si>
    <t>Alkem Laboratories Ltd.</t>
  </si>
  <si>
    <t>NSE:ALKEM</t>
  </si>
  <si>
    <t>INE540L01014</t>
  </si>
  <si>
    <t>One97 Communications Ltd.</t>
  </si>
  <si>
    <t>NSE:PAYTM</t>
  </si>
  <si>
    <t>INE982J01020</t>
  </si>
  <si>
    <t>Solar Industries India Ltd.</t>
  </si>
  <si>
    <t>INE343H01029</t>
  </si>
  <si>
    <t>Other Industrial Products</t>
  </si>
  <si>
    <t>General Insurance Corporation of India</t>
  </si>
  <si>
    <t>NSE:GICRE</t>
  </si>
  <si>
    <t>INE481Y01014</t>
  </si>
  <si>
    <t>Suzlon Energy Ltd.</t>
  </si>
  <si>
    <t>NSE:SUZLON</t>
  </si>
  <si>
    <t>INE040H01021</t>
  </si>
  <si>
    <t>Cummins India Ltd.</t>
  </si>
  <si>
    <t>NSE:CUMMINSIND</t>
  </si>
  <si>
    <t>INE298A01020</t>
  </si>
  <si>
    <t>Industrial Machinery</t>
  </si>
  <si>
    <t>NMDC Ltd.</t>
  </si>
  <si>
    <t>NSE:NMDC</t>
  </si>
  <si>
    <t>INE584A01023</t>
  </si>
  <si>
    <t>Mining</t>
  </si>
  <si>
    <t>Bharat Forge Ltd.</t>
  </si>
  <si>
    <t>NSE:BHARATFORG</t>
  </si>
  <si>
    <t>INE465A01025</t>
  </si>
  <si>
    <t>Godrej Properties Ltd.</t>
  </si>
  <si>
    <t>NSE:GODREJPROP</t>
  </si>
  <si>
    <t>INE484J01027</t>
  </si>
  <si>
    <t>Astral Ltd.</t>
  </si>
  <si>
    <t>NSE:ASTRAL</t>
  </si>
  <si>
    <t>INE006I01046</t>
  </si>
  <si>
    <t>Oberoi Realty Ltd.</t>
  </si>
  <si>
    <t>NSE:OBEROIRLTY</t>
  </si>
  <si>
    <t>INE093I01010</t>
  </si>
  <si>
    <t>Hindustan Petroleum Corporation Ltd.</t>
  </si>
  <si>
    <t>NSE:HINDPETRO</t>
  </si>
  <si>
    <t>INE094A01015</t>
  </si>
  <si>
    <t>Tata Elxsi Ltd.</t>
  </si>
  <si>
    <t>NSE:TATAELXSI</t>
  </si>
  <si>
    <t>INE670A01012</t>
  </si>
  <si>
    <t>Ashok Leyland Ltd.</t>
  </si>
  <si>
    <t>NSE:ASHOKLEY</t>
  </si>
  <si>
    <t>INE208A01029</t>
  </si>
  <si>
    <t>Patanjali Foods Ltd.</t>
  </si>
  <si>
    <t>NSE:PATANJALI</t>
  </si>
  <si>
    <t>INE619A01035</t>
  </si>
  <si>
    <t>Edible Oils</t>
  </si>
  <si>
    <t>Indian Bank</t>
  </si>
  <si>
    <t>INE562A01011</t>
  </si>
  <si>
    <t>Indus Towers Ltd.</t>
  </si>
  <si>
    <t>NSE:INDUSTOWER</t>
  </si>
  <si>
    <t>INE121J01017</t>
  </si>
  <si>
    <t>Other Telecom Services</t>
  </si>
  <si>
    <t>FSN E-Commerce Ventures Ltd.</t>
  </si>
  <si>
    <t>NSE:NYKAA</t>
  </si>
  <si>
    <t>INE388Y01029</t>
  </si>
  <si>
    <t>Internet &amp; Catalogue Retail</t>
  </si>
  <si>
    <t>Au Small Finance Bank Ltd.</t>
  </si>
  <si>
    <t>NSE:AUBANK</t>
  </si>
  <si>
    <t>INE949L01017</t>
  </si>
  <si>
    <t>Abbott India Ltd.</t>
  </si>
  <si>
    <t>NSE:ABBOTINDIA</t>
  </si>
  <si>
    <t>INE358A01014</t>
  </si>
  <si>
    <t>Linde India Ltd.</t>
  </si>
  <si>
    <t>NSE:LINDEINDIA</t>
  </si>
  <si>
    <t>INE473A01011</t>
  </si>
  <si>
    <t>Industrial Gases</t>
  </si>
  <si>
    <t>L&amp;T Technology Services Ltd.</t>
  </si>
  <si>
    <t>NSE:LTTS</t>
  </si>
  <si>
    <t>INE010V01017</t>
  </si>
  <si>
    <t>Persistent Systems Ltd.</t>
  </si>
  <si>
    <t>NSE:PERSISTENT</t>
  </si>
  <si>
    <t>INE262H01013</t>
  </si>
  <si>
    <t>Balkrishna Industries Ltd.</t>
  </si>
  <si>
    <t>NSE:BALKRISIND</t>
  </si>
  <si>
    <t>INE787D01026</t>
  </si>
  <si>
    <t>Auto Tyres &amp; Rubber Products</t>
  </si>
  <si>
    <t>The Fertilisers and Chemicals Travancore Ltd.</t>
  </si>
  <si>
    <t>NSE:FACT</t>
  </si>
  <si>
    <t>INE188A01015</t>
  </si>
  <si>
    <t>Fertilizers</t>
  </si>
  <si>
    <t>Container Corporation of India Ltd.</t>
  </si>
  <si>
    <t>NSE:CONCOR</t>
  </si>
  <si>
    <t>INE111A01025</t>
  </si>
  <si>
    <t>Warehousing and Logistics</t>
  </si>
  <si>
    <t>Tata Technologies Ltd.</t>
  </si>
  <si>
    <t>NSE:TATATECH</t>
  </si>
  <si>
    <t>INE142M01025</t>
  </si>
  <si>
    <t>Tata Communications Ltd.</t>
  </si>
  <si>
    <t>NSE:TATACOMM</t>
  </si>
  <si>
    <t>INE151A01013</t>
  </si>
  <si>
    <t>MRF Ltd.</t>
  </si>
  <si>
    <t>NSE:MRF</t>
  </si>
  <si>
    <t>INE883A01011</t>
  </si>
  <si>
    <t>Torrent Power Ltd.</t>
  </si>
  <si>
    <t>NSE:TORNTPOWER</t>
  </si>
  <si>
    <t>INE813H01021</t>
  </si>
  <si>
    <t>UCO Bank</t>
  </si>
  <si>
    <t>INE691A01018</t>
  </si>
  <si>
    <t>JSW Infrastructure Ltd.</t>
  </si>
  <si>
    <t>NSE:JSWINFRA</t>
  </si>
  <si>
    <t>INE880J01026</t>
  </si>
  <si>
    <t>APL Apollo Tubes Ltd.</t>
  </si>
  <si>
    <t>NSE:APLAPOLLO</t>
  </si>
  <si>
    <t>INE702C01027</t>
  </si>
  <si>
    <t>Iron &amp; Steel Products</t>
  </si>
  <si>
    <t>Schaeffler India Ltd.</t>
  </si>
  <si>
    <t>NSE:SCHAEFFLER</t>
  </si>
  <si>
    <t>INE513A01022</t>
  </si>
  <si>
    <t>Adani Wilmar Ltd.</t>
  </si>
  <si>
    <t>NSE:AWL</t>
  </si>
  <si>
    <t>INE699H01024</t>
  </si>
  <si>
    <t>Aditya Birla Capital Ltd.</t>
  </si>
  <si>
    <t>NSE:ABCAPITAL</t>
  </si>
  <si>
    <t>INE674K01013</t>
  </si>
  <si>
    <t>Bank of India</t>
  </si>
  <si>
    <t>INE084A01016</t>
  </si>
  <si>
    <t>United Breweries Ltd.</t>
  </si>
  <si>
    <t>NSE:UBL</t>
  </si>
  <si>
    <t>INE686F01025</t>
  </si>
  <si>
    <t>MphasiS Ltd.</t>
  </si>
  <si>
    <t>NSE:MPHASIS</t>
  </si>
  <si>
    <t>INE356A01018</t>
  </si>
  <si>
    <t>Prestige Estates Projects Ltd.</t>
  </si>
  <si>
    <t>NSE:PRESTIGE</t>
  </si>
  <si>
    <t>INE811K01011</t>
  </si>
  <si>
    <t>UPL Ltd.</t>
  </si>
  <si>
    <t>NSE:UPL</t>
  </si>
  <si>
    <t>INE628A01036</t>
  </si>
  <si>
    <t>Dalmia Bharat Ltd.</t>
  </si>
  <si>
    <t>INE00R701025</t>
  </si>
  <si>
    <t>Jindal Stainless Ltd.</t>
  </si>
  <si>
    <t>NSE:JSL</t>
  </si>
  <si>
    <t>INE220G01021</t>
  </si>
  <si>
    <t>Phoenix Mills Ltd.</t>
  </si>
  <si>
    <t>NSE:PHOENIXLTD</t>
  </si>
  <si>
    <t>INE211B01039</t>
  </si>
  <si>
    <t>Page Industries Ltd.</t>
  </si>
  <si>
    <t>NSE:PAGEIND</t>
  </si>
  <si>
    <t>INE761H01022</t>
  </si>
  <si>
    <t>Other Apparels &amp; Accessories</t>
  </si>
  <si>
    <t>Central Bank of India</t>
  </si>
  <si>
    <t>NSE:CENTRALBK</t>
  </si>
  <si>
    <t>INE483A01010</t>
  </si>
  <si>
    <t>KPIT Technologies Ltd.</t>
  </si>
  <si>
    <t>NSE:KPITTECH</t>
  </si>
  <si>
    <t>INE04I401011</t>
  </si>
  <si>
    <t>Mazagon Dock Shipbuilders Ltd.</t>
  </si>
  <si>
    <t>NSE:MAZDOCK</t>
  </si>
  <si>
    <t>INE249Z01012</t>
  </si>
  <si>
    <t>Shipping</t>
  </si>
  <si>
    <t>The New India Assurance Company Ltd.</t>
  </si>
  <si>
    <t>INE470Y01017</t>
  </si>
  <si>
    <t>Steel Authority of India (SAIL) Ltd.</t>
  </si>
  <si>
    <t>INE114A01011</t>
  </si>
  <si>
    <t>PB Fintech Ltd.</t>
  </si>
  <si>
    <t>NSE:POLICYBZR</t>
  </si>
  <si>
    <t>INE417T01026</t>
  </si>
  <si>
    <t>L&amp;T Finance Holdings Ltd.</t>
  </si>
  <si>
    <t>NSE:L&amp;TFH</t>
  </si>
  <si>
    <t>INE498L01015</t>
  </si>
  <si>
    <t>ACC Ltd.</t>
  </si>
  <si>
    <t>NSE:ACC</t>
  </si>
  <si>
    <t>INE012A01025</t>
  </si>
  <si>
    <t>UNO Minda Ltd.</t>
  </si>
  <si>
    <t>INE405E01023</t>
  </si>
  <si>
    <t>Sundaram Finance Ltd.</t>
  </si>
  <si>
    <t>NSE:SUNDARMFIN</t>
  </si>
  <si>
    <t>INE660A01013</t>
  </si>
  <si>
    <t>GMR Airports Infrastructure Ltd.</t>
  </si>
  <si>
    <t>NSE:GMRINFRA</t>
  </si>
  <si>
    <t>INE776C01039</t>
  </si>
  <si>
    <t>Bandhan Bank Ltd.</t>
  </si>
  <si>
    <t>NSE:BANDHANBNK</t>
  </si>
  <si>
    <t>INE545U01014</t>
  </si>
  <si>
    <t>Metro Brands Ltd.</t>
  </si>
  <si>
    <t>NSE:METROBRAND</t>
  </si>
  <si>
    <t>INE317I01021</t>
  </si>
  <si>
    <t>Footwear</t>
  </si>
  <si>
    <t>Jubilant Foodworks Ltd.</t>
  </si>
  <si>
    <t>NSE:JUBLFOOD</t>
  </si>
  <si>
    <t>INE797F01020</t>
  </si>
  <si>
    <t>Restaurants</t>
  </si>
  <si>
    <t>Federal Bank Ltd.</t>
  </si>
  <si>
    <t>NSE:FEDERALBNK</t>
  </si>
  <si>
    <t>INE171A01029</t>
  </si>
  <si>
    <t>Rail Vikas Nigam Ltd.</t>
  </si>
  <si>
    <t>NSE:RVNL</t>
  </si>
  <si>
    <t>INE415G01027</t>
  </si>
  <si>
    <t>Oil India Ltd.</t>
  </si>
  <si>
    <t>NSE:OIL</t>
  </si>
  <si>
    <t>INE274J01014</t>
  </si>
  <si>
    <t>3M India Ltd.</t>
  </si>
  <si>
    <t>NSE:3MINDIA</t>
  </si>
  <si>
    <t>INE470A01017</t>
  </si>
  <si>
    <t>Escorts Kubota Ltd.</t>
  </si>
  <si>
    <t>NSE:ESCORTS</t>
  </si>
  <si>
    <t>INE042A01014</t>
  </si>
  <si>
    <t>Dixon Technologies (India) Ltd.</t>
  </si>
  <si>
    <t>INE935N01020</t>
  </si>
  <si>
    <t>Consumer Electronics</t>
  </si>
  <si>
    <t>Oracle Financial Services Software Ltd.</t>
  </si>
  <si>
    <t>NSE:OFSS</t>
  </si>
  <si>
    <t>INE881D01027</t>
  </si>
  <si>
    <t>Max Financial Services Ltd.</t>
  </si>
  <si>
    <t>NSE:MFSL</t>
  </si>
  <si>
    <t>INE180A01020</t>
  </si>
  <si>
    <t>Coforge Ltd.</t>
  </si>
  <si>
    <t>NSE:COFORGE</t>
  </si>
  <si>
    <t>INE591G01017</t>
  </si>
  <si>
    <t>AIA Engineering Ltd.</t>
  </si>
  <si>
    <t>NSE:AIAENG</t>
  </si>
  <si>
    <t>INE212H01026</t>
  </si>
  <si>
    <t>Other Industrial Goods</t>
  </si>
  <si>
    <t>Kalyan Jewellers India Ltd.</t>
  </si>
  <si>
    <t>NSE:KALYANKJIL</t>
  </si>
  <si>
    <t>INE303R01014</t>
  </si>
  <si>
    <t>Mahindra &amp; Mahindra Financial Services Ltd.</t>
  </si>
  <si>
    <t>NSE:M&amp;MFIN</t>
  </si>
  <si>
    <t>INE774D01024</t>
  </si>
  <si>
    <t>Coromandel International Ltd.</t>
  </si>
  <si>
    <t>NSE:COROMANDEL</t>
  </si>
  <si>
    <t>INE169A01031</t>
  </si>
  <si>
    <t>SJVN Ltd.</t>
  </si>
  <si>
    <t>NSE:SJVN</t>
  </si>
  <si>
    <t>INE002L01015</t>
  </si>
  <si>
    <t>BSE Ltd.</t>
  </si>
  <si>
    <t>NSE:BSE</t>
  </si>
  <si>
    <t>INE118H01025</t>
  </si>
  <si>
    <t>Exchange</t>
  </si>
  <si>
    <t>Vedant Fashions Ltd.</t>
  </si>
  <si>
    <t>NSE:MANYAVAR</t>
  </si>
  <si>
    <t>INE825V01034</t>
  </si>
  <si>
    <t>Specialty Retail</t>
  </si>
  <si>
    <t>Sona BLW Precision Forgings Ltd.</t>
  </si>
  <si>
    <t>NSE:SONACOMS</t>
  </si>
  <si>
    <t>INE073K01018</t>
  </si>
  <si>
    <t>Star Health and Allied Insurance Company Ltd.</t>
  </si>
  <si>
    <t>NSE:STARHEALTH</t>
  </si>
  <si>
    <t>INE575P01011</t>
  </si>
  <si>
    <t>Honeywell Automation India Ltd.</t>
  </si>
  <si>
    <t>NSE:HONAUT</t>
  </si>
  <si>
    <t>INE671A01010</t>
  </si>
  <si>
    <t>Thermax Ltd.</t>
  </si>
  <si>
    <t>NSE:THERMAX</t>
  </si>
  <si>
    <t>INE152A01029</t>
  </si>
  <si>
    <t>Bank of Maharashtra</t>
  </si>
  <si>
    <t>NSE:MAHABANK</t>
  </si>
  <si>
    <t>INE457A01014</t>
  </si>
  <si>
    <t>Poonawalla Fincorp Ltd.</t>
  </si>
  <si>
    <t>NSE:POONAWALLA</t>
  </si>
  <si>
    <t>INE511C01022</t>
  </si>
  <si>
    <t>Gujarat Fluorochemicals Ltd.</t>
  </si>
  <si>
    <t>NSE:FLUOROCHEM</t>
  </si>
  <si>
    <t>INE09N301011</t>
  </si>
  <si>
    <t>ZF Commercial Vehicle Control Systems India Ltd.</t>
  </si>
  <si>
    <t>NSE:ZFCVINDIA</t>
  </si>
  <si>
    <t>INE342J01019</t>
  </si>
  <si>
    <t>Crisil Ltd.</t>
  </si>
  <si>
    <t>NSE:CRISIL</t>
  </si>
  <si>
    <t>INE007A01025</t>
  </si>
  <si>
    <t>Other Financial Services</t>
  </si>
  <si>
    <t>Petronet LNG Ltd.</t>
  </si>
  <si>
    <t>INE347G01014</t>
  </si>
  <si>
    <t>Gujarat Gas Ltd.</t>
  </si>
  <si>
    <t>NSE:GUJGASLTD</t>
  </si>
  <si>
    <t>INE844O01030</t>
  </si>
  <si>
    <t>Deepak Nitrite Ltd.</t>
  </si>
  <si>
    <t>NSE:DEEPAKNTR</t>
  </si>
  <si>
    <t>INE288B01029</t>
  </si>
  <si>
    <t>Commodity Chemicals</t>
  </si>
  <si>
    <t>Syngene International Ltd.</t>
  </si>
  <si>
    <t>NSE:SYNGENE</t>
  </si>
  <si>
    <t>INE398R01022</t>
  </si>
  <si>
    <t>Embassy Office Parks REIT</t>
  </si>
  <si>
    <t>NSE:EMBASSY</t>
  </si>
  <si>
    <t>INE041025011</t>
  </si>
  <si>
    <t>REITs-InvITs</t>
  </si>
  <si>
    <t>Gland Pharma Ltd.</t>
  </si>
  <si>
    <t>NSE:GLAND</t>
  </si>
  <si>
    <t>INE068V01023</t>
  </si>
  <si>
    <t>KPR Mill Ltd.</t>
  </si>
  <si>
    <t>NSE:KPRMILL</t>
  </si>
  <si>
    <t>INE930H01031</t>
  </si>
  <si>
    <t>Textiles</t>
  </si>
  <si>
    <t>Delhivery Ltd.</t>
  </si>
  <si>
    <t>NSE:DELHIVERY</t>
  </si>
  <si>
    <t>INE148O01028</t>
  </si>
  <si>
    <t>Transportation - Logistics</t>
  </si>
  <si>
    <t>GlaxoSmithKline Pharmaceuticals Ltd.</t>
  </si>
  <si>
    <t>NSE:GLAXO</t>
  </si>
  <si>
    <t>INE159A01016</t>
  </si>
  <si>
    <t>Fortis Healthcare Ltd.</t>
  </si>
  <si>
    <t>NSE:FORTIS</t>
  </si>
  <si>
    <t>INE061F01013</t>
  </si>
  <si>
    <t>Ipca Laboratories Ltd.</t>
  </si>
  <si>
    <t>NSE:IPCALAB</t>
  </si>
  <si>
    <t>INE571A01038</t>
  </si>
  <si>
    <t>Biocon Ltd.</t>
  </si>
  <si>
    <t>NSE:BIOCON</t>
  </si>
  <si>
    <t>INE376G01013</t>
  </si>
  <si>
    <t>Biotechnology</t>
  </si>
  <si>
    <t>Punjab &amp; Sind Bank</t>
  </si>
  <si>
    <t>INE608A01012</t>
  </si>
  <si>
    <t>Apollo Tyres Ltd.</t>
  </si>
  <si>
    <t>NSE:APOLLOTYRE</t>
  </si>
  <si>
    <t>INE438A01022</t>
  </si>
  <si>
    <t>JK Cement Ltd.</t>
  </si>
  <si>
    <t>NSE:JKCEMENT</t>
  </si>
  <si>
    <t>INE823G01014</t>
  </si>
  <si>
    <t>Indraprastha Gas Ltd.</t>
  </si>
  <si>
    <t>NSE:IGL</t>
  </si>
  <si>
    <t>INE203G01027</t>
  </si>
  <si>
    <t>LIC Housing Finance Ltd.</t>
  </si>
  <si>
    <t>NSE:LICHSGFIN</t>
  </si>
  <si>
    <t>INE115A01026</t>
  </si>
  <si>
    <t>Housing Finance</t>
  </si>
  <si>
    <t>Voltas Ltd.</t>
  </si>
  <si>
    <t>NSE:VOLTAS</t>
  </si>
  <si>
    <t>INE226A01021</t>
  </si>
  <si>
    <t>Nippon Life India Asset Management Ltd.</t>
  </si>
  <si>
    <t>INE298J01013</t>
  </si>
  <si>
    <t>CreditAccess Grameen Ltd.</t>
  </si>
  <si>
    <t>NSE:CREDITACC</t>
  </si>
  <si>
    <t>INE741K01010</t>
  </si>
  <si>
    <t>Lloyds Metals &amp; Energy Ltd.</t>
  </si>
  <si>
    <t>NSE:LLOYDSME</t>
  </si>
  <si>
    <t>INE281B01032</t>
  </si>
  <si>
    <t>Motherson Sumi Wiring India Ltd.</t>
  </si>
  <si>
    <t>NSE:MSUMI</t>
  </si>
  <si>
    <t>INE0FS801015</t>
  </si>
  <si>
    <t>Ratnamani Metals &amp; Tubes Ltd.</t>
  </si>
  <si>
    <t>NSE:RATNAMANI</t>
  </si>
  <si>
    <t>INE703B01027</t>
  </si>
  <si>
    <t>Sun TV Network Ltd.</t>
  </si>
  <si>
    <t>NSE:SUNTV</t>
  </si>
  <si>
    <t>INE424H01027</t>
  </si>
  <si>
    <t>Broadcasting &amp; Cable TV</t>
  </si>
  <si>
    <t>Media</t>
  </si>
  <si>
    <t>ITI Ltd.</t>
  </si>
  <si>
    <t>NSE:ITI</t>
  </si>
  <si>
    <t>INE248A01017</t>
  </si>
  <si>
    <t>Telecom Equipment</t>
  </si>
  <si>
    <t>Telecommunications Equipment</t>
  </si>
  <si>
    <t>Sundram Fasteners Ltd.</t>
  </si>
  <si>
    <t>NSE:SUNDRMFAST</t>
  </si>
  <si>
    <t>INE387A01021</t>
  </si>
  <si>
    <t>Global Health Ltd.</t>
  </si>
  <si>
    <t>NSE:MEDANTA</t>
  </si>
  <si>
    <t>INE474Q01031</t>
  </si>
  <si>
    <t>Kansai Nerolac Paints Ltd.</t>
  </si>
  <si>
    <t>NSE:KANSAINER</t>
  </si>
  <si>
    <t>INE531A01024</t>
  </si>
  <si>
    <t>KEI Industries Ltd.</t>
  </si>
  <si>
    <t>INE878B01027</t>
  </si>
  <si>
    <t>NLC India Ltd.</t>
  </si>
  <si>
    <t>INE589A01014</t>
  </si>
  <si>
    <t>Angel One Ltd.</t>
  </si>
  <si>
    <t>NSE:ANGELONE</t>
  </si>
  <si>
    <t>INE732I01013</t>
  </si>
  <si>
    <t>Capital Markets</t>
  </si>
  <si>
    <t>Exide Industries Ltd.</t>
  </si>
  <si>
    <t>NSE:EXIDEIND</t>
  </si>
  <si>
    <t>INE302A01020</t>
  </si>
  <si>
    <t>Tata Chemicals Ltd.</t>
  </si>
  <si>
    <t>NSE:TATACHEM</t>
  </si>
  <si>
    <t>INE092A01019</t>
  </si>
  <si>
    <t>Ajanta Pharma Ltd.</t>
  </si>
  <si>
    <t>NSE:AJANTPHARM</t>
  </si>
  <si>
    <t>INE031B01049</t>
  </si>
  <si>
    <t>Zee Entertainment Enterprises Ltd.</t>
  </si>
  <si>
    <t>NSE:ZEEL</t>
  </si>
  <si>
    <t>INE256A01028</t>
  </si>
  <si>
    <t>Narayana Hrudayalaya Ltd.</t>
  </si>
  <si>
    <t>NSE:NH</t>
  </si>
  <si>
    <t>INE410P01011</t>
  </si>
  <si>
    <t>IIFL Finance Ltd.</t>
  </si>
  <si>
    <t>NSE:IIFL</t>
  </si>
  <si>
    <t>INE530B01024</t>
  </si>
  <si>
    <t>Bayer Cropscience Ltd.</t>
  </si>
  <si>
    <t>NSE:BAYERCROP</t>
  </si>
  <si>
    <t>INE462A01022</t>
  </si>
  <si>
    <t>Hatsun Agro Products Ltd.</t>
  </si>
  <si>
    <t>NSE:HATSUN</t>
  </si>
  <si>
    <t>INE473B01035</t>
  </si>
  <si>
    <t>The Ramco Cements Ltd.</t>
  </si>
  <si>
    <t>NSE:RAMCOCEM</t>
  </si>
  <si>
    <t>INE331A01037</t>
  </si>
  <si>
    <t>Endurance Technologies Ltd.</t>
  </si>
  <si>
    <t>INE913H01037</t>
  </si>
  <si>
    <t>Cyient Ltd.</t>
  </si>
  <si>
    <t>INE136B01020</t>
  </si>
  <si>
    <t>Grindwell Norton Ltd.</t>
  </si>
  <si>
    <t>NSE:GRINDWELL</t>
  </si>
  <si>
    <t>INE536A01023</t>
  </si>
  <si>
    <t>Bharat Dynamics Ltd.</t>
  </si>
  <si>
    <t>NSE:BDL</t>
  </si>
  <si>
    <t>INE171Z01018</t>
  </si>
  <si>
    <t>IRB Infrastructure Developers Ltd.</t>
  </si>
  <si>
    <t>INE821I01022</t>
  </si>
  <si>
    <t>Roads &amp; Highways</t>
  </si>
  <si>
    <t>Relaxo Footwears Ltd.</t>
  </si>
  <si>
    <t>NSE:RELAXO</t>
  </si>
  <si>
    <t>INE131B01039</t>
  </si>
  <si>
    <t>Dr. Lal Pathlabs Ltd.</t>
  </si>
  <si>
    <t>NSE:LALPATHLAB</t>
  </si>
  <si>
    <t>INE600L01024</t>
  </si>
  <si>
    <t>Healthcare Services</t>
  </si>
  <si>
    <t>Timken India Ltd.</t>
  </si>
  <si>
    <t>NSE:TIMKEN</t>
  </si>
  <si>
    <t>INE325A01013</t>
  </si>
  <si>
    <t>SKF India Ltd.</t>
  </si>
  <si>
    <t>NSE:SKFINDIA</t>
  </si>
  <si>
    <t>INE640A01023</t>
  </si>
  <si>
    <t>J B Chemicals &amp; Pharmaceuticals Ltd.</t>
  </si>
  <si>
    <t>NSE:JBCHEPHARM</t>
  </si>
  <si>
    <t>INE572A01036</t>
  </si>
  <si>
    <t>Carborundum Universal Ltd.</t>
  </si>
  <si>
    <t>NSE:CARBORUNIV</t>
  </si>
  <si>
    <t>INE120A01034</t>
  </si>
  <si>
    <t>Emami Ltd.</t>
  </si>
  <si>
    <t>NSE:EMAMILTD</t>
  </si>
  <si>
    <t>INE548C01032</t>
  </si>
  <si>
    <t>Glenmark Pharmaceuticals Ltd.</t>
  </si>
  <si>
    <t>NSE:GLENMARK</t>
  </si>
  <si>
    <t>INE935A01035</t>
  </si>
  <si>
    <t>Apar Industries Ltd.</t>
  </si>
  <si>
    <t>NSE:APARINDS</t>
  </si>
  <si>
    <t>INE372A01015</t>
  </si>
  <si>
    <t>Aditya Birla Fashion and Retail Ltd.</t>
  </si>
  <si>
    <t>NSE:ABFRL</t>
  </si>
  <si>
    <t>INE647O01011</t>
  </si>
  <si>
    <t>ICICI Securities Ltd.</t>
  </si>
  <si>
    <t>NSE:ISEC</t>
  </si>
  <si>
    <t>INE763G01038</t>
  </si>
  <si>
    <t>Mangalore Refinery And Petrochemicals Ltd.</t>
  </si>
  <si>
    <t>NSE:MRPL</t>
  </si>
  <si>
    <t>INE103A01014</t>
  </si>
  <si>
    <t>Kajaria Ceramics Ltd.</t>
  </si>
  <si>
    <t>NSE:KAJARIACER</t>
  </si>
  <si>
    <t>INE217B01036</t>
  </si>
  <si>
    <t>Godrej Industries Ltd.</t>
  </si>
  <si>
    <t>NSE:GODREJIND</t>
  </si>
  <si>
    <t>INE233A01035</t>
  </si>
  <si>
    <t>360 One Wam Ltd.</t>
  </si>
  <si>
    <t>NSE:360ONE</t>
  </si>
  <si>
    <t>INE466L01038</t>
  </si>
  <si>
    <t>Five-Star Business Finance Ltd.</t>
  </si>
  <si>
    <t>NSE:FIVESTAR</t>
  </si>
  <si>
    <t>INE128S01021</t>
  </si>
  <si>
    <t>Devyani International Ltd.</t>
  </si>
  <si>
    <t>NSE:DEVYANI</t>
  </si>
  <si>
    <t>INE872J01023</t>
  </si>
  <si>
    <t>Radico Khaitan Ltd.</t>
  </si>
  <si>
    <t>NSE:RADICO</t>
  </si>
  <si>
    <t>INE944F01028</t>
  </si>
  <si>
    <t>Piramal Enterprises Ltd.</t>
  </si>
  <si>
    <t>NSE:PEL</t>
  </si>
  <si>
    <t>INE140A01024</t>
  </si>
  <si>
    <t>Tata Investment Corporation Ltd.</t>
  </si>
  <si>
    <t>NSE:TATAINVEST</t>
  </si>
  <si>
    <t>INE672A01018</t>
  </si>
  <si>
    <t>PNB Housing Finance Ltd.</t>
  </si>
  <si>
    <t>NSE:PNBHOUSING</t>
  </si>
  <si>
    <t>INE572E01012</t>
  </si>
  <si>
    <t>Gillette India Ltd.</t>
  </si>
  <si>
    <t>NSE:GILLETTE</t>
  </si>
  <si>
    <t>INE322A01010</t>
  </si>
  <si>
    <t>Bata India Ltd.</t>
  </si>
  <si>
    <t>NSE:BATAINDIA</t>
  </si>
  <si>
    <t>INE176A01028</t>
  </si>
  <si>
    <t>Sumitomo Chemical India Ltd.</t>
  </si>
  <si>
    <t>NSE:SUMICHEM</t>
  </si>
  <si>
    <t>INE258G01013</t>
  </si>
  <si>
    <t>Laurus Labs Ltd.</t>
  </si>
  <si>
    <t>NSE:LAURUSLABS</t>
  </si>
  <si>
    <t>INE947Q01028</t>
  </si>
  <si>
    <t>Aarti Industries Ltd.</t>
  </si>
  <si>
    <t>NSE:AARTIIND</t>
  </si>
  <si>
    <t>INE769A01020</t>
  </si>
  <si>
    <t>Nexus Select Trust REIT</t>
  </si>
  <si>
    <t>NSE:NXST</t>
  </si>
  <si>
    <t>INE0NDH25011</t>
  </si>
  <si>
    <t>Hitachi Energy India Ltd.</t>
  </si>
  <si>
    <t>NSE:POWERINDIA</t>
  </si>
  <si>
    <t>INE07Y701011</t>
  </si>
  <si>
    <t>Central Depository Services (India) Ltd.</t>
  </si>
  <si>
    <t>NSE:CDSL</t>
  </si>
  <si>
    <t>INE736A01011</t>
  </si>
  <si>
    <t>Investment Companies</t>
  </si>
  <si>
    <t>Others</t>
  </si>
  <si>
    <t>Aster DM Healthcare Ltd.</t>
  </si>
  <si>
    <t>NSE:ASTERDM</t>
  </si>
  <si>
    <t>INE914M01019</t>
  </si>
  <si>
    <t>Atul Ltd.</t>
  </si>
  <si>
    <t>NSE:ATUL</t>
  </si>
  <si>
    <t>INE100A01010</t>
  </si>
  <si>
    <t>Sonata Software Ltd.</t>
  </si>
  <si>
    <t>NSE:SONATSOFTW</t>
  </si>
  <si>
    <t>INE269A01021</t>
  </si>
  <si>
    <t>Brigade Enterprises Ltd.</t>
  </si>
  <si>
    <t>NSE:BRIGADE</t>
  </si>
  <si>
    <t>INE791I01019</t>
  </si>
  <si>
    <t>Cholamandalam Financial Holdings Ltd.</t>
  </si>
  <si>
    <t>NSE:CHOLAHLDNG</t>
  </si>
  <si>
    <t>INE149A01033</t>
  </si>
  <si>
    <t>IDFC Ltd.</t>
  </si>
  <si>
    <t>NSE:IDFC</t>
  </si>
  <si>
    <t>INE043D01016</t>
  </si>
  <si>
    <t>KIOCL Ltd.</t>
  </si>
  <si>
    <t>NSE:KIOCL</t>
  </si>
  <si>
    <t>INE880L01014</t>
  </si>
  <si>
    <t>Mindspace Business Parks REIT</t>
  </si>
  <si>
    <t>NSE:MINDSPACE</t>
  </si>
  <si>
    <t>INE0CCU25019</t>
  </si>
  <si>
    <t>Blue Star Ltd.</t>
  </si>
  <si>
    <t>NSE:BLUESTARCO</t>
  </si>
  <si>
    <t>INE472A01039</t>
  </si>
  <si>
    <t>Sanofi India Ltd.</t>
  </si>
  <si>
    <t>NSE:SANOFI</t>
  </si>
  <si>
    <t>INE058A01010</t>
  </si>
  <si>
    <t>Crompton Greaves Consumer Electricals Ltd.</t>
  </si>
  <si>
    <t>NSE:CROMPTON</t>
  </si>
  <si>
    <t>INE299U01018</t>
  </si>
  <si>
    <t>Household Appliances</t>
  </si>
  <si>
    <t>Trident Ltd.</t>
  </si>
  <si>
    <t>NSE:TRIDENT</t>
  </si>
  <si>
    <t>INE064C01022</t>
  </si>
  <si>
    <t>CIE Automotive India Ltd.</t>
  </si>
  <si>
    <t>NSE:CIEINDIA</t>
  </si>
  <si>
    <t>INE536H01010</t>
  </si>
  <si>
    <t>R R Kabel Ltd.</t>
  </si>
  <si>
    <t>NSE:RRKABEL</t>
  </si>
  <si>
    <t>INE777K01022</t>
  </si>
  <si>
    <t>Pfizer Ltd.</t>
  </si>
  <si>
    <t>NSE:PFIZER</t>
  </si>
  <si>
    <t>INE182A01018</t>
  </si>
  <si>
    <t>Navin Fluorine International Ltd.</t>
  </si>
  <si>
    <t>NSE:NAVINFLUOR</t>
  </si>
  <si>
    <t>INE048G01026</t>
  </si>
  <si>
    <t>Tata Teleservices (Maharashtra) Ltd.</t>
  </si>
  <si>
    <t>NSE:TTML</t>
  </si>
  <si>
    <t>INE517B01013</t>
  </si>
  <si>
    <t>Whirlpool of India Ltd.</t>
  </si>
  <si>
    <t>NSE:WHIRLPOOL</t>
  </si>
  <si>
    <t>INE716A01013</t>
  </si>
  <si>
    <t>National Aluminium Company Ltd.</t>
  </si>
  <si>
    <t>NSE:NATIONALUM</t>
  </si>
  <si>
    <t>INE139A01034</t>
  </si>
  <si>
    <t>Housing and Urban Development Corporation Ltd.</t>
  </si>
  <si>
    <t>INE031A01017</t>
  </si>
  <si>
    <t>Vinati Organics Ltd.</t>
  </si>
  <si>
    <t>NSE:VINATIORGA</t>
  </si>
  <si>
    <t>INE410B01037</t>
  </si>
  <si>
    <t>Hindustan Copper Ltd.</t>
  </si>
  <si>
    <t>INE531E01026</t>
  </si>
  <si>
    <t>Copper</t>
  </si>
  <si>
    <t>Motilal Oswal Financial Services Ltd.</t>
  </si>
  <si>
    <t>INE338I01027</t>
  </si>
  <si>
    <t>Birlasoft Ltd.</t>
  </si>
  <si>
    <t>NSE:BSOFT</t>
  </si>
  <si>
    <t>INE836A01035</t>
  </si>
  <si>
    <t>Indian Renewable Energy Development Agency Ltd.</t>
  </si>
  <si>
    <t>NSE:IREDA</t>
  </si>
  <si>
    <t>INE202E01016</t>
  </si>
  <si>
    <t>PVR INOX Ltd.</t>
  </si>
  <si>
    <t>NSE:PVRINOX</t>
  </si>
  <si>
    <t>INE191H01014</t>
  </si>
  <si>
    <t>Suven Pharmaceuticals Ltd.</t>
  </si>
  <si>
    <t>NSE:SUVENPHAR</t>
  </si>
  <si>
    <t>INE03QK01018</t>
  </si>
  <si>
    <t>Blue Dart Express Ltd.</t>
  </si>
  <si>
    <t>NSE:BLUEDART</t>
  </si>
  <si>
    <t>INE233B01017</t>
  </si>
  <si>
    <t>Piramal Pharma Ltd.</t>
  </si>
  <si>
    <t>NSE:PPLPHARMA</t>
  </si>
  <si>
    <t>INE0DK501011</t>
  </si>
  <si>
    <t>Cello World Ltd.</t>
  </si>
  <si>
    <t>NSE:CELLO</t>
  </si>
  <si>
    <t>INE0LMW01024</t>
  </si>
  <si>
    <t>Household Products</t>
  </si>
  <si>
    <t>Ircon International Ltd.</t>
  </si>
  <si>
    <t>INE962Y01021</t>
  </si>
  <si>
    <t>Elgi Equipments Ltd.</t>
  </si>
  <si>
    <t>NSE:ELGIEQUIP</t>
  </si>
  <si>
    <t>INE285A01027</t>
  </si>
  <si>
    <t>Gujarat State Petronet Ltd.</t>
  </si>
  <si>
    <t>NSE:GSPL</t>
  </si>
  <si>
    <t>INE246F01010</t>
  </si>
  <si>
    <t>Jyothy Labs Ltd.</t>
  </si>
  <si>
    <t>NSE:JYOTHYLAB</t>
  </si>
  <si>
    <t>INE668F01031</t>
  </si>
  <si>
    <t>Affle (India) Ltd.</t>
  </si>
  <si>
    <t>NSE:AFFLE</t>
  </si>
  <si>
    <t>INE00WC01027</t>
  </si>
  <si>
    <t>Krishna Institute of Medical Sciences Ltd.</t>
  </si>
  <si>
    <t>NSE:KIMS</t>
  </si>
  <si>
    <t>INE967H01017</t>
  </si>
  <si>
    <t>Multi Commodity Exchange of India Ltd.</t>
  </si>
  <si>
    <t>INE745G01035</t>
  </si>
  <si>
    <t>IndiaMART InterMESH Ltd.</t>
  </si>
  <si>
    <t>NSE:INDIAMART</t>
  </si>
  <si>
    <t>INE933S01016</t>
  </si>
  <si>
    <t>Cochin Shipyard Ltd.</t>
  </si>
  <si>
    <t>NSE:COCHINSHIP</t>
  </si>
  <si>
    <t>INE704P01017</t>
  </si>
  <si>
    <t>Capri Global Capital Ltd.</t>
  </si>
  <si>
    <t>NSE:CGCL</t>
  </si>
  <si>
    <t>INE180C01026</t>
  </si>
  <si>
    <t>KEC International Ltd.</t>
  </si>
  <si>
    <t>NSE:KEC</t>
  </si>
  <si>
    <t>INE389H01022</t>
  </si>
  <si>
    <t>Finolex Cables Ltd.</t>
  </si>
  <si>
    <t>NSE:FINCABLES</t>
  </si>
  <si>
    <t>INE235A01022</t>
  </si>
  <si>
    <t>RHI Magnesita India Ltd.</t>
  </si>
  <si>
    <t>NSE:RHIM</t>
  </si>
  <si>
    <t>INE743M01012</t>
  </si>
  <si>
    <t>Poly Medicure Ltd.</t>
  </si>
  <si>
    <t>INE205C01021</t>
  </si>
  <si>
    <t>Healthcare Supplies</t>
  </si>
  <si>
    <t>Healthcare Equipment &amp; Supplies</t>
  </si>
  <si>
    <t>Clean Science &amp; Technology Ltd.</t>
  </si>
  <si>
    <t>NSE:CLEAN</t>
  </si>
  <si>
    <t>INE227W01023</t>
  </si>
  <si>
    <t>Welspun India Ltd.</t>
  </si>
  <si>
    <t>NSE:WELSPUNIND</t>
  </si>
  <si>
    <t>INE192B01031</t>
  </si>
  <si>
    <t>Jindal Saw Ltd.</t>
  </si>
  <si>
    <t>NSE:JINDALSAW</t>
  </si>
  <si>
    <t>INE324A01024</t>
  </si>
  <si>
    <t>DCM Shriram Ltd.</t>
  </si>
  <si>
    <t>NSE:DCMSHRIRAM</t>
  </si>
  <si>
    <t>INE499A01024</t>
  </si>
  <si>
    <t>EIH Ltd.</t>
  </si>
  <si>
    <t>INE230A01023</t>
  </si>
  <si>
    <t>Aptus Value Housing Finance India Ltd.</t>
  </si>
  <si>
    <t>NSE:APTUS</t>
  </si>
  <si>
    <t>INE852O01025</t>
  </si>
  <si>
    <t>JBM Auto Ltd.</t>
  </si>
  <si>
    <t>NSE:JBMA</t>
  </si>
  <si>
    <t>INE927D01044</t>
  </si>
  <si>
    <t>Century Plyboards (India) Ltd.</t>
  </si>
  <si>
    <t>NSE:CENTURYPLY</t>
  </si>
  <si>
    <t>INE348B01021</t>
  </si>
  <si>
    <t>Forest Products</t>
  </si>
  <si>
    <t>Forest Materials</t>
  </si>
  <si>
    <t>Alembic Pharmaceuticals Ltd.</t>
  </si>
  <si>
    <t>NSE:APLLTD</t>
  </si>
  <si>
    <t>INE901L01018</t>
  </si>
  <si>
    <t>Century Textiles &amp; Industries Ltd.</t>
  </si>
  <si>
    <t>INE055A01016</t>
  </si>
  <si>
    <t>Paper &amp; Paper Products</t>
  </si>
  <si>
    <t>Ramkrishna Forgings Ltd.</t>
  </si>
  <si>
    <t>NSE:RKFORGE</t>
  </si>
  <si>
    <t>INE399G01023</t>
  </si>
  <si>
    <t>Kaynes Technology India Ltd.</t>
  </si>
  <si>
    <t>NSE:KAYNES</t>
  </si>
  <si>
    <t>INE918Z01012</t>
  </si>
  <si>
    <t>RBL Bank Ltd.</t>
  </si>
  <si>
    <t>NSE:RBLBANK</t>
  </si>
  <si>
    <t>INE976G01028</t>
  </si>
  <si>
    <t>Computer Age Management Services Ltd.</t>
  </si>
  <si>
    <t>NSE:CAMS</t>
  </si>
  <si>
    <t>INE596I01012</t>
  </si>
  <si>
    <t>Natco Pharma Ltd.</t>
  </si>
  <si>
    <t>NSE:NATCOPHARM</t>
  </si>
  <si>
    <t>INE987B01026</t>
  </si>
  <si>
    <t>Manappuram Finance Ltd.</t>
  </si>
  <si>
    <t>NSE:MANAPPURAM</t>
  </si>
  <si>
    <t>INE522D01027</t>
  </si>
  <si>
    <t>Lakshmi Machine Works Ltd.</t>
  </si>
  <si>
    <t>NSE:LAXMIMACH</t>
  </si>
  <si>
    <t>INE269B01029</t>
  </si>
  <si>
    <t>Maharashtra Seamless Ltd.</t>
  </si>
  <si>
    <t>NSE:MAHSEAMLES</t>
  </si>
  <si>
    <t>INE271B01025</t>
  </si>
  <si>
    <t>Tejas Networks Ltd.</t>
  </si>
  <si>
    <t>NSE:TEJASNET</t>
  </si>
  <si>
    <t>INE010J01012</t>
  </si>
  <si>
    <t>Asahi India Glass Ltd.</t>
  </si>
  <si>
    <t>NSE:ASAHIINDIA</t>
  </si>
  <si>
    <t>INE439A01020</t>
  </si>
  <si>
    <t>Castrol India Ltd.</t>
  </si>
  <si>
    <t>NSE:CASTROLIND</t>
  </si>
  <si>
    <t>INE172A01027</t>
  </si>
  <si>
    <t>Welspun Corp Ltd.</t>
  </si>
  <si>
    <t>INE191B01025</t>
  </si>
  <si>
    <t>NBCC (India) Ltd.</t>
  </si>
  <si>
    <t>NSE:NBCC</t>
  </si>
  <si>
    <t>INE095N01031</t>
  </si>
  <si>
    <t>Concord Biotech Ltd.</t>
  </si>
  <si>
    <t>NSE:CONCORDBIO</t>
  </si>
  <si>
    <t>INE338H01029</t>
  </si>
  <si>
    <t>Gujarat Mineral Development Corporation Ltd.</t>
  </si>
  <si>
    <t>NSE:GMDCLTD</t>
  </si>
  <si>
    <t>INE131A01031</t>
  </si>
  <si>
    <t>CESC Ltd.</t>
  </si>
  <si>
    <t>NSE:CESC</t>
  </si>
  <si>
    <t>INE486A01021</t>
  </si>
  <si>
    <t>Jupiter Wagons Ltd.</t>
  </si>
  <si>
    <t>NSE:JWL</t>
  </si>
  <si>
    <t>INE209L01016</t>
  </si>
  <si>
    <t>Bikaji Foods International Ltd.</t>
  </si>
  <si>
    <t>NSE:BIKAJI</t>
  </si>
  <si>
    <t>INE00E101023</t>
  </si>
  <si>
    <t>Triveni Turbine Ltd.</t>
  </si>
  <si>
    <t>NSE:TRITURBINE</t>
  </si>
  <si>
    <t>INE152M01016</t>
  </si>
  <si>
    <t>Westlife Foodworld Ltd.</t>
  </si>
  <si>
    <t>NSE:WESTLIFE</t>
  </si>
  <si>
    <t>INE274F01020</t>
  </si>
  <si>
    <t>Chambal Fertilisers &amp; Chemicals Ltd.</t>
  </si>
  <si>
    <t>NSE:CHAMBLFERT</t>
  </si>
  <si>
    <t>INE085A01013</t>
  </si>
  <si>
    <t>Nuvoco Vistas Corporation Ltd.</t>
  </si>
  <si>
    <t>NSE:NUVOCO</t>
  </si>
  <si>
    <t>INE118D01016</t>
  </si>
  <si>
    <t>Amara Raja Energy &amp; Mobility Ltd.</t>
  </si>
  <si>
    <t>NSE:ARE&amp;M</t>
  </si>
  <si>
    <t>INE885A01032</t>
  </si>
  <si>
    <t>NMDC Steel Ltd.</t>
  </si>
  <si>
    <t>NSE:NSLNISP</t>
  </si>
  <si>
    <t>INE0NNS01018</t>
  </si>
  <si>
    <t>Fine Organic Industries Ltd.</t>
  </si>
  <si>
    <t>NSE:FINEORG</t>
  </si>
  <si>
    <t>INE686Y01026</t>
  </si>
  <si>
    <t>Aditya Birla Sun Life AMC Ltd.</t>
  </si>
  <si>
    <t>NSE:ABSLAMC</t>
  </si>
  <si>
    <t>INE404A01024</t>
  </si>
  <si>
    <t>V-Guard Industries Ltd.</t>
  </si>
  <si>
    <t>INE951I01027</t>
  </si>
  <si>
    <t>BASF India Ltd.</t>
  </si>
  <si>
    <t>NSE:BASF</t>
  </si>
  <si>
    <t>INE373A01013</t>
  </si>
  <si>
    <t>eClerx Services Ltd.</t>
  </si>
  <si>
    <t>INE738I01010</t>
  </si>
  <si>
    <t>BPO/KPO</t>
  </si>
  <si>
    <t>Indian Energy Exchange Ltd.</t>
  </si>
  <si>
    <t>NSE:IEX</t>
  </si>
  <si>
    <t>INE022Q01020</t>
  </si>
  <si>
    <t>Aegis Logistics Ltd.</t>
  </si>
  <si>
    <t>INE208C01025</t>
  </si>
  <si>
    <t>Finolex Industries Ltd.</t>
  </si>
  <si>
    <t>NSE:FINPIPE</t>
  </si>
  <si>
    <t>INE183A01024</t>
  </si>
  <si>
    <t>Happiest Minds Technologies Ltd.</t>
  </si>
  <si>
    <t>NSE:HAPPSTMNDS</t>
  </si>
  <si>
    <t>INE419U01012</t>
  </si>
  <si>
    <t>Sheela Foam Ltd.</t>
  </si>
  <si>
    <t>NSE:SFL</t>
  </si>
  <si>
    <t>INE916U01025</t>
  </si>
  <si>
    <t>Titagarh Rail Systems Ltd.</t>
  </si>
  <si>
    <t>NSE:TITAGARH</t>
  </si>
  <si>
    <t>INE615H01020</t>
  </si>
  <si>
    <t>Redington Ltd.</t>
  </si>
  <si>
    <t>NSE:REDINGTON</t>
  </si>
  <si>
    <t>INE891D01026</t>
  </si>
  <si>
    <t>Karur Vysya Bank Ltd.</t>
  </si>
  <si>
    <t>NSE:KARURVYSYA</t>
  </si>
  <si>
    <t>INE036D01028</t>
  </si>
  <si>
    <t>Eris Lifesciences Ltd.</t>
  </si>
  <si>
    <t>INE406M01024</t>
  </si>
  <si>
    <t>Honasa Consumer Ltd.</t>
  </si>
  <si>
    <t>NSE:HONASA</t>
  </si>
  <si>
    <t>INE0J5401028</t>
  </si>
  <si>
    <t>Firstsource Solutions Ltd.</t>
  </si>
  <si>
    <t>NSE:FSL</t>
  </si>
  <si>
    <t>INE684F01012</t>
  </si>
  <si>
    <t>Tanla Platforms Ltd.</t>
  </si>
  <si>
    <t>NSE:TANLA</t>
  </si>
  <si>
    <t>INE483C01032</t>
  </si>
  <si>
    <t>Great Eastern Shipping Company Ltd.</t>
  </si>
  <si>
    <t>NSE:GESHIP</t>
  </si>
  <si>
    <t>INE017A01032</t>
  </si>
  <si>
    <t>TVS Holdings Ltd.</t>
  </si>
  <si>
    <t>NSE:TVSHLTD</t>
  </si>
  <si>
    <t>INE105A01035</t>
  </si>
  <si>
    <t>Zensar Technologies Ltd.</t>
  </si>
  <si>
    <t>INE520A01027</t>
  </si>
  <si>
    <t>Chalet Hotels Ltd.</t>
  </si>
  <si>
    <t>NSE:CHALET</t>
  </si>
  <si>
    <t>INE427F01016</t>
  </si>
  <si>
    <t>KSB Ltd.</t>
  </si>
  <si>
    <t>INE999A01015</t>
  </si>
  <si>
    <t>C.E. Info Systems Ltd.</t>
  </si>
  <si>
    <t>NSE:MAPMYINDIA</t>
  </si>
  <si>
    <t>INE0BV301023</t>
  </si>
  <si>
    <t>Shyam Metalics and Energy Ltd.</t>
  </si>
  <si>
    <t>NSE:SHYAMMETL</t>
  </si>
  <si>
    <t>INE810G01011</t>
  </si>
  <si>
    <t>Himadri Speciality Chemical Ltd.</t>
  </si>
  <si>
    <t>INE019C01026</t>
  </si>
  <si>
    <t>AstraZeneca Pharma India Ltd.</t>
  </si>
  <si>
    <t>NSE:ASTRAZEN</t>
  </si>
  <si>
    <t>INE203A01020</t>
  </si>
  <si>
    <t>Authum Investment &amp; Infrastructure Ltd.</t>
  </si>
  <si>
    <t>NSE:AIIL</t>
  </si>
  <si>
    <t>INE206F01022</t>
  </si>
  <si>
    <t>Vardhman Textiles Ltd.</t>
  </si>
  <si>
    <t>NSE:VTL</t>
  </si>
  <si>
    <t>INE825A01020</t>
  </si>
  <si>
    <t>Bajaj Electricals Ltd.</t>
  </si>
  <si>
    <t>NSE:BAJAJELEC</t>
  </si>
  <si>
    <t>INE193E01025</t>
  </si>
  <si>
    <t>Nuvama Wealth Management Ltd.</t>
  </si>
  <si>
    <t>NSE:NUVAMA</t>
  </si>
  <si>
    <t>INE531F01015</t>
  </si>
  <si>
    <t>Rites Ltd.</t>
  </si>
  <si>
    <t>NSE:RITES</t>
  </si>
  <si>
    <t>INE320J01015</t>
  </si>
  <si>
    <t>Praj Industries Ltd.</t>
  </si>
  <si>
    <t>NSE:PRAJIND</t>
  </si>
  <si>
    <t>INE074A01025</t>
  </si>
  <si>
    <t>Data Patterns (India) Ltd.</t>
  </si>
  <si>
    <t>NSE:DATAPATTNS</t>
  </si>
  <si>
    <t>INE0IX101010</t>
  </si>
  <si>
    <t>BLS International Services Ltd.</t>
  </si>
  <si>
    <t>NSE:BLS</t>
  </si>
  <si>
    <t>INE153T01027</t>
  </si>
  <si>
    <t>Jammu &amp; Kashmir Bank Ltd.</t>
  </si>
  <si>
    <t>NSE:J&amp;KBANK</t>
  </si>
  <si>
    <t>INE168A01041</t>
  </si>
  <si>
    <t>Swan Energy Ltd.</t>
  </si>
  <si>
    <t>NSE:SWANENERGY</t>
  </si>
  <si>
    <t>INE665A01038</t>
  </si>
  <si>
    <t>Kalpataru Projects International Ltd.</t>
  </si>
  <si>
    <t>NSE:KPIL</t>
  </si>
  <si>
    <t>INE220B01022</t>
  </si>
  <si>
    <t>Signatureglobal (India) Ltd.</t>
  </si>
  <si>
    <t>NSE:SIGNATURE</t>
  </si>
  <si>
    <t>INE903U01023</t>
  </si>
  <si>
    <t>Rainbow Childrens Medicare Ltd.</t>
  </si>
  <si>
    <t>NSE:RAINBOW</t>
  </si>
  <si>
    <t>INE961O01016</t>
  </si>
  <si>
    <t>Akzo Nobel India Ltd.</t>
  </si>
  <si>
    <t>NSE:AKZOINDIA</t>
  </si>
  <si>
    <t>INE133A01011</t>
  </si>
  <si>
    <t>Aavas Financiers Ltd.</t>
  </si>
  <si>
    <t>NSE:AAVAS</t>
  </si>
  <si>
    <t>INE216P01012</t>
  </si>
  <si>
    <t>Cera Sanitaryware Ltd.</t>
  </si>
  <si>
    <t>NSE:CERA</t>
  </si>
  <si>
    <t>INE739E01017</t>
  </si>
  <si>
    <t>City Union Bank Ltd.</t>
  </si>
  <si>
    <t>NSE:CUB</t>
  </si>
  <si>
    <t>INE491A01021</t>
  </si>
  <si>
    <t>Birla Corporation Ltd.</t>
  </si>
  <si>
    <t>NSE:BIRLACORPN</t>
  </si>
  <si>
    <t>INE340A01012</t>
  </si>
  <si>
    <t>Ujjivan Small Finance Bank Ltd.</t>
  </si>
  <si>
    <t>INE551W01018</t>
  </si>
  <si>
    <t>Can Fin Homes Ltd.</t>
  </si>
  <si>
    <t>NSE:CANFINHOME</t>
  </si>
  <si>
    <t>INE477A01020</t>
  </si>
  <si>
    <t>Gujarat Narmada Valley Fertilizers &amp; Chemicals Ltd.</t>
  </si>
  <si>
    <t>NSE:GNFC</t>
  </si>
  <si>
    <t>INE113A01013</t>
  </si>
  <si>
    <t>HBL Power Systems Ltd.</t>
  </si>
  <si>
    <t>NSE:HBLPOWER</t>
  </si>
  <si>
    <t>INE292B01021</t>
  </si>
  <si>
    <t>Anupam Rasayan India Ltd.</t>
  </si>
  <si>
    <t>NSE:ANURAS</t>
  </si>
  <si>
    <t>INE930P01018</t>
  </si>
  <si>
    <t>Anand Rathi Wealth Ltd.</t>
  </si>
  <si>
    <t>NSE:ANANDRATHI</t>
  </si>
  <si>
    <t>INE463V01026</t>
  </si>
  <si>
    <t>Alkyl Amines Chemicals Ltd.</t>
  </si>
  <si>
    <t>NSE:ALKYLAMINE</t>
  </si>
  <si>
    <t>INE150B01039</t>
  </si>
  <si>
    <t>Mahanagar Gas Ltd.</t>
  </si>
  <si>
    <t>NSE:MGL</t>
  </si>
  <si>
    <t>INE002S01010</t>
  </si>
  <si>
    <t>Craftsman Automation Ltd.</t>
  </si>
  <si>
    <t>NSE:CRAFTSMAN</t>
  </si>
  <si>
    <t>INE00LO01017</t>
  </si>
  <si>
    <t>Shree Renuka Sugars Ltd.</t>
  </si>
  <si>
    <t>NSE:RENUKA</t>
  </si>
  <si>
    <t>INE087H01022</t>
  </si>
  <si>
    <t>Sugar</t>
  </si>
  <si>
    <t>Supreme Petrochem Ltd.</t>
  </si>
  <si>
    <t>INE663A01033</t>
  </si>
  <si>
    <t>Petrochemicals</t>
  </si>
  <si>
    <t>Elecon Engineering Company Ltd.</t>
  </si>
  <si>
    <t>NSE:ELECON</t>
  </si>
  <si>
    <t>INE205B01023</t>
  </si>
  <si>
    <t>Godfrey Phillips India Ltd.</t>
  </si>
  <si>
    <t>NSE:GODFRYPHLP</t>
  </si>
  <si>
    <t>INE260B01028</t>
  </si>
  <si>
    <t>NCC Ltd.</t>
  </si>
  <si>
    <t>INE868B01028</t>
  </si>
  <si>
    <t>Rajesh Exports Ltd.</t>
  </si>
  <si>
    <t>NSE:RAJESHEXPO</t>
  </si>
  <si>
    <t>INE343B01030</t>
  </si>
  <si>
    <t>Equitas Small Finance Bank Ltd.</t>
  </si>
  <si>
    <t>NSE:EQUITASBNK</t>
  </si>
  <si>
    <t>INE063P01018</t>
  </si>
  <si>
    <t>TTK Prestige Ltd.</t>
  </si>
  <si>
    <t>NSE:TTKPRESTIG</t>
  </si>
  <si>
    <t>INE690A01028</t>
  </si>
  <si>
    <t>Houseware</t>
  </si>
  <si>
    <t>GE T&amp;D India Ltd.</t>
  </si>
  <si>
    <t>INE200A01026</t>
  </si>
  <si>
    <t>UTI Asset Management Company Ltd.</t>
  </si>
  <si>
    <t>NSE:UTIAMC</t>
  </si>
  <si>
    <t>INE094J01016</t>
  </si>
  <si>
    <t>RattanIndia Enterprises Ltd.</t>
  </si>
  <si>
    <t>NSE:RTNINDIA</t>
  </si>
  <si>
    <t>INE834M01019</t>
  </si>
  <si>
    <t>Aether Industries Ltd.</t>
  </si>
  <si>
    <t>NSE:AETHER</t>
  </si>
  <si>
    <t>INE0BWX01014</t>
  </si>
  <si>
    <t>Raymond Ltd.</t>
  </si>
  <si>
    <t>NSE:RAYMOND</t>
  </si>
  <si>
    <t>INE301A01014</t>
  </si>
  <si>
    <t>Amber Enterprises India Ltd.</t>
  </si>
  <si>
    <t>NSE:AMBER</t>
  </si>
  <si>
    <t>INE371P01015</t>
  </si>
  <si>
    <t>Intellect Design Arena Ltd.</t>
  </si>
  <si>
    <t>NSE:INTELLECT</t>
  </si>
  <si>
    <t>INE306R01017</t>
  </si>
  <si>
    <t>IT Software Products</t>
  </si>
  <si>
    <t>PCBL Ltd.</t>
  </si>
  <si>
    <t>INE602A01031</t>
  </si>
  <si>
    <t>Carbon Black</t>
  </si>
  <si>
    <t>BEML Ltd.</t>
  </si>
  <si>
    <t>NSE:BEML</t>
  </si>
  <si>
    <t>INE258A01016</t>
  </si>
  <si>
    <t>D B Realty Ltd.</t>
  </si>
  <si>
    <t>NSE:DBREALTY</t>
  </si>
  <si>
    <t>INE879I01012</t>
  </si>
  <si>
    <t>Safari Industries (India) Ltd.</t>
  </si>
  <si>
    <t>NSE:SAFARI</t>
  </si>
  <si>
    <t>INE429E01023</t>
  </si>
  <si>
    <t>G R Infraprojects Ltd.</t>
  </si>
  <si>
    <t>NSE:GRINFRA</t>
  </si>
  <si>
    <t>INE201P01022</t>
  </si>
  <si>
    <t>Latent View Analytics Ltd.</t>
  </si>
  <si>
    <t>NSE:LATENTVIEW</t>
  </si>
  <si>
    <t>INE0I7C01011</t>
  </si>
  <si>
    <t>Data Processing Services</t>
  </si>
  <si>
    <t>Eureka Forbes Ltd.</t>
  </si>
  <si>
    <t>NSE:543482</t>
  </si>
  <si>
    <t>INE0KCE01017</t>
  </si>
  <si>
    <t>Syrma SGS Technology Ltd.</t>
  </si>
  <si>
    <t>NSE:SYRMA</t>
  </si>
  <si>
    <t>INE0DYJ01015</t>
  </si>
  <si>
    <t>Inox Wind Ltd.</t>
  </si>
  <si>
    <t>NSE:INOXWIND</t>
  </si>
  <si>
    <t>INE066P01011</t>
  </si>
  <si>
    <t>Newgen Software Technologies Ltd.</t>
  </si>
  <si>
    <t>NSE:NEWGEN</t>
  </si>
  <si>
    <t>INE619B01017</t>
  </si>
  <si>
    <t>Chennai Petroleum Corporation Ltd.</t>
  </si>
  <si>
    <t>NSE:CHENNPETRO</t>
  </si>
  <si>
    <t>INE178A01016</t>
  </si>
  <si>
    <t>Graphite India Ltd.</t>
  </si>
  <si>
    <t>NSE:GRAPHITE</t>
  </si>
  <si>
    <t>INE371A01025</t>
  </si>
  <si>
    <t>Indiabulls Housing Finance Ltd.</t>
  </si>
  <si>
    <t>NSE:IBULHSGFIN</t>
  </si>
  <si>
    <t>INE148I01020</t>
  </si>
  <si>
    <t>Usha Martin Ltd.</t>
  </si>
  <si>
    <t>NSE:USHAMART</t>
  </si>
  <si>
    <t>INE228A01035</t>
  </si>
  <si>
    <t>Alok Industries Ltd.</t>
  </si>
  <si>
    <t>NSE:ALOKINDS</t>
  </si>
  <si>
    <t>INE270A01029</t>
  </si>
  <si>
    <t>Galaxy Surfactants Ltd.</t>
  </si>
  <si>
    <t>NSE:GALAXYSURF</t>
  </si>
  <si>
    <t>INE600K01018</t>
  </si>
  <si>
    <t>Zydus Wellness Ltd.</t>
  </si>
  <si>
    <t>NSE:ZYDUSWELL</t>
  </si>
  <si>
    <t>INE768C01010</t>
  </si>
  <si>
    <t>Olectra Greentech Ltd.</t>
  </si>
  <si>
    <t>NSE:OLECTRA</t>
  </si>
  <si>
    <t>INE260D01016</t>
  </si>
  <si>
    <t>Bombay Burmah Trading Corporation Ltd.</t>
  </si>
  <si>
    <t>NSE:BBTC</t>
  </si>
  <si>
    <t>INE050A01025</t>
  </si>
  <si>
    <t>Tea &amp; Coffee</t>
  </si>
  <si>
    <t>Action Construction Equipment Ltd.</t>
  </si>
  <si>
    <t>NSE:ACE</t>
  </si>
  <si>
    <t>INE731H01025</t>
  </si>
  <si>
    <t>HFCL Ltd.</t>
  </si>
  <si>
    <t>INE548A01028</t>
  </si>
  <si>
    <t>Telecom Cables</t>
  </si>
  <si>
    <t>JK Lakshmi Cement Ltd.</t>
  </si>
  <si>
    <t>NSE:JKLAKSHMI</t>
  </si>
  <si>
    <t>INE786A01032</t>
  </si>
  <si>
    <t>Godrej Agrovet Ltd.</t>
  </si>
  <si>
    <t>NSE:GODREJAGRO</t>
  </si>
  <si>
    <t>INE850D01014</t>
  </si>
  <si>
    <t>Other Agricultural Products</t>
  </si>
  <si>
    <t>Route Mobile Ltd.</t>
  </si>
  <si>
    <t>NSE:ROUTE</t>
  </si>
  <si>
    <t>INE450U01017</t>
  </si>
  <si>
    <t>SBFC Finance Ltd.</t>
  </si>
  <si>
    <t>NSE:SBFC</t>
  </si>
  <si>
    <t>INE423Y01016</t>
  </si>
  <si>
    <t>Garden Reach Shipbuilders &amp; Engineers Ltd.</t>
  </si>
  <si>
    <t>NSE:GRSE</t>
  </si>
  <si>
    <t>INE382Z01011</t>
  </si>
  <si>
    <t>EID Parry (India) Ltd.</t>
  </si>
  <si>
    <t>NSE:EIDPARRY</t>
  </si>
  <si>
    <t>INE126A01031</t>
  </si>
  <si>
    <t>Other Food Products</t>
  </si>
  <si>
    <t>Caplin Point Laboratories Ltd.</t>
  </si>
  <si>
    <t>NSE:CAPLIPOINT</t>
  </si>
  <si>
    <t>INE475E01026</t>
  </si>
  <si>
    <t>Granules India Ltd.</t>
  </si>
  <si>
    <t>NSE:GRANULES</t>
  </si>
  <si>
    <t>INE101D01020</t>
  </si>
  <si>
    <t>Balrampur Chini Mills Ltd.</t>
  </si>
  <si>
    <t>NSE:BALRAMCHIN</t>
  </si>
  <si>
    <t>INE119A01028</t>
  </si>
  <si>
    <t>Medplus Health Services Ltd.</t>
  </si>
  <si>
    <t>NSE:MEDPLUS</t>
  </si>
  <si>
    <t>INE804L01022</t>
  </si>
  <si>
    <t>Jai Balaji Industries Ltd.</t>
  </si>
  <si>
    <t>NSE:JAIBALAJI</t>
  </si>
  <si>
    <t>INE091G01018</t>
  </si>
  <si>
    <t>National Standard (India) Ltd.</t>
  </si>
  <si>
    <t>NSE:504882</t>
  </si>
  <si>
    <t>INE166R01015</t>
  </si>
  <si>
    <t>Network18 Media &amp; Investments Ltd.</t>
  </si>
  <si>
    <t>NSE:NETWORK18</t>
  </si>
  <si>
    <t>INE870H01013</t>
  </si>
  <si>
    <t>Ingersoll-Rand (India) Ltd.</t>
  </si>
  <si>
    <t>NSE:INGERRAND</t>
  </si>
  <si>
    <t>INE177A01018</t>
  </si>
  <si>
    <t>Godawari Power &amp; Ispat Ltd.</t>
  </si>
  <si>
    <t>NSE:GPIL</t>
  </si>
  <si>
    <t>INE177H01021</t>
  </si>
  <si>
    <t>Maharashtra Scooters Ltd.</t>
  </si>
  <si>
    <t>NSE:MAHSCOOTER</t>
  </si>
  <si>
    <t>INE288A01013</t>
  </si>
  <si>
    <t>RailTel Corporation of India Ltd.</t>
  </si>
  <si>
    <t>NSE:RAILTEL</t>
  </si>
  <si>
    <t>INE0DD101019</t>
  </si>
  <si>
    <t>Sapphire Foods India Ltd.</t>
  </si>
  <si>
    <t>NSE:SAPPHIRE</t>
  </si>
  <si>
    <t>INE806T01012</t>
  </si>
  <si>
    <t>TVS Supply Chain Solutions Ltd.</t>
  </si>
  <si>
    <t>NSE:TVSSCS</t>
  </si>
  <si>
    <t>INE395N01027</t>
  </si>
  <si>
    <t>Transport Related Services</t>
  </si>
  <si>
    <t>KFIN Technologies Ltd.</t>
  </si>
  <si>
    <t>NSE:KFINTECH</t>
  </si>
  <si>
    <t>INE138Y01010</t>
  </si>
  <si>
    <t>Sobha Ltd.</t>
  </si>
  <si>
    <t>NSE:SOBHA</t>
  </si>
  <si>
    <t>INE671H01015</t>
  </si>
  <si>
    <t>Esab India Ltd.</t>
  </si>
  <si>
    <t>NSE:ESABINDIA</t>
  </si>
  <si>
    <t>INE284A01012</t>
  </si>
  <si>
    <t>Prism Johnson Ltd.</t>
  </si>
  <si>
    <t>INE010A01011</t>
  </si>
  <si>
    <t>Bengal &amp; Assam Company Ltd.</t>
  </si>
  <si>
    <t>NSE:BENGALASM</t>
  </si>
  <si>
    <t>INE083K01017</t>
  </si>
  <si>
    <t>Lemon Tree Hotels Ltd.</t>
  </si>
  <si>
    <t>NSE:LEMONTREE</t>
  </si>
  <si>
    <t>INE970X01018</t>
  </si>
  <si>
    <t>India Grid Trust</t>
  </si>
  <si>
    <t>NSE:INDIGRID</t>
  </si>
  <si>
    <t>INE219X23014</t>
  </si>
  <si>
    <t>Kama Holdings Ltd.</t>
  </si>
  <si>
    <t>NSE:KAMAHOLD</t>
  </si>
  <si>
    <t>INE411F01010</t>
  </si>
  <si>
    <t>Engineers India Ltd.</t>
  </si>
  <si>
    <t>INE510A01028</t>
  </si>
  <si>
    <t>Consulting Services</t>
  </si>
  <si>
    <t>Jaiprakash Power Ventures Ltd.</t>
  </si>
  <si>
    <t>NSE:JPPOWER</t>
  </si>
  <si>
    <t>INE351F01018</t>
  </si>
  <si>
    <t>Minda Corporation Ltd.</t>
  </si>
  <si>
    <t>NSE:MINDACORP</t>
  </si>
  <si>
    <t>INE842C01021</t>
  </si>
  <si>
    <t>PNC Infratech Ltd.</t>
  </si>
  <si>
    <t>NSE:PNCINFRA</t>
  </si>
  <si>
    <t>INE195J01029</t>
  </si>
  <si>
    <t>Ceat Ltd.</t>
  </si>
  <si>
    <t>NSE:CEATLTD</t>
  </si>
  <si>
    <t>INE482A01020</t>
  </si>
  <si>
    <t>Sun Pharma Advanced Research Company Ltd.</t>
  </si>
  <si>
    <t>NSE:SPARC</t>
  </si>
  <si>
    <t>INE232I01014</t>
  </si>
  <si>
    <t>Sarda Energy &amp; Minerals Ltd.</t>
  </si>
  <si>
    <t>NSE:SARDAEN</t>
  </si>
  <si>
    <t>INE385C01021</t>
  </si>
  <si>
    <t>JK Tyre &amp; Industries Ltd.</t>
  </si>
  <si>
    <t>NSE:JKTYRE</t>
  </si>
  <si>
    <t>INE573A01042</t>
  </si>
  <si>
    <t>Varroc Engineering Ltd.</t>
  </si>
  <si>
    <t>NSE:VARROC</t>
  </si>
  <si>
    <t>INE665L01035</t>
  </si>
  <si>
    <t>Anant Raj Ltd.</t>
  </si>
  <si>
    <t>NSE:ANANTRAJ</t>
  </si>
  <si>
    <t>INE242C01024</t>
  </si>
  <si>
    <t>National Highways Infra Trust</t>
  </si>
  <si>
    <t>NSE:NHIT</t>
  </si>
  <si>
    <t>INE0H7R23014</t>
  </si>
  <si>
    <t>CCL Products India Ltd.</t>
  </si>
  <si>
    <t>NSE:CCL</t>
  </si>
  <si>
    <t>INE421D01022</t>
  </si>
  <si>
    <t>Metropolis Healthcare Ltd.</t>
  </si>
  <si>
    <t>NSE:METROPOLIS</t>
  </si>
  <si>
    <t>INE112L01020</t>
  </si>
  <si>
    <t>PowerGrid Infrastructure Investment Trust</t>
  </si>
  <si>
    <t>NSE:PGINVIT</t>
  </si>
  <si>
    <t>INE0GGX23010</t>
  </si>
  <si>
    <t>Responsive Industries Ltd.</t>
  </si>
  <si>
    <t>NSE:RESPONIND</t>
  </si>
  <si>
    <t>INE688D01026</t>
  </si>
  <si>
    <t>VIP Industries Ltd.</t>
  </si>
  <si>
    <t>NSE:VIPIND</t>
  </si>
  <si>
    <t>INE054A01027</t>
  </si>
  <si>
    <t>Procter &amp; Gamble Health Ltd.</t>
  </si>
  <si>
    <t>NSE:PGHL</t>
  </si>
  <si>
    <t>INE199A01012</t>
  </si>
  <si>
    <t>Kirloskar Oil Engines Ltd.</t>
  </si>
  <si>
    <t>INE146L01010</t>
  </si>
  <si>
    <t>Triveni Engineering &amp; Industries Ltd.</t>
  </si>
  <si>
    <t>NSE:TRIVENI</t>
  </si>
  <si>
    <t>INE256C01024</t>
  </si>
  <si>
    <t>Electronics Mart India Ltd.</t>
  </si>
  <si>
    <t>NSE:EMIL</t>
  </si>
  <si>
    <t>INE02YR01019</t>
  </si>
  <si>
    <t>Campus Activewear Ltd.</t>
  </si>
  <si>
    <t>NSE:CAMPUS</t>
  </si>
  <si>
    <t>INE278Y01022</t>
  </si>
  <si>
    <t>Mahindra Lifespace Developers Ltd.</t>
  </si>
  <si>
    <t>NSE:MAHLIFE</t>
  </si>
  <si>
    <t>INE813A01018</t>
  </si>
  <si>
    <t>Gujarat Ambuja Exports Ltd.</t>
  </si>
  <si>
    <t>NSE:GAEL</t>
  </si>
  <si>
    <t>INE036B01030</t>
  </si>
  <si>
    <t>Gujarat State Fertilizer &amp; Chemicals Ltd.</t>
  </si>
  <si>
    <t>NSE:GSFC</t>
  </si>
  <si>
    <t>INE026A01025</t>
  </si>
  <si>
    <t>Home First Finance Company India Ltd.</t>
  </si>
  <si>
    <t>NSE:HOMEFIRST</t>
  </si>
  <si>
    <t>INE481N01025</t>
  </si>
  <si>
    <t>TV18 Broadcast Ltd.</t>
  </si>
  <si>
    <t>NSE:TV18BRDCST</t>
  </si>
  <si>
    <t>INE886H01027</t>
  </si>
  <si>
    <t>Ion Exchange (India) Ltd.</t>
  </si>
  <si>
    <t>NSE:IONEXCHANG</t>
  </si>
  <si>
    <t>INE570A01022</t>
  </si>
  <si>
    <t>Schneider Electric Infrastructure Ltd.</t>
  </si>
  <si>
    <t>NSE:SCHNEIDER</t>
  </si>
  <si>
    <t>INE839M01018</t>
  </si>
  <si>
    <t>JM Financial Ltd.</t>
  </si>
  <si>
    <t>NSE:JMFINANCIL</t>
  </si>
  <si>
    <t>INE780C01023</t>
  </si>
  <si>
    <t>Tamilnad Mercantile Bank Ltd.</t>
  </si>
  <si>
    <t>NSE:TMB</t>
  </si>
  <si>
    <t>INE668A01016</t>
  </si>
  <si>
    <t>Brookfield India Real Estate Trust</t>
  </si>
  <si>
    <t>NSE:BIRET</t>
  </si>
  <si>
    <t>INE0FDU25010</t>
  </si>
  <si>
    <t>Deepak Fertilisers &amp; Petrochemicals Corporation Ltd.</t>
  </si>
  <si>
    <t>NSE:DEEPAKFERT</t>
  </si>
  <si>
    <t>INE501A01019</t>
  </si>
  <si>
    <t>Reliance Power Ltd.</t>
  </si>
  <si>
    <t>NSE:RPOWER</t>
  </si>
  <si>
    <t>INE614G01033</t>
  </si>
  <si>
    <t>India Cements Ltd.</t>
  </si>
  <si>
    <t>NSE:INDIACEM</t>
  </si>
  <si>
    <t>INE383A01012</t>
  </si>
  <si>
    <t>KRBL Ltd.</t>
  </si>
  <si>
    <t>NSE:KRBL</t>
  </si>
  <si>
    <t>INE001B01026</t>
  </si>
  <si>
    <t>Mahindra Holidays &amp; Resorts India Ltd.</t>
  </si>
  <si>
    <t>NSE:MHRIL</t>
  </si>
  <si>
    <t>INE998I01010</t>
  </si>
  <si>
    <t>Prince Pipes &amp; Fittings Ltd.</t>
  </si>
  <si>
    <t>NSE:PRINCEPIPE</t>
  </si>
  <si>
    <t>INE689W01016</t>
  </si>
  <si>
    <t>Kirloskar Brothers Ltd.</t>
  </si>
  <si>
    <t>INE732A01036</t>
  </si>
  <si>
    <t>Gravita India Ltd.</t>
  </si>
  <si>
    <t>NSE:GRAVITA</t>
  </si>
  <si>
    <t>INE024L01027</t>
  </si>
  <si>
    <t>Other Non-Ferrous Metals</t>
  </si>
  <si>
    <t>Techno Electric &amp; Engineering Company Ltd.</t>
  </si>
  <si>
    <t>NSE:TECHNOE</t>
  </si>
  <si>
    <t>INE285K01026</t>
  </si>
  <si>
    <t>KNR Constructions Ltd.</t>
  </si>
  <si>
    <t>NSE:KNRCON</t>
  </si>
  <si>
    <t>INE634I01029</t>
  </si>
  <si>
    <t>Glenmark Life Sciences Ltd.</t>
  </si>
  <si>
    <t>NSE:GLS</t>
  </si>
  <si>
    <t>INE03Q201024</t>
  </si>
  <si>
    <t>MMTC Ltd.</t>
  </si>
  <si>
    <t>NSE:MMTC</t>
  </si>
  <si>
    <t>INE123F01029</t>
  </si>
  <si>
    <t>Reliance Infrastructure Ltd.</t>
  </si>
  <si>
    <t>INE036A01016</t>
  </si>
  <si>
    <t>Marksans Pharma Ltd.</t>
  </si>
  <si>
    <t>INE750C01026</t>
  </si>
  <si>
    <t>Laxmi Organic Industries Ltd.</t>
  </si>
  <si>
    <t>NSE:LXCHEM</t>
  </si>
  <si>
    <t>INE576O01020</t>
  </si>
  <si>
    <t>LT Foods Ltd.</t>
  </si>
  <si>
    <t>NSE:LTFOODS</t>
  </si>
  <si>
    <t>INE818H01020</t>
  </si>
  <si>
    <t>Karnataka Bank Ltd.</t>
  </si>
  <si>
    <t>NSE:KTKBANK</t>
  </si>
  <si>
    <t>INE614B01018</t>
  </si>
  <si>
    <t>Vesuvius India Ltd.</t>
  </si>
  <si>
    <t>NSE:VESUVIUS</t>
  </si>
  <si>
    <t>INE386A01015</t>
  </si>
  <si>
    <t>Chemplast Sanmar Ltd.</t>
  </si>
  <si>
    <t>NSE:CHEMPLASTS</t>
  </si>
  <si>
    <t>INE488A01050</t>
  </si>
  <si>
    <t>Man Infraconstruction Ltd.</t>
  </si>
  <si>
    <t>INE949H01023</t>
  </si>
  <si>
    <t>Religare Enterprises Ltd.</t>
  </si>
  <si>
    <t>NSE:RELIGARE</t>
  </si>
  <si>
    <t>INE621H01010</t>
  </si>
  <si>
    <t>PTC Industries Ltd.</t>
  </si>
  <si>
    <t>NSE:PTCIL</t>
  </si>
  <si>
    <t>INE596F01018</t>
  </si>
  <si>
    <t>Greenlam Industries Ltd.</t>
  </si>
  <si>
    <t>NSE:GREENLAM</t>
  </si>
  <si>
    <t>INE544R01021</t>
  </si>
  <si>
    <t>Archean Chemical Industries Ltd.</t>
  </si>
  <si>
    <t>NSE:ACI</t>
  </si>
  <si>
    <t>INE128X01021</t>
  </si>
  <si>
    <t>Spandana Sphoorty Financial Ltd.</t>
  </si>
  <si>
    <t>INE572J01011</t>
  </si>
  <si>
    <t>Shoppers Stop Ltd.</t>
  </si>
  <si>
    <t>NSE:SHOPERSTOP</t>
  </si>
  <si>
    <t>INE498B01024</t>
  </si>
  <si>
    <t>PDS Ltd.</t>
  </si>
  <si>
    <t>NSE:PDSL</t>
  </si>
  <si>
    <t>INE111Q01021</t>
  </si>
  <si>
    <t>Rashtriya Chemicals &amp; Fertilizers Ltd.</t>
  </si>
  <si>
    <t>INE027A01015</t>
  </si>
  <si>
    <t>Quess Corp Ltd.</t>
  </si>
  <si>
    <t>NSE:QUESS</t>
  </si>
  <si>
    <t>INE615P01015</t>
  </si>
  <si>
    <t>Kirloskar Ferrous Industries Ltd.</t>
  </si>
  <si>
    <t>NSE:KIRLFER</t>
  </si>
  <si>
    <t>INE884B01025</t>
  </si>
  <si>
    <t>Shipping Corporation of India Ltd.</t>
  </si>
  <si>
    <t>INE109A01011</t>
  </si>
  <si>
    <t>Jubilant Pharmova Ltd.</t>
  </si>
  <si>
    <t>NSE:JUBLPHARMA</t>
  </si>
  <si>
    <t>INE700A01033</t>
  </si>
  <si>
    <t>Sunteck Realty Ltd.</t>
  </si>
  <si>
    <t>NSE:SUNTECK</t>
  </si>
  <si>
    <t>INE805D01034</t>
  </si>
  <si>
    <t>Saregama India Ltd.</t>
  </si>
  <si>
    <t>NSE:SAREGAMA</t>
  </si>
  <si>
    <t>INE979A01025</t>
  </si>
  <si>
    <t>Movies &amp; Entertainment</t>
  </si>
  <si>
    <t>Indigo Paints Ltd.</t>
  </si>
  <si>
    <t>NSE:INDIGOPNTS</t>
  </si>
  <si>
    <t>INE09VQ01012</t>
  </si>
  <si>
    <t>Mastek Ltd.</t>
  </si>
  <si>
    <t>NSE:MASTEK</t>
  </si>
  <si>
    <t>INE759A01021</t>
  </si>
  <si>
    <t>Jupiter Life Line Hospitals Ltd.</t>
  </si>
  <si>
    <t>NSE:JLHL</t>
  </si>
  <si>
    <t>INE682M01012</t>
  </si>
  <si>
    <t>Mrs. Bectors Food Specialities Ltd.</t>
  </si>
  <si>
    <t>NSE:BECTORFOOD</t>
  </si>
  <si>
    <t>INE495P01012</t>
  </si>
  <si>
    <t>Gujarat Pipavav Port Ltd.</t>
  </si>
  <si>
    <t>INE517F01014</t>
  </si>
  <si>
    <t>Edelweiss Financial Services Ltd.</t>
  </si>
  <si>
    <t>NSE:EDELWEISS</t>
  </si>
  <si>
    <t>INE532F01054</t>
  </si>
  <si>
    <t>Mishra Dhatu Nigam Ltd.</t>
  </si>
  <si>
    <t>NSE:MIDHANI</t>
  </si>
  <si>
    <t>INE099Z01011</t>
  </si>
  <si>
    <t>RateGain Travel Technologies Ltd.</t>
  </si>
  <si>
    <t>INE0CLI01024</t>
  </si>
  <si>
    <t>Vaibhav Global Ltd.</t>
  </si>
  <si>
    <t>NSE:VAIBHAVGBL</t>
  </si>
  <si>
    <t>INE884A01027</t>
  </si>
  <si>
    <t>Go Fashion (India) Ltd.</t>
  </si>
  <si>
    <t>NSE:GOCOLORS</t>
  </si>
  <si>
    <t>INE0BJS01011</t>
  </si>
  <si>
    <t>Thomas Cook (India) Ltd.</t>
  </si>
  <si>
    <t>NSE:THOMASCOOK</t>
  </si>
  <si>
    <t>INE332A01027</t>
  </si>
  <si>
    <t>ISGEC Heavy Engineering Ltd.</t>
  </si>
  <si>
    <t>NSE:ISGEC</t>
  </si>
  <si>
    <t>INE858B01029</t>
  </si>
  <si>
    <t>Sterling and Wilson Renewable Energy Ltd.</t>
  </si>
  <si>
    <t>NSE:SWSOLAR</t>
  </si>
  <si>
    <t>INE00M201021</t>
  </si>
  <si>
    <t>Jubilant Ingrevia Ltd.</t>
  </si>
  <si>
    <t>NSE:JUBLINGREA</t>
  </si>
  <si>
    <t>INE0BY001018</t>
  </si>
  <si>
    <t>MTAR Technologies Ltd.</t>
  </si>
  <si>
    <t>NSE:MTARTECH</t>
  </si>
  <si>
    <t>INE864I01014</t>
  </si>
  <si>
    <t>Neuland Laboratories Ltd.</t>
  </si>
  <si>
    <t>NSE:NEULANDLAB</t>
  </si>
  <si>
    <t>INE794A01010</t>
  </si>
  <si>
    <t>CSB Bank Ltd.</t>
  </si>
  <si>
    <t>NSE:CSBBANK</t>
  </si>
  <si>
    <t>INE679A01013</t>
  </si>
  <si>
    <t>Power Mech Projects Ltd.</t>
  </si>
  <si>
    <t>NSE:POWERMECH</t>
  </si>
  <si>
    <t>INE211R01019</t>
  </si>
  <si>
    <t>Garware Technical Fibres Ltd.</t>
  </si>
  <si>
    <t>NSE:GARFIBRES</t>
  </si>
  <si>
    <t>INE276A01018</t>
  </si>
  <si>
    <t>SIS Ltd.</t>
  </si>
  <si>
    <t>NSE:SIS</t>
  </si>
  <si>
    <t>INE285J01028</t>
  </si>
  <si>
    <t>Misc. Commercial Services</t>
  </si>
  <si>
    <t>Easy Trip Planners Ltd.</t>
  </si>
  <si>
    <t>NSE:EASEMYTRIP</t>
  </si>
  <si>
    <t>INE07O001026</t>
  </si>
  <si>
    <t>Rolex Rings Ltd.</t>
  </si>
  <si>
    <t>NSE:ROLEXRINGS</t>
  </si>
  <si>
    <t>INE645S01016</t>
  </si>
  <si>
    <t>Transport Corporation of India Ltd.</t>
  </si>
  <si>
    <t>NSE:TCI</t>
  </si>
  <si>
    <t>INE688A01022</t>
  </si>
  <si>
    <t>Surface Transportation</t>
  </si>
  <si>
    <t>IFCI Ltd.</t>
  </si>
  <si>
    <t>NSE:IFCI</t>
  </si>
  <si>
    <t>INE039A01010</t>
  </si>
  <si>
    <t>Financial Institutions</t>
  </si>
  <si>
    <t>GMM Pfaudler Ltd.</t>
  </si>
  <si>
    <t>NSE:GMMPFAUDLR</t>
  </si>
  <si>
    <t>INE541A01023</t>
  </si>
  <si>
    <t>Tega Industries Ltd.</t>
  </si>
  <si>
    <t>NSE:TEGA</t>
  </si>
  <si>
    <t>INE011K01018</t>
  </si>
  <si>
    <t>Star Cement Ltd.</t>
  </si>
  <si>
    <t>INE460H01021</t>
  </si>
  <si>
    <t>Electrosteel Castings Ltd.</t>
  </si>
  <si>
    <t>NSE:ELECTCAST</t>
  </si>
  <si>
    <t>INE086A01029</t>
  </si>
  <si>
    <t>Jindal Worldwide Ltd.</t>
  </si>
  <si>
    <t>NSE:JINDWORLD</t>
  </si>
  <si>
    <t>INE247D01039</t>
  </si>
  <si>
    <t>Redtape Ltd.</t>
  </si>
  <si>
    <t>NSE:REDTAPE</t>
  </si>
  <si>
    <t>INE0LXT01019</t>
  </si>
  <si>
    <t>Keystone Realtors Ltd.</t>
  </si>
  <si>
    <t>NSE:RUSTOMJEE</t>
  </si>
  <si>
    <t>INE263M01029</t>
  </si>
  <si>
    <t>Ujjivan Financial Services Ltd.</t>
  </si>
  <si>
    <t>INE334L01012</t>
  </si>
  <si>
    <t>Balaji Amines Ltd.</t>
  </si>
  <si>
    <t>NSE:BALAMINES</t>
  </si>
  <si>
    <t>INE050E01027</t>
  </si>
  <si>
    <t>HEG Ltd.</t>
  </si>
  <si>
    <t>NSE:HEG</t>
  </si>
  <si>
    <t>INE545A01016</t>
  </si>
  <si>
    <t>Zen Technologies Ltd.</t>
  </si>
  <si>
    <t>NSE:ZENTEC</t>
  </si>
  <si>
    <t>INE251B01027</t>
  </si>
  <si>
    <t>FDC Ltd.</t>
  </si>
  <si>
    <t>INE258B01022</t>
  </si>
  <si>
    <t>Allcargo Logistics Ltd.</t>
  </si>
  <si>
    <t>NSE:ALLCARGO</t>
  </si>
  <si>
    <t>INE418H01029</t>
  </si>
  <si>
    <t>MOIL Ltd.</t>
  </si>
  <si>
    <t>NSE:MOIL</t>
  </si>
  <si>
    <t>INE490G01020</t>
  </si>
  <si>
    <t>Vijaya Diagnostic Centre Ltd.</t>
  </si>
  <si>
    <t>NSE:VIJAYA</t>
  </si>
  <si>
    <t>INE043W01024</t>
  </si>
  <si>
    <t>Just Dial Ltd.</t>
  </si>
  <si>
    <t>NSE:JUSTDIAL</t>
  </si>
  <si>
    <t>INE599M01018</t>
  </si>
  <si>
    <t>EPL Ltd.</t>
  </si>
  <si>
    <t>NSE:EPL</t>
  </si>
  <si>
    <t>INE255A01020</t>
  </si>
  <si>
    <t>Containers &amp; Packaging</t>
  </si>
  <si>
    <t>VRL Logistics Ltd.</t>
  </si>
  <si>
    <t>INE366I01010</t>
  </si>
  <si>
    <t>JK Paper Ltd.</t>
  </si>
  <si>
    <t>NSE:JKPAPER</t>
  </si>
  <si>
    <t>INE789E01012</t>
  </si>
  <si>
    <t>CMS Info Systems Ltd.</t>
  </si>
  <si>
    <t>NSE:CMSINFO</t>
  </si>
  <si>
    <t>INE925R01014</t>
  </si>
  <si>
    <t>Elantas Beck India Ltd.</t>
  </si>
  <si>
    <t>NSE:DRBECK</t>
  </si>
  <si>
    <t>INE280B01018</t>
  </si>
  <si>
    <t>Genus Power Infrastructures Ltd.</t>
  </si>
  <si>
    <t>NSE:GENUSPOWER</t>
  </si>
  <si>
    <t>INE955D01029</t>
  </si>
  <si>
    <t>AGI Greenpac Ltd.</t>
  </si>
  <si>
    <t>NSE:AGI</t>
  </si>
  <si>
    <t>INE415A01038</t>
  </si>
  <si>
    <t>Indo Count Industries Ltd.</t>
  </si>
  <si>
    <t>INE483B01026</t>
  </si>
  <si>
    <t>Hindustan Foods Ltd.</t>
  </si>
  <si>
    <t>NSE:HNDFDS</t>
  </si>
  <si>
    <t>INE254N01026</t>
  </si>
  <si>
    <t>Gokaldas Exports Ltd.</t>
  </si>
  <si>
    <t>NSE:GOKEX</t>
  </si>
  <si>
    <t>INE887G01027</t>
  </si>
  <si>
    <t>PG Electroplast Ltd.</t>
  </si>
  <si>
    <t>NSE:PGEL</t>
  </si>
  <si>
    <t>INE457L01011</t>
  </si>
  <si>
    <t>Gabriel India Ltd.</t>
  </si>
  <si>
    <t>NSE:GABRIEL</t>
  </si>
  <si>
    <t>INE524A01029</t>
  </si>
  <si>
    <t>Symphony Ltd.</t>
  </si>
  <si>
    <t>NSE:SYMPHONY</t>
  </si>
  <si>
    <t>INE225D01027</t>
  </si>
  <si>
    <t>Nesco Ltd.</t>
  </si>
  <si>
    <t>INE317F01035</t>
  </si>
  <si>
    <t>Sterlite Technologies Ltd.</t>
  </si>
  <si>
    <t>NSE:STLTECH</t>
  </si>
  <si>
    <t>INE089C01029</t>
  </si>
  <si>
    <t>Blue Jet Healthcare Ltd</t>
  </si>
  <si>
    <t>NSE:BLUEJET</t>
  </si>
  <si>
    <t>INE0KBH01020</t>
  </si>
  <si>
    <t>Senco Gold Ltd.</t>
  </si>
  <si>
    <t>NSE:SENCO</t>
  </si>
  <si>
    <t>INE602W01019</t>
  </si>
  <si>
    <t>Dilip Buildcon Ltd.</t>
  </si>
  <si>
    <t>NSE:DBL</t>
  </si>
  <si>
    <t>INE917M01012</t>
  </si>
  <si>
    <t>Arvind Ltd.</t>
  </si>
  <si>
    <t>NSE:ARVIND</t>
  </si>
  <si>
    <t>INE034A01011</t>
  </si>
  <si>
    <t>Astra Microwave Products Ltd.</t>
  </si>
  <si>
    <t>NSE:ASTRAMICRO</t>
  </si>
  <si>
    <t>INE386C01029</t>
  </si>
  <si>
    <t>Arvind Fashions Ltd.</t>
  </si>
  <si>
    <t>NSE:ARVINDFASN</t>
  </si>
  <si>
    <t>INE955V01021</t>
  </si>
  <si>
    <t>Nazara Technologies Ltd.</t>
  </si>
  <si>
    <t>NSE:NAZARA</t>
  </si>
  <si>
    <t>INE418L01021</t>
  </si>
  <si>
    <t>Voltamp Transformers Ltd.</t>
  </si>
  <si>
    <t>NSE:VOLTAMP</t>
  </si>
  <si>
    <t>INE540H01012</t>
  </si>
  <si>
    <t>HMT Ltd.</t>
  </si>
  <si>
    <t>NSE:HMT</t>
  </si>
  <si>
    <t>INE262A01018</t>
  </si>
  <si>
    <t>NAVA Ltd.</t>
  </si>
  <si>
    <t>NSE:NAVA</t>
  </si>
  <si>
    <t>INE725A01022</t>
  </si>
  <si>
    <t>Borosil Renewables Ltd.</t>
  </si>
  <si>
    <t>NSE:BORORENEW</t>
  </si>
  <si>
    <t>INE666D01022</t>
  </si>
  <si>
    <t>Texmaco Rail &amp; Engineering Ltd.</t>
  </si>
  <si>
    <t>INE621L01012</t>
  </si>
  <si>
    <t>Jai Corp Ltd.</t>
  </si>
  <si>
    <t>NSE:JAICORPLTD</t>
  </si>
  <si>
    <t>INE070D01027</t>
  </si>
  <si>
    <t>Restaurant Brands Asia Ltd.</t>
  </si>
  <si>
    <t>NSE:RBA</t>
  </si>
  <si>
    <t>INE07T201019</t>
  </si>
  <si>
    <t>ASK Automotive Ltd.</t>
  </si>
  <si>
    <t>NSE:ASKAUTOLTD</t>
  </si>
  <si>
    <t>INE491J01022</t>
  </si>
  <si>
    <t>R Systems International Ltd.</t>
  </si>
  <si>
    <t>NSE:RSYSTEMS</t>
  </si>
  <si>
    <t>INE411H01032</t>
  </si>
  <si>
    <t>Share India Securities Ltd.</t>
  </si>
  <si>
    <t>NSE:SHAREINDIA</t>
  </si>
  <si>
    <t>INE932X01018</t>
  </si>
  <si>
    <t>JSW Holdings Ltd.</t>
  </si>
  <si>
    <t>NSE:JSWHL</t>
  </si>
  <si>
    <t>INE824G01012</t>
  </si>
  <si>
    <t>Fusion Micro Finance Ltd.</t>
  </si>
  <si>
    <t>INE139R01012</t>
  </si>
  <si>
    <t>Infibeam Avenues Ltd.</t>
  </si>
  <si>
    <t>NSE:INFIBEAM</t>
  </si>
  <si>
    <t>INE483S01020</t>
  </si>
  <si>
    <t>Surya Roshni Ltd.</t>
  </si>
  <si>
    <t>INE335A01020</t>
  </si>
  <si>
    <t>Force Motors Ltd.</t>
  </si>
  <si>
    <t>NSE:FORCEMOT</t>
  </si>
  <si>
    <t>INE451A01017</t>
  </si>
  <si>
    <t>Utkarsh Small Finance Bank Ltd.</t>
  </si>
  <si>
    <t>NSE:UTKARSHBNK</t>
  </si>
  <si>
    <t>INE735W01017</t>
  </si>
  <si>
    <t>Ahluwalia Contracts (India) Ltd.</t>
  </si>
  <si>
    <t>NSE:AHLUCONT</t>
  </si>
  <si>
    <t>INE758C01029</t>
  </si>
  <si>
    <t>HG Infra Engineering Ltd.</t>
  </si>
  <si>
    <t>INE926X01010</t>
  </si>
  <si>
    <t>Paradeep Phosphates Ltd.</t>
  </si>
  <si>
    <t>NSE:PARADEEP</t>
  </si>
  <si>
    <t>INE088F01024</t>
  </si>
  <si>
    <t>Wonderla Holidays Ltd.</t>
  </si>
  <si>
    <t>NSE:WONDERLA</t>
  </si>
  <si>
    <t>INE066O01014</t>
  </si>
  <si>
    <t>Other Leisure Facilities</t>
  </si>
  <si>
    <t>TCI Express Ltd.</t>
  </si>
  <si>
    <t>NSE:TCIEXP</t>
  </si>
  <si>
    <t>INE586V01016</t>
  </si>
  <si>
    <t>Avanti Feeds Ltd.</t>
  </si>
  <si>
    <t>NSE:AVANTIFEED</t>
  </si>
  <si>
    <t>INE871C01038</t>
  </si>
  <si>
    <t>Gujarat Alkalies &amp; Chemicals Ltd.</t>
  </si>
  <si>
    <t>NSE:GUJALKALI</t>
  </si>
  <si>
    <t>INE186A01019</t>
  </si>
  <si>
    <t>Magellanic Cloud Ltd.</t>
  </si>
  <si>
    <t>NSE:SIPROJECTS</t>
  </si>
  <si>
    <t>INE613C01018</t>
  </si>
  <si>
    <t>GHCL Ltd.</t>
  </si>
  <si>
    <t>NSE:GHCL</t>
  </si>
  <si>
    <t>INE539A01019</t>
  </si>
  <si>
    <t>Fedbank Financial Services Ltd.</t>
  </si>
  <si>
    <t>NSE:FEDFINA</t>
  </si>
  <si>
    <t>INE007N01010</t>
  </si>
  <si>
    <t>NIIT Learning Systems Ltd.</t>
  </si>
  <si>
    <t>NSE:NIITMTS</t>
  </si>
  <si>
    <t>INE342G01023</t>
  </si>
  <si>
    <t>Education</t>
  </si>
  <si>
    <t>ICRA Ltd.</t>
  </si>
  <si>
    <t>NSE:ICRA</t>
  </si>
  <si>
    <t>INE725G01011</t>
  </si>
  <si>
    <t>Suprajit Engineering Ltd.</t>
  </si>
  <si>
    <t>NSE:SUPRAJIT</t>
  </si>
  <si>
    <t>INE399C01030</t>
  </si>
  <si>
    <t>South Indian Bank Ltd.</t>
  </si>
  <si>
    <t>NSE:SOUTHBANK</t>
  </si>
  <si>
    <t>INE683A01023</t>
  </si>
  <si>
    <t>Tata Coffee Ltd.</t>
  </si>
  <si>
    <t>NSE:TATACOFFEE</t>
  </si>
  <si>
    <t>INE493A01027</t>
  </si>
  <si>
    <t>Prudent Corporate Advisory Services Ltd.</t>
  </si>
  <si>
    <t>NSE:PRUDENT</t>
  </si>
  <si>
    <t>INE00F201020</t>
  </si>
  <si>
    <t>Technocraft Industries (India) Ltd.</t>
  </si>
  <si>
    <t>NSE:TIIL</t>
  </si>
  <si>
    <t>INE545H01011</t>
  </si>
  <si>
    <t>Shrem InvIT</t>
  </si>
  <si>
    <t>NSE:SHREMINVIT</t>
  </si>
  <si>
    <t>INE0GTI23014</t>
  </si>
  <si>
    <t>Cyient DLM Ltd.</t>
  </si>
  <si>
    <t>NSE:CYIENTDLM</t>
  </si>
  <si>
    <t>INE055S01018</t>
  </si>
  <si>
    <t>Electronic Components</t>
  </si>
  <si>
    <t>Lloyds Enterprises Ltd.</t>
  </si>
  <si>
    <t>NSE:SHRGLTR</t>
  </si>
  <si>
    <t>INE080I01025</t>
  </si>
  <si>
    <t>Tilaknagar Industries Ltd.</t>
  </si>
  <si>
    <t>NSE:TI</t>
  </si>
  <si>
    <t>INE133E01013</t>
  </si>
  <si>
    <t>Ramky Infrastructure Ltd.</t>
  </si>
  <si>
    <t>NSE:RAMKY</t>
  </si>
  <si>
    <t>INE874I01013</t>
  </si>
  <si>
    <t>Kennametal India Ltd.</t>
  </si>
  <si>
    <t>NSE:KENNAMET</t>
  </si>
  <si>
    <t>INE717A01029</t>
  </si>
  <si>
    <t>Orient Cement Ltd.</t>
  </si>
  <si>
    <t>NSE:ORIENTCEM</t>
  </si>
  <si>
    <t>INE876N01018</t>
  </si>
  <si>
    <t>Lloyds Engineering Works Ltd.</t>
  </si>
  <si>
    <t>NSE:LLOYDSENGG</t>
  </si>
  <si>
    <t>INE093R01011</t>
  </si>
  <si>
    <t>Wockhardt Ltd.</t>
  </si>
  <si>
    <t>NSE:WOCKPHARMA</t>
  </si>
  <si>
    <t>INE049B01025</t>
  </si>
  <si>
    <t>VST Industries Ltd.</t>
  </si>
  <si>
    <t>NSE:VSTIND</t>
  </si>
  <si>
    <t>INE710A01016</t>
  </si>
  <si>
    <t>Healthcare Global Enterprises Ltd.</t>
  </si>
  <si>
    <t>INE075I01017</t>
  </si>
  <si>
    <t>Gateway Distriparks Ltd.</t>
  </si>
  <si>
    <t>NSE:GATEWAY</t>
  </si>
  <si>
    <t>INE079J01017</t>
  </si>
  <si>
    <t>Ethos Ltd.</t>
  </si>
  <si>
    <t>NSE:ETHOSLTD</t>
  </si>
  <si>
    <t>INE04TZ01018</t>
  </si>
  <si>
    <t>Netweb Technologies India Ltd.</t>
  </si>
  <si>
    <t>NSE:NETWEB</t>
  </si>
  <si>
    <t>INE0NT901020</t>
  </si>
  <si>
    <t>PTC India Ltd.</t>
  </si>
  <si>
    <t>INE877F01012</t>
  </si>
  <si>
    <t>Privi Speciality Chemicals Ltd.</t>
  </si>
  <si>
    <t>NSE:PRIVISCL</t>
  </si>
  <si>
    <t>INE959A01019</t>
  </si>
  <si>
    <t>Borosil Ltd.</t>
  </si>
  <si>
    <t>NSE:BOROLTD</t>
  </si>
  <si>
    <t>INE02PY01013</t>
  </si>
  <si>
    <t>Rain Industries Ltd.</t>
  </si>
  <si>
    <t>NSE:RAIN</t>
  </si>
  <si>
    <t>INE855B01025</t>
  </si>
  <si>
    <t>Inox Wind Energy Ltd.</t>
  </si>
  <si>
    <t>NSE:IWEL</t>
  </si>
  <si>
    <t>INE0FLR01028</t>
  </si>
  <si>
    <t>Kewal Kiran Clothing Ltd.</t>
  </si>
  <si>
    <t>NSE:KKCL</t>
  </si>
  <si>
    <t>INE401H01017</t>
  </si>
  <si>
    <t>Protean eGov Technologies Ltd.</t>
  </si>
  <si>
    <t>NSE:PROTEAN</t>
  </si>
  <si>
    <t>INE004A01022</t>
  </si>
  <si>
    <t>RattanIndia Power Ltd.</t>
  </si>
  <si>
    <t>INE399K01017</t>
  </si>
  <si>
    <t>Aurionpro Solutions Ltd.</t>
  </si>
  <si>
    <t>NSE:AURIONPRO</t>
  </si>
  <si>
    <t>INE132H01018</t>
  </si>
  <si>
    <t>ITD Cementation India Ltd.</t>
  </si>
  <si>
    <t>INE686A01026</t>
  </si>
  <si>
    <t>Kesoram Industries Ltd.</t>
  </si>
  <si>
    <t>INE087A01019</t>
  </si>
  <si>
    <t>Dodla Dairy Ltd.</t>
  </si>
  <si>
    <t>NSE:DODLA</t>
  </si>
  <si>
    <t>INE021O01019</t>
  </si>
  <si>
    <t>Hinduja Global Solutions Ltd.</t>
  </si>
  <si>
    <t>NSE:HGS</t>
  </si>
  <si>
    <t>INE170I01016</t>
  </si>
  <si>
    <t>Sansera Engineering Ltd.</t>
  </si>
  <si>
    <t>NSE:SANSERA</t>
  </si>
  <si>
    <t>INE953O01021</t>
  </si>
  <si>
    <t>Jain Irrigation Systems Ltd.</t>
  </si>
  <si>
    <t>NSE:JISLJALEQS</t>
  </si>
  <si>
    <t>INE175A01038</t>
  </si>
  <si>
    <t>Tips Industries Ltd.</t>
  </si>
  <si>
    <t>INE716B01029</t>
  </si>
  <si>
    <t>DB Corp Ltd.</t>
  </si>
  <si>
    <t>INE950I01011</t>
  </si>
  <si>
    <t>Publishing</t>
  </si>
  <si>
    <t>Shriram Pistons &amp; Rings Ltd.</t>
  </si>
  <si>
    <t>INE526E01018</t>
  </si>
  <si>
    <t>Orient Electric Ltd.</t>
  </si>
  <si>
    <t>NSE:ORIENTELEC</t>
  </si>
  <si>
    <t>INE142Z01019</t>
  </si>
  <si>
    <t>Mas Financial Services Ltd.</t>
  </si>
  <si>
    <t>NSE:MASFIN</t>
  </si>
  <si>
    <t>INE348L01012</t>
  </si>
  <si>
    <t>Sai Silks (Kalamandir) Ltd.</t>
  </si>
  <si>
    <t>NSE:KALAMANDIR</t>
  </si>
  <si>
    <t>INE438K01021</t>
  </si>
  <si>
    <t>Welspun Enterprises Ltd.</t>
  </si>
  <si>
    <t>NSE:WELENT</t>
  </si>
  <si>
    <t>INE625G01013</t>
  </si>
  <si>
    <t>Strides Pharma Science Ltd.</t>
  </si>
  <si>
    <t>NSE:STAR</t>
  </si>
  <si>
    <t>INE939A01011</t>
  </si>
  <si>
    <t>Indiabulls Real Estate Ltd.</t>
  </si>
  <si>
    <t>NSE:IBREALEST</t>
  </si>
  <si>
    <t>INE069I01010</t>
  </si>
  <si>
    <t>Aarti Drugs Ltd.</t>
  </si>
  <si>
    <t>NSE:AARTIDRUGS</t>
  </si>
  <si>
    <t>INE767A01016</t>
  </si>
  <si>
    <t>Rallis India Ltd.</t>
  </si>
  <si>
    <t>NSE:RALLIS</t>
  </si>
  <si>
    <t>INE613A01020</t>
  </si>
  <si>
    <t>Datamatics Global Services Ltd.</t>
  </si>
  <si>
    <t>NSE:DATAMATICS</t>
  </si>
  <si>
    <t>INE365B01017</t>
  </si>
  <si>
    <t>Hindustan Construction Company Ltd.</t>
  </si>
  <si>
    <t>NSE:HCC</t>
  </si>
  <si>
    <t>INE549A01026</t>
  </si>
  <si>
    <t>Jamna Auto Industries Ltd.</t>
  </si>
  <si>
    <t>NSE:JAMNAAUTO</t>
  </si>
  <si>
    <t>INE039C01032</t>
  </si>
  <si>
    <t>Steel Strips Wheels Ltd.</t>
  </si>
  <si>
    <t>NSE:SSWL</t>
  </si>
  <si>
    <t>INE802C01033</t>
  </si>
  <si>
    <t>Heidelberg Cement India Ltd.</t>
  </si>
  <si>
    <t>NSE:HEIDELBERG</t>
  </si>
  <si>
    <t>INE578A01017</t>
  </si>
  <si>
    <t>Tinplate Company of India Ltd.</t>
  </si>
  <si>
    <t>NSE:TINPLATE</t>
  </si>
  <si>
    <t>INE422C01014</t>
  </si>
  <si>
    <t>Dhanuka Agritech Ltd.</t>
  </si>
  <si>
    <t>INE435G01025</t>
  </si>
  <si>
    <t>Max Estates Ltd.</t>
  </si>
  <si>
    <t>NSE:MAXESTATES</t>
  </si>
  <si>
    <t>INE03EI01018</t>
  </si>
  <si>
    <t>Jayaswal Neco Industries Ltd.</t>
  </si>
  <si>
    <t>NSE:JAYNECOIND</t>
  </si>
  <si>
    <t>INE854B01010</t>
  </si>
  <si>
    <t>Black Box Ltd.</t>
  </si>
  <si>
    <t>NSE:BBOX</t>
  </si>
  <si>
    <t>INE676A01027</t>
  </si>
  <si>
    <t>TeamLease Services Ltd.</t>
  </si>
  <si>
    <t>NSE:TEAMLEASE</t>
  </si>
  <si>
    <t>INE985S01024</t>
  </si>
  <si>
    <t>Jaiprakash Associates Ltd.</t>
  </si>
  <si>
    <t>NSE:JPASSOCIAT</t>
  </si>
  <si>
    <t>INE455F01025</t>
  </si>
  <si>
    <t>West Coast Paper Mills Ltd.</t>
  </si>
  <si>
    <t>INE976A01021</t>
  </si>
  <si>
    <t>Choice International Ltd.</t>
  </si>
  <si>
    <t>NSE:CHOICEIN</t>
  </si>
  <si>
    <t>INE102B01014</t>
  </si>
  <si>
    <t>TD Power Systems Ltd.</t>
  </si>
  <si>
    <t>NSE:TDPOWERSYS</t>
  </si>
  <si>
    <t>INE419M01027</t>
  </si>
  <si>
    <t>Aarti Pharmalabs Ltd.</t>
  </si>
  <si>
    <t>NSE:AARTIPHARM</t>
  </si>
  <si>
    <t>INE0LRU01027</t>
  </si>
  <si>
    <t>The Orissa Minerals Development Company Ltd.</t>
  </si>
  <si>
    <t>NSE:ORISSAMINE</t>
  </si>
  <si>
    <t>INE725E01024</t>
  </si>
  <si>
    <t>Bajaj Hindusthan Sugar Ltd.</t>
  </si>
  <si>
    <t>INE306A01021</t>
  </si>
  <si>
    <t>Flair Writing Industries Ltd</t>
  </si>
  <si>
    <t>NSE:FLAIR</t>
  </si>
  <si>
    <t>INE00Y201027</t>
  </si>
  <si>
    <t>Other Leisure Products</t>
  </si>
  <si>
    <t>Greenpanel Industries Ltd.</t>
  </si>
  <si>
    <t>NSE:GREENPANEL</t>
  </si>
  <si>
    <t>INE08ZM01014</t>
  </si>
  <si>
    <t>Sandur Manganese &amp; Iron Ores Ltd.</t>
  </si>
  <si>
    <t>NSE:SANDUMA</t>
  </si>
  <si>
    <t>INE149K01016</t>
  </si>
  <si>
    <t>Rossari Biotech Ltd.</t>
  </si>
  <si>
    <t>NSE:ROSSARI</t>
  </si>
  <si>
    <t>INE02A801020</t>
  </si>
  <si>
    <t>La Opala RG Ltd.</t>
  </si>
  <si>
    <t>NSE:LAOPALA</t>
  </si>
  <si>
    <t>INE059D01020</t>
  </si>
  <si>
    <t>KPI Green Energy Ltd.</t>
  </si>
  <si>
    <t>NSE:KPIGREEN</t>
  </si>
  <si>
    <t>INE542W01017</t>
  </si>
  <si>
    <t>Pricol Ltd.</t>
  </si>
  <si>
    <t>NSE:PRICOLLTD</t>
  </si>
  <si>
    <t>INE726V01018</t>
  </si>
  <si>
    <t>IFB Industries Ltd.</t>
  </si>
  <si>
    <t>NSE:IFBIND</t>
  </si>
  <si>
    <t>INE559A01017</t>
  </si>
  <si>
    <t>Fineotex Chemical Ltd.</t>
  </si>
  <si>
    <t>NSE:FCL</t>
  </si>
  <si>
    <t>INE045J01026</t>
  </si>
  <si>
    <t>NOCIL Ltd.</t>
  </si>
  <si>
    <t>NSE:NOCIL</t>
  </si>
  <si>
    <t>INE163A01018</t>
  </si>
  <si>
    <t>Lux Industries Ltd.</t>
  </si>
  <si>
    <t>NSE:LUXIND</t>
  </si>
  <si>
    <t>INE150G01020</t>
  </si>
  <si>
    <t>Sindhu Trade Links Ltd.</t>
  </si>
  <si>
    <t>NSE:SINDHUTRAD</t>
  </si>
  <si>
    <t>INE325D01025</t>
  </si>
  <si>
    <t>Kolte-Patil Developers Ltd.</t>
  </si>
  <si>
    <t>INE094I01018</t>
  </si>
  <si>
    <t>Ami Organics Ltd.</t>
  </si>
  <si>
    <t>NSE:AMIORG</t>
  </si>
  <si>
    <t>INE00FF01017</t>
  </si>
  <si>
    <t>Time Technoplast Ltd.</t>
  </si>
  <si>
    <t>NSE:TIMETECHNO</t>
  </si>
  <si>
    <t>INE508G01029</t>
  </si>
  <si>
    <t>Ashoka Buildcon Ltd.</t>
  </si>
  <si>
    <t>NSE:ASHOKA</t>
  </si>
  <si>
    <t>INE442H01029</t>
  </si>
  <si>
    <t>Paisalo Digital Ltd.</t>
  </si>
  <si>
    <t>NSE:PAISALO</t>
  </si>
  <si>
    <t>INE420C01059</t>
  </si>
  <si>
    <t>IRB InvIT Fund</t>
  </si>
  <si>
    <t>NSE:IRBINVIT</t>
  </si>
  <si>
    <t>INE183W23014</t>
  </si>
  <si>
    <t>Aditya Vision Ltd.</t>
  </si>
  <si>
    <t>NSE:AVL</t>
  </si>
  <si>
    <t>INE679V01019</t>
  </si>
  <si>
    <t>Neogen Chemicals Ltd.</t>
  </si>
  <si>
    <t>NSE:NEOGEN</t>
  </si>
  <si>
    <t>INE136S01016</t>
  </si>
  <si>
    <t>Sula Vineyards Ltd.</t>
  </si>
  <si>
    <t>NSE:SULA</t>
  </si>
  <si>
    <t>INE142Q01026</t>
  </si>
  <si>
    <t>Patel Engineering Ltd.</t>
  </si>
  <si>
    <t>INE244B01030</t>
  </si>
  <si>
    <t>Sharda Motor Industries Ltd.</t>
  </si>
  <si>
    <t>INE597I01028</t>
  </si>
  <si>
    <t>Banco Products (India) Ltd.</t>
  </si>
  <si>
    <t>NSE:BANCOINDIA</t>
  </si>
  <si>
    <t>INE213C01025</t>
  </si>
  <si>
    <t>Hawkins Cookers Ltd.</t>
  </si>
  <si>
    <t>NSE:HAWKINCOOK</t>
  </si>
  <si>
    <t>INE979B01015</t>
  </si>
  <si>
    <t>Hemisphere Properties India Ltd.</t>
  </si>
  <si>
    <t>NSE:HEMIPROP</t>
  </si>
  <si>
    <t>INE0AJG01018</t>
  </si>
  <si>
    <t>Samhi Hotels Ltd.</t>
  </si>
  <si>
    <t>NSE:SAMHI</t>
  </si>
  <si>
    <t>INE08U801020</t>
  </si>
  <si>
    <t>Nucleus Software Exports Ltd.</t>
  </si>
  <si>
    <t>NSE:NUCLEUS</t>
  </si>
  <si>
    <t>INE096B01018</t>
  </si>
  <si>
    <t>Puravankara Ltd.</t>
  </si>
  <si>
    <t>NSE:PURVA</t>
  </si>
  <si>
    <t>INE323I01011</t>
  </si>
  <si>
    <t>Va Tech Wabag Ltd.</t>
  </si>
  <si>
    <t>NSE:WABAG</t>
  </si>
  <si>
    <t>INE956G01038</t>
  </si>
  <si>
    <t>Thangamayil Jewellery Ltd.</t>
  </si>
  <si>
    <t>NSE:THANGAMAYL</t>
  </si>
  <si>
    <t>INE085J01014</t>
  </si>
  <si>
    <t>Harsha Engineers International Ltd.</t>
  </si>
  <si>
    <t>NSE:HARSHA</t>
  </si>
  <si>
    <t>INE0JUS01029</t>
  </si>
  <si>
    <t>Shanthi Gears Ltd.</t>
  </si>
  <si>
    <t>NSE:SHANTIGEAR</t>
  </si>
  <si>
    <t>INE631A01022</t>
  </si>
  <si>
    <t>Epigral Ltd.</t>
  </si>
  <si>
    <t>NSE:EPIGRAL</t>
  </si>
  <si>
    <t>INE071N01016</t>
  </si>
  <si>
    <t>Sharda Cropchem Ltd.</t>
  </si>
  <si>
    <t>NSE:SHARDACROP</t>
  </si>
  <si>
    <t>INE221J01015</t>
  </si>
  <si>
    <t>Tasty Bite Eatables Ltd.</t>
  </si>
  <si>
    <t>NSE:TASTYBITE</t>
  </si>
  <si>
    <t>INE488B01017</t>
  </si>
  <si>
    <t>Bharat Rasayan Ltd.</t>
  </si>
  <si>
    <t>NSE:BHARATRAS</t>
  </si>
  <si>
    <t>INE838B01013</t>
  </si>
  <si>
    <t>Hindware Home Innovation Ltd.</t>
  </si>
  <si>
    <t>NSE:HINDWAREAP</t>
  </si>
  <si>
    <t>INE05AN01011</t>
  </si>
  <si>
    <t>Rajratan Global Wire Ltd.</t>
  </si>
  <si>
    <t>NSE:RAJRATAN</t>
  </si>
  <si>
    <t>INE451D01029</t>
  </si>
  <si>
    <t>Delta Corp Ltd.</t>
  </si>
  <si>
    <t>NSE:DELTACORP</t>
  </si>
  <si>
    <t>INE124G01033</t>
  </si>
  <si>
    <t>LG Balakrishnan &amp; Bros Ltd.</t>
  </si>
  <si>
    <t>NSE:LGBBROSLTD</t>
  </si>
  <si>
    <t>INE337A01034</t>
  </si>
  <si>
    <t>Tata Steel Long Products Ltd.</t>
  </si>
  <si>
    <t>NSE:TATASTLLP</t>
  </si>
  <si>
    <t>INE674A01014</t>
  </si>
  <si>
    <t>Kirloskar Pneumatic Company Ltd.</t>
  </si>
  <si>
    <t>NSE:KIRLPNU</t>
  </si>
  <si>
    <t>INE811A01020</t>
  </si>
  <si>
    <t>Dalmia Bharat Sugar and Industries Ltd.</t>
  </si>
  <si>
    <t>NSE:DALMIASUG</t>
  </si>
  <si>
    <t>INE495A01022</t>
  </si>
  <si>
    <t>HLE Glascoat Ltd.</t>
  </si>
  <si>
    <t>NSE:HLEGLAS</t>
  </si>
  <si>
    <t>INE461D01028</t>
  </si>
  <si>
    <t>Tatva Chintan Pharma Chem Ltd.</t>
  </si>
  <si>
    <t>NSE:TATVA</t>
  </si>
  <si>
    <t>INE0GK401011</t>
  </si>
  <si>
    <t>Nirlon Ltd.</t>
  </si>
  <si>
    <t>NSE:NIRLON</t>
  </si>
  <si>
    <t>INE910A01012</t>
  </si>
  <si>
    <t>India Pesticides Ltd.</t>
  </si>
  <si>
    <t>NSE:IPL</t>
  </si>
  <si>
    <t>INE0D6701023</t>
  </si>
  <si>
    <t>KDDL Ltd.</t>
  </si>
  <si>
    <t>NSE:KDDL</t>
  </si>
  <si>
    <t>INE291D01011</t>
  </si>
  <si>
    <t>India Tourism Development Corporation Ltd.</t>
  </si>
  <si>
    <t>NSE:ITDC</t>
  </si>
  <si>
    <t>INE353K01014</t>
  </si>
  <si>
    <t>Ashapura Minechem Ltd.</t>
  </si>
  <si>
    <t>NSE:ASHAPURMIN</t>
  </si>
  <si>
    <t>INE348A01023</t>
  </si>
  <si>
    <t>CarTrade Tech Ltd.</t>
  </si>
  <si>
    <t>NSE:CARTRADE</t>
  </si>
  <si>
    <t>INE290S01011</t>
  </si>
  <si>
    <t>Advanced Enzyme Technologies Ltd.</t>
  </si>
  <si>
    <t>NSE:ADVENZYMES</t>
  </si>
  <si>
    <t>INE837H01020</t>
  </si>
  <si>
    <t>IIFL Securities Ltd.</t>
  </si>
  <si>
    <t>NSE:IIFLSEC</t>
  </si>
  <si>
    <t>INE489L01022</t>
  </si>
  <si>
    <t>JTL Industries Ltd.</t>
  </si>
  <si>
    <t>NSE:JTLIND</t>
  </si>
  <si>
    <t>INE391J01024</t>
  </si>
  <si>
    <t>National Fertilizers Ltd.</t>
  </si>
  <si>
    <t>NSE:NFL</t>
  </si>
  <si>
    <t>INE870D01012</t>
  </si>
  <si>
    <t>Kovai Medical Center and Hospital Ltd.</t>
  </si>
  <si>
    <t>NSE:KOVAI</t>
  </si>
  <si>
    <t>INE177F01017</t>
  </si>
  <si>
    <t>eMudhra Ltd.</t>
  </si>
  <si>
    <t>NSE:EMUDHRA</t>
  </si>
  <si>
    <t>INE01QM01018</t>
  </si>
  <si>
    <t>Apollo Micro Systems Ltd.</t>
  </si>
  <si>
    <t>NSE:APOLLO</t>
  </si>
  <si>
    <t>INE713T01028</t>
  </si>
  <si>
    <t>Saksoft Ltd.</t>
  </si>
  <si>
    <t>NSE:SAKSOFT</t>
  </si>
  <si>
    <t>INE667G01023</t>
  </si>
  <si>
    <t>DCB Bank Ltd.</t>
  </si>
  <si>
    <t>NSE:DCBBANK</t>
  </si>
  <si>
    <t>INE503A01015</t>
  </si>
  <si>
    <t>V-Mart Retail Ltd.</t>
  </si>
  <si>
    <t>NSE:VMART</t>
  </si>
  <si>
    <t>INE665J01013</t>
  </si>
  <si>
    <t>Hathway Cable &amp; Datacom Ltd.</t>
  </si>
  <si>
    <t>NSE:HATHWAY</t>
  </si>
  <si>
    <t>INE982F01036</t>
  </si>
  <si>
    <t>Hikal Ltd.</t>
  </si>
  <si>
    <t>NSE:HIKAL</t>
  </si>
  <si>
    <t>INE475B01022</t>
  </si>
  <si>
    <t>Automotive Axles Ltd.</t>
  </si>
  <si>
    <t>NSE:AUTOAXLES</t>
  </si>
  <si>
    <t>INE449A01011</t>
  </si>
  <si>
    <t>Sunflag Iron &amp; Steel Company Ltd.</t>
  </si>
  <si>
    <t>NSE:SUNFLAG</t>
  </si>
  <si>
    <t>INE947A01014</t>
  </si>
  <si>
    <t>Indoco Remedies Ltd.</t>
  </si>
  <si>
    <t>NSE:INDOCO</t>
  </si>
  <si>
    <t>INE873D01024</t>
  </si>
  <si>
    <t>Sagar Cements Ltd.</t>
  </si>
  <si>
    <t>NSE:SAGCEM</t>
  </si>
  <si>
    <t>INE229C01021</t>
  </si>
  <si>
    <t>DCX Systems Ltd.</t>
  </si>
  <si>
    <t>NSE:DCXINDIA</t>
  </si>
  <si>
    <t>INE0KL801015</t>
  </si>
  <si>
    <t>Dish TV India Ltd.</t>
  </si>
  <si>
    <t>NSE:DISHTV</t>
  </si>
  <si>
    <t>INE836F01026</t>
  </si>
  <si>
    <t>TVS Srichakra Ltd.</t>
  </si>
  <si>
    <t>NSE:TVSSRICHAK</t>
  </si>
  <si>
    <t>INE421C01016</t>
  </si>
  <si>
    <t>Sundaram Finance Holdings Ltd.</t>
  </si>
  <si>
    <t>NSE:SUNDARMHLD</t>
  </si>
  <si>
    <t>INE202Z01029</t>
  </si>
  <si>
    <t>VST Tillers Tractors Ltd.</t>
  </si>
  <si>
    <t>NSE:VSTTILLERS</t>
  </si>
  <si>
    <t>INE764D01017</t>
  </si>
  <si>
    <t>Sanghvi Movers Ltd.</t>
  </si>
  <si>
    <t>NSE:SANGHVIMOV</t>
  </si>
  <si>
    <t>INE989A01024</t>
  </si>
  <si>
    <t>Gulf Oil Lubricants India Ltd.</t>
  </si>
  <si>
    <t>INE635Q01029</t>
  </si>
  <si>
    <t>Kirloskar Industries Ltd.</t>
  </si>
  <si>
    <t>NSE:KIRLOSIND</t>
  </si>
  <si>
    <t>INE250A01039</t>
  </si>
  <si>
    <t>Brightcom Group Ltd.</t>
  </si>
  <si>
    <t>NSE:BCG</t>
  </si>
  <si>
    <t>INE425B01027</t>
  </si>
  <si>
    <t>Polyplex Corporation Ltd.</t>
  </si>
  <si>
    <t>NSE:POLYPLEX</t>
  </si>
  <si>
    <t>INE633B01018</t>
  </si>
  <si>
    <t>Kaveri Seed Company Ltd.</t>
  </si>
  <si>
    <t>NSE:KSCL</t>
  </si>
  <si>
    <t>INE455I01029</t>
  </si>
  <si>
    <t>JTEKT India Ltd.</t>
  </si>
  <si>
    <t>INE643A01035</t>
  </si>
  <si>
    <t>Maithan Alloys Ltd.</t>
  </si>
  <si>
    <t>NSE:MAITHANALL</t>
  </si>
  <si>
    <t>INE683C01011</t>
  </si>
  <si>
    <t>Yatharth Hospital &amp; Trauma Care Services Ltd.</t>
  </si>
  <si>
    <t>INE0JO301016</t>
  </si>
  <si>
    <t>Avalon Technologies Ltd.</t>
  </si>
  <si>
    <t>NSE:AVALON</t>
  </si>
  <si>
    <t>INE0LCL01028</t>
  </si>
  <si>
    <t>ideaForge Technology Ltd.</t>
  </si>
  <si>
    <t>NSE:IDEAFORGE</t>
  </si>
  <si>
    <t>INE349Y01013</t>
  </si>
  <si>
    <t>Sanghi Industries Ltd.</t>
  </si>
  <si>
    <t>NSE:SANGHIIND</t>
  </si>
  <si>
    <t>INE999B01013</t>
  </si>
  <si>
    <t>Nilkamal Ltd.</t>
  </si>
  <si>
    <t>NSE:NILKAMAL</t>
  </si>
  <si>
    <t>INE310A01015</t>
  </si>
  <si>
    <t>Shalby Ltd.</t>
  </si>
  <si>
    <t>INE597J01018</t>
  </si>
  <si>
    <t>Garware Hi-Tech Films Ltd.</t>
  </si>
  <si>
    <t>NSE:GRWRHITECH</t>
  </si>
  <si>
    <t>INE291A01017</t>
  </si>
  <si>
    <t>Uflex Ltd.</t>
  </si>
  <si>
    <t>NSE:UFLEX</t>
  </si>
  <si>
    <t>INE516A01017</t>
  </si>
  <si>
    <t>Navneet Education Ltd.</t>
  </si>
  <si>
    <t>INE060A01024</t>
  </si>
  <si>
    <t>J Kumar Infraprojects Ltd.</t>
  </si>
  <si>
    <t>INE576I01022</t>
  </si>
  <si>
    <t>Gufic BioSciences Ltd.</t>
  </si>
  <si>
    <t>NSE:GUFICBIO</t>
  </si>
  <si>
    <t>INE742B01025</t>
  </si>
  <si>
    <t>TARC Ltd.</t>
  </si>
  <si>
    <t>NSE:TARC</t>
  </si>
  <si>
    <t>INE0EK901012</t>
  </si>
  <si>
    <t>SG Mart Ltd.</t>
  </si>
  <si>
    <t>NSE:JARITEX</t>
  </si>
  <si>
    <t>INE385F01016</t>
  </si>
  <si>
    <t>HMA Agro Industries Ltd.</t>
  </si>
  <si>
    <t>NSE:HMAAGRO</t>
  </si>
  <si>
    <t>INE0ECP01016</t>
  </si>
  <si>
    <t>Ganesh Housing Corporation Ltd.</t>
  </si>
  <si>
    <t>INE460C01014</t>
  </si>
  <si>
    <t>Spicejet Ltd.</t>
  </si>
  <si>
    <t>NSE:SPICEJET</t>
  </si>
  <si>
    <t>INE285B01017</t>
  </si>
  <si>
    <t>Sudarshan Chemical Industries Ltd.</t>
  </si>
  <si>
    <t>INE659A01023</t>
  </si>
  <si>
    <t>Bombay Dyeing &amp; Manufacturing Company Ltd.</t>
  </si>
  <si>
    <t>NSE:BOMDYEING</t>
  </si>
  <si>
    <t>INE032A01023</t>
  </si>
  <si>
    <t>Bajaj Consumer Care Ltd.</t>
  </si>
  <si>
    <t>NSE:BAJAJCON</t>
  </si>
  <si>
    <t>INE933K01021</t>
  </si>
  <si>
    <t>Prime Focus Ltd.</t>
  </si>
  <si>
    <t>INE367G01038</t>
  </si>
  <si>
    <t>Landmark Cars Ltd.</t>
  </si>
  <si>
    <t>NSE:LANDMARK</t>
  </si>
  <si>
    <t>INE559R01029</t>
  </si>
  <si>
    <t>IFGL Refractories Ltd.</t>
  </si>
  <si>
    <t>NSE:IFGLEXPOR</t>
  </si>
  <si>
    <t>INE133Y01011</t>
  </si>
  <si>
    <t>Shivalik Bimetal Controls Ltd.</t>
  </si>
  <si>
    <t>NSE:SBCL</t>
  </si>
  <si>
    <t>INE386D01027</t>
  </si>
  <si>
    <t>Tata Metaliks Ltd.</t>
  </si>
  <si>
    <t>NSE:TATAMETALI</t>
  </si>
  <si>
    <t>INE056C01010</t>
  </si>
  <si>
    <t>Shilpa Medicare Ltd.</t>
  </si>
  <si>
    <t>NSE:SHILPAMED</t>
  </si>
  <si>
    <t>INE790G01031</t>
  </si>
  <si>
    <t>Sequent Scientific Ltd.</t>
  </si>
  <si>
    <t>NSE:SEQUENT</t>
  </si>
  <si>
    <t>INE807F01027</t>
  </si>
  <si>
    <t>Bannari Amman Sugars Ltd.</t>
  </si>
  <si>
    <t>NSE:BANARISUG</t>
  </si>
  <si>
    <t>INE459A01010</t>
  </si>
  <si>
    <t>Johnson Controls-Hitachi Air Conditioning India Ltd.</t>
  </si>
  <si>
    <t>NSE:JCHAC</t>
  </si>
  <si>
    <t>INE782A01015</t>
  </si>
  <si>
    <t>Stylam Industries Ltd.</t>
  </si>
  <si>
    <t>NSE:STYLAMIND</t>
  </si>
  <si>
    <t>INE239C01020</t>
  </si>
  <si>
    <t>Avantel Ltd.</t>
  </si>
  <si>
    <t>NSE:AVANTEL</t>
  </si>
  <si>
    <t>INE005B01027</t>
  </si>
  <si>
    <t>Divgi Torqtransfer Systems Ltd.</t>
  </si>
  <si>
    <t>NSE:DIVGIITTS</t>
  </si>
  <si>
    <t>INE753U01022</t>
  </si>
  <si>
    <t>Sandhar Technologies Ltd.</t>
  </si>
  <si>
    <t>INE278H01035</t>
  </si>
  <si>
    <t>Greaves Cotton Ltd.</t>
  </si>
  <si>
    <t>NSE:GREAVESCOT</t>
  </si>
  <si>
    <t>INE224A01026</t>
  </si>
  <si>
    <t>Cigniti Technologies Ltd.</t>
  </si>
  <si>
    <t>INE675C01017</t>
  </si>
  <si>
    <t>Dynamatic Technologies Ltd.</t>
  </si>
  <si>
    <t>INE221B01012</t>
  </si>
  <si>
    <t>MPS Ltd.</t>
  </si>
  <si>
    <t>NSE:MPSLTD</t>
  </si>
  <si>
    <t>INE943D01017</t>
  </si>
  <si>
    <t>Waaree Renewable Technologies Ltd.</t>
  </si>
  <si>
    <t>NSE:SAL</t>
  </si>
  <si>
    <t>INE299N01013</t>
  </si>
  <si>
    <t>MSTC Ltd.</t>
  </si>
  <si>
    <t>NSE:MSTCLTD</t>
  </si>
  <si>
    <t>INE255X01014</t>
  </si>
  <si>
    <t>Goodyear India Ltd.</t>
  </si>
  <si>
    <t>NSE:GOODYEAR</t>
  </si>
  <si>
    <t>INE533A01012</t>
  </si>
  <si>
    <t>Pilani Investment and Industries Corporation Ltd.</t>
  </si>
  <si>
    <t>NSE:PILANIINVS</t>
  </si>
  <si>
    <t>INE417C01014</t>
  </si>
  <si>
    <t>Thyrocare Technologies Ltd.</t>
  </si>
  <si>
    <t>NSE:THYROCARE</t>
  </si>
  <si>
    <t>INE594H01019</t>
  </si>
  <si>
    <t>WPIL Ltd.</t>
  </si>
  <si>
    <t>NSE:WPIL</t>
  </si>
  <si>
    <t>INE765D01014</t>
  </si>
  <si>
    <t>Optiemus Infracom Ltd.</t>
  </si>
  <si>
    <t>NSE:OPTIEMUS</t>
  </si>
  <si>
    <t>INE350C01017</t>
  </si>
  <si>
    <t>Apollo Pipes Ltd.</t>
  </si>
  <si>
    <t>NSE:APOLLOPIPE</t>
  </si>
  <si>
    <t>INE126J01016</t>
  </si>
  <si>
    <t>Dreamfolks Services Ltd.</t>
  </si>
  <si>
    <t>NSE:DREAMFOLKS</t>
  </si>
  <si>
    <t>INE0JS101016</t>
  </si>
  <si>
    <t>Unichem Laboratories Ltd.</t>
  </si>
  <si>
    <t>NSE:UNICHEMLAB</t>
  </si>
  <si>
    <t>INE351A01035</t>
  </si>
  <si>
    <t>Somany Ceramics Ltd.</t>
  </si>
  <si>
    <t>NSE:SOMANYCERA</t>
  </si>
  <si>
    <t>INE355A01028</t>
  </si>
  <si>
    <t>Zaggle Prepaid Ocean Services Ltd.</t>
  </si>
  <si>
    <t>NSE:ZAGGLE</t>
  </si>
  <si>
    <t>INE07K301024</t>
  </si>
  <si>
    <t>Orchid Pharma Ltd.</t>
  </si>
  <si>
    <t>NSE:ORCHPHARMA</t>
  </si>
  <si>
    <t>INE191A01027</t>
  </si>
  <si>
    <t>Grauer &amp; Weil (India) Ltd.</t>
  </si>
  <si>
    <t>NSE:GRAUWEIL</t>
  </si>
  <si>
    <t>INE266D01021</t>
  </si>
  <si>
    <t>Gensol Engineering Ltd.</t>
  </si>
  <si>
    <t>NSE:GENSOL</t>
  </si>
  <si>
    <t>INE06H201014</t>
  </si>
  <si>
    <t>Mold-Tek Packaging Ltd.</t>
  </si>
  <si>
    <t>NSE:MOLDTKPAC</t>
  </si>
  <si>
    <t>INE893J01029</t>
  </si>
  <si>
    <t>Indian Metals &amp; Ferro Alloys Ltd.</t>
  </si>
  <si>
    <t>INE919H01018</t>
  </si>
  <si>
    <t>ISMT Ltd.</t>
  </si>
  <si>
    <t>NSE:ISMTLTD</t>
  </si>
  <si>
    <t>INE732F01019</t>
  </si>
  <si>
    <t>Subros Ltd.</t>
  </si>
  <si>
    <t>NSE:SUBROS</t>
  </si>
  <si>
    <t>INE287B01021</t>
  </si>
  <si>
    <t>Prakash Industries Ltd.</t>
  </si>
  <si>
    <t>INE603A01013</t>
  </si>
  <si>
    <t>Balmer Lawrie &amp; Company Ltd.</t>
  </si>
  <si>
    <t>INE164A01016</t>
  </si>
  <si>
    <t>Wendt India Ltd.</t>
  </si>
  <si>
    <t>NSE:WENDT</t>
  </si>
  <si>
    <t>INE274C01019</t>
  </si>
  <si>
    <t>Venky's (India) Ltd.</t>
  </si>
  <si>
    <t>NSE:VENKEYS</t>
  </si>
  <si>
    <t>INE398A01010</t>
  </si>
  <si>
    <t>PSP Projects Ltd.</t>
  </si>
  <si>
    <t>NSE:PSPPROJECT</t>
  </si>
  <si>
    <t>INE488V01015</t>
  </si>
  <si>
    <t>Confidence Petroleum India Ltd.</t>
  </si>
  <si>
    <t>INE552D01024</t>
  </si>
  <si>
    <t>Paras Defence and Space Technologies Ltd.</t>
  </si>
  <si>
    <t>NSE:PARAS</t>
  </si>
  <si>
    <t>INE045601015</t>
  </si>
  <si>
    <t>Jindal Poly Films Ltd.</t>
  </si>
  <si>
    <t>NSE:JINDALPOLY</t>
  </si>
  <si>
    <t>INE197D01010</t>
  </si>
  <si>
    <t>Kingfa Science &amp; Technology (India) Ltd.</t>
  </si>
  <si>
    <t>NSE:KINGFA</t>
  </si>
  <si>
    <t>INE473D01015</t>
  </si>
  <si>
    <t>NRB Bearings Ltd.</t>
  </si>
  <si>
    <t>INE349A01021</t>
  </si>
  <si>
    <t>CARE Ratings Ltd.</t>
  </si>
  <si>
    <t>NSE:CARERATING</t>
  </si>
  <si>
    <t>INE752H01013</t>
  </si>
  <si>
    <t>Transformers &amp; Rectifiers (India) Ltd.</t>
  </si>
  <si>
    <t>NSE:TRIL</t>
  </si>
  <si>
    <t>INE763I01026</t>
  </si>
  <si>
    <t>Pearl Global Industries Ltd.</t>
  </si>
  <si>
    <t>NSE:PGIL</t>
  </si>
  <si>
    <t>INE940H01014</t>
  </si>
  <si>
    <t>Vindhya Telelinks Ltd.</t>
  </si>
  <si>
    <t>NSE:VINDHYATEL</t>
  </si>
  <si>
    <t>INE707A01012</t>
  </si>
  <si>
    <t>Apcotex Industries Ltd.</t>
  </si>
  <si>
    <t>NSE:APCOTEXIND</t>
  </si>
  <si>
    <t>INE116A01032</t>
  </si>
  <si>
    <t>SEPC Ltd.</t>
  </si>
  <si>
    <t>NSE:SEPC</t>
  </si>
  <si>
    <t>INE964H01014</t>
  </si>
  <si>
    <t>Swaraj Engines Ltd.</t>
  </si>
  <si>
    <t>INE277A01016</t>
  </si>
  <si>
    <t>Gandhar Oil Refinery (India) Ltd.</t>
  </si>
  <si>
    <t>NSE:GANDHAR</t>
  </si>
  <si>
    <t>INE717W01049</t>
  </si>
  <si>
    <t>EMS Ltd.</t>
  </si>
  <si>
    <t>NSE:EMSLIMITED</t>
  </si>
  <si>
    <t>INE0OV601013</t>
  </si>
  <si>
    <t>Barbeque-Nation Hospitality Ltd.</t>
  </si>
  <si>
    <t>NSE:BARBEQUE</t>
  </si>
  <si>
    <t>INE382M01027</t>
  </si>
  <si>
    <t>IOL Chemicals and Pharmaceuticals Ltd.</t>
  </si>
  <si>
    <t>NSE:IOLCP</t>
  </si>
  <si>
    <t>INE485C01011</t>
  </si>
  <si>
    <t>Lumax Auto Technologies Ltd.</t>
  </si>
  <si>
    <t>NSE:LUMAXTECH</t>
  </si>
  <si>
    <t>INE872H01027</t>
  </si>
  <si>
    <t>Mahindra Logistics Ltd.</t>
  </si>
  <si>
    <t>NSE:MAHLOG</t>
  </si>
  <si>
    <t>INE766P01016</t>
  </si>
  <si>
    <t>GOCL Corporation Ltd.</t>
  </si>
  <si>
    <t>INE077F01035</t>
  </si>
  <si>
    <t>Ashiana Housing Ltd.</t>
  </si>
  <si>
    <t>NSE:ASHIANA</t>
  </si>
  <si>
    <t>INE365D01021</t>
  </si>
  <si>
    <t>IKIO Lighting Ltd.</t>
  </si>
  <si>
    <t>NSE:IKIO</t>
  </si>
  <si>
    <t>INE0LOJ01019</t>
  </si>
  <si>
    <t>Venus Pipes &amp; Tubes Ltd.</t>
  </si>
  <si>
    <t>NSE:VENUSPIPES</t>
  </si>
  <si>
    <t>INE0JA001018</t>
  </si>
  <si>
    <t>Skipper Ltd.</t>
  </si>
  <si>
    <t>INE439E01022</t>
  </si>
  <si>
    <t>FIEM Industries Ltd.</t>
  </si>
  <si>
    <t>NSE:FIEMIND</t>
  </si>
  <si>
    <t>INE737H01014</t>
  </si>
  <si>
    <t>Tanfac Industries Ltd.</t>
  </si>
  <si>
    <t>NSE:TANFACIND</t>
  </si>
  <si>
    <t>INE639B01015</t>
  </si>
  <si>
    <t>Vishnu Prakash R Punglia Ltd.</t>
  </si>
  <si>
    <t>NSE:VPRPL</t>
  </si>
  <si>
    <t>INE0AE001013</t>
  </si>
  <si>
    <t>Parag Milk Foods Ltd.</t>
  </si>
  <si>
    <t>NSE:PARAGMILK</t>
  </si>
  <si>
    <t>INE883N01014</t>
  </si>
  <si>
    <t>Mukand Ltd.</t>
  </si>
  <si>
    <t>NSE:MUKANDLTD</t>
  </si>
  <si>
    <t>INE304A01026</t>
  </si>
  <si>
    <t>Den Networks Ltd.</t>
  </si>
  <si>
    <t>NSE:DEN</t>
  </si>
  <si>
    <t>INE947J01015</t>
  </si>
  <si>
    <t>Dishman Carbogen Amcis Ltd.</t>
  </si>
  <si>
    <t>NSE:DCAL</t>
  </si>
  <si>
    <t>INE385W01011</t>
  </si>
  <si>
    <t>GMR Power and Urban Infra Ltd.</t>
  </si>
  <si>
    <t>NSE:GMRP&amp;UI</t>
  </si>
  <si>
    <t>INE0CU601026</t>
  </si>
  <si>
    <t>Carysil Ltd.</t>
  </si>
  <si>
    <t>NSE:CARYSIL</t>
  </si>
  <si>
    <t>INE482D01024</t>
  </si>
  <si>
    <t>The Anup Engineering Ltd.</t>
  </si>
  <si>
    <t>INE294Z01018</t>
  </si>
  <si>
    <t>Lumax Industries Ltd.</t>
  </si>
  <si>
    <t>INE162B01018</t>
  </si>
  <si>
    <t>Repco Home Finance Ltd.</t>
  </si>
  <si>
    <t>INE612J01015</t>
  </si>
  <si>
    <t>Styrenix Performance Materials Ltd.</t>
  </si>
  <si>
    <t>INE189B01011</t>
  </si>
  <si>
    <t>Gujarat Industries Power Company Ltd.</t>
  </si>
  <si>
    <t>INE162A01010</t>
  </si>
  <si>
    <t>BF Utilities Ltd.</t>
  </si>
  <si>
    <t>NSE:BFUTILITIE</t>
  </si>
  <si>
    <t>INE243D01012</t>
  </si>
  <si>
    <t>Eveready Industries India Ltd.</t>
  </si>
  <si>
    <t>INE128A01029</t>
  </si>
  <si>
    <t>Non-Durable Household Prod.</t>
  </si>
  <si>
    <t>Tarsons Products Ltd.</t>
  </si>
  <si>
    <t>NSE:TARSONS</t>
  </si>
  <si>
    <t>INE144Z01023</t>
  </si>
  <si>
    <t>Madhya Bharat Agro Products Ltd.</t>
  </si>
  <si>
    <t>NSE:MBAPL</t>
  </si>
  <si>
    <t>INE900L01010</t>
  </si>
  <si>
    <t>63 Moons Technologies Ltd.</t>
  </si>
  <si>
    <t>NSE:63MOONS</t>
  </si>
  <si>
    <t>INE111B01023</t>
  </si>
  <si>
    <t>Goodluck India Ltd.</t>
  </si>
  <si>
    <t>NSE:GOODLUCK</t>
  </si>
  <si>
    <t>INE127I01024</t>
  </si>
  <si>
    <t>Imagicaaworld Entertainment Ltd.</t>
  </si>
  <si>
    <t>NSE:IMAGICAA</t>
  </si>
  <si>
    <t>INE172N01012</t>
  </si>
  <si>
    <t>Ugro Capital Ltd.</t>
  </si>
  <si>
    <t>NSE:UGROCAP</t>
  </si>
  <si>
    <t>INE583D01011</t>
  </si>
  <si>
    <t>Dollar Industries Ltd.</t>
  </si>
  <si>
    <t>NSE:DOLLAR</t>
  </si>
  <si>
    <t>INE325C01035</t>
  </si>
  <si>
    <t>Siyaram Silk Mills Ltd.</t>
  </si>
  <si>
    <t>NSE:SIYSIL</t>
  </si>
  <si>
    <t>INE076B01028</t>
  </si>
  <si>
    <t>TCNS Clothing Co. Ltd.</t>
  </si>
  <si>
    <t>NSE:TCNSBRANDS</t>
  </si>
  <si>
    <t>INE778U01029</t>
  </si>
  <si>
    <t>Marathon Nextgen Realty Ltd.</t>
  </si>
  <si>
    <t>INE182D01020</t>
  </si>
  <si>
    <t>Greenply Industries Ltd.</t>
  </si>
  <si>
    <t>NSE:GREENPLY</t>
  </si>
  <si>
    <t>INE461C01038</t>
  </si>
  <si>
    <t>Uniparts India Ltd.</t>
  </si>
  <si>
    <t>NSE:UNIPARTS</t>
  </si>
  <si>
    <t>INE244O01017</t>
  </si>
  <si>
    <t>Manorama Industries Ltd.</t>
  </si>
  <si>
    <t>NSE:MANORAMA</t>
  </si>
  <si>
    <t>INE00VM01010</t>
  </si>
  <si>
    <t>Jindal Drilling &amp; Industries Ltd.</t>
  </si>
  <si>
    <t>NSE:JINDRILL</t>
  </si>
  <si>
    <t>INE742C01031</t>
  </si>
  <si>
    <t>Satin Creditcare Network Ltd.</t>
  </si>
  <si>
    <t>INE836B01017</t>
  </si>
  <si>
    <t>Globus Spirits Ltd.</t>
  </si>
  <si>
    <t>NSE:GLOBUSSPR</t>
  </si>
  <si>
    <t>INE615I01010</t>
  </si>
  <si>
    <t>Dhani Services Ltd.</t>
  </si>
  <si>
    <t>NSE:DHANI</t>
  </si>
  <si>
    <t>INE274G01010</t>
  </si>
  <si>
    <t>Indostar Capital Finance Ltd.</t>
  </si>
  <si>
    <t>NSE:INDOSTAR</t>
  </si>
  <si>
    <t>INE896L01010</t>
  </si>
  <si>
    <t>Gallantt Ispat Ltd.</t>
  </si>
  <si>
    <t>NSE:GALLANTT</t>
  </si>
  <si>
    <t>INE297H01019</t>
  </si>
  <si>
    <t>Balu Forge Industries Ltd.</t>
  </si>
  <si>
    <t>NSE:BELAGRO</t>
  </si>
  <si>
    <t>INE011E01029</t>
  </si>
  <si>
    <t>Honda India Power Products Ltd.</t>
  </si>
  <si>
    <t>INE634A01018</t>
  </si>
  <si>
    <t>Fino Payments Bank Ltd.</t>
  </si>
  <si>
    <t>NSE:FINOPB</t>
  </si>
  <si>
    <t>INE02NC01014</t>
  </si>
  <si>
    <t>Prataap Snacks Ltd.</t>
  </si>
  <si>
    <t>INE393P01035</t>
  </si>
  <si>
    <t>Filatex Fashions Ltd.</t>
  </si>
  <si>
    <t>NSE:FILATFASH</t>
  </si>
  <si>
    <t>INE185E01013</t>
  </si>
  <si>
    <t>Seamec Ltd.</t>
  </si>
  <si>
    <t>NSE:SEAMECLTD</t>
  </si>
  <si>
    <t>INE497B01018</t>
  </si>
  <si>
    <t>Mayur Uniquoters Ltd.</t>
  </si>
  <si>
    <t>NSE:MAYURUNIQ</t>
  </si>
  <si>
    <t>INE040D01038</t>
  </si>
  <si>
    <t>ADF Foods Ltd.</t>
  </si>
  <si>
    <t>INE982B01027</t>
  </si>
  <si>
    <t>Tide Water Oil Company India Ltd.</t>
  </si>
  <si>
    <t>NSE:TIDEWATER</t>
  </si>
  <si>
    <t>INE484C01030</t>
  </si>
  <si>
    <t>Bhansali Engineering Polymers Ltd.</t>
  </si>
  <si>
    <t>INE922A01025</t>
  </si>
  <si>
    <t>S H Kelkar &amp; Company Ltd.</t>
  </si>
  <si>
    <t>NSE:SHK</t>
  </si>
  <si>
    <t>INE500L01026</t>
  </si>
  <si>
    <t>Artemis Medicare Services Ltd.</t>
  </si>
  <si>
    <t>NSE:ARTEMISMED</t>
  </si>
  <si>
    <t>INE025R01021</t>
  </si>
  <si>
    <t>Astec Lifesciences Ltd.</t>
  </si>
  <si>
    <t>NSE:ASTEC</t>
  </si>
  <si>
    <t>INE563J01010</t>
  </si>
  <si>
    <t>Bombay Super Hybrid Seeds Ltd.</t>
  </si>
  <si>
    <t>NSE:BSHSL</t>
  </si>
  <si>
    <t>INE032Z01020</t>
  </si>
  <si>
    <t>RPG Life Sciences Ltd.</t>
  </si>
  <si>
    <t>NSE:RPGLIFE</t>
  </si>
  <si>
    <t>INE105J01010</t>
  </si>
  <si>
    <t>Supriya Lifescience Ltd.</t>
  </si>
  <si>
    <t>NSE:SUPRIYA</t>
  </si>
  <si>
    <t>INE07RO01027</t>
  </si>
  <si>
    <t>Savita Oil Technologies Ltd.</t>
  </si>
  <si>
    <t>NSE:SOTL</t>
  </si>
  <si>
    <t>INE035D01020</t>
  </si>
  <si>
    <t>Sadhana Nitro Chem Ltd.</t>
  </si>
  <si>
    <t>NSE:SADHNANIQ</t>
  </si>
  <si>
    <t>INE888C01040</t>
  </si>
  <si>
    <t>Media Matrix Worldwide Ltd.</t>
  </si>
  <si>
    <t>NSE:MMWL</t>
  </si>
  <si>
    <t>INE200D01020</t>
  </si>
  <si>
    <t>Morepen Laboratories Ltd.</t>
  </si>
  <si>
    <t>NSE:MOREPENLAB</t>
  </si>
  <si>
    <t>INE083A01026</t>
  </si>
  <si>
    <t>Camlin Fine Sciences Ltd.</t>
  </si>
  <si>
    <t>NSE:CAMLINFINE</t>
  </si>
  <si>
    <t>INE052I01032</t>
  </si>
  <si>
    <t>Foseco India Ltd.</t>
  </si>
  <si>
    <t>NSE:FOSECOIND</t>
  </si>
  <si>
    <t>INE519A01011</t>
  </si>
  <si>
    <t>Andhra Paper Ltd.</t>
  </si>
  <si>
    <t>NSE:ANDHRAPAP</t>
  </si>
  <si>
    <t>INE435A01028</t>
  </si>
  <si>
    <t>Bharat Bijlee Ltd.</t>
  </si>
  <si>
    <t>NSE:BBL</t>
  </si>
  <si>
    <t>INE464A01028</t>
  </si>
  <si>
    <t>Orient Green Power Company Ltd.</t>
  </si>
  <si>
    <t>NSE:GREENPOWER</t>
  </si>
  <si>
    <t>INE999K01014</t>
  </si>
  <si>
    <t>Precision Camshafts Ltd.</t>
  </si>
  <si>
    <t>NSE:PRECAM</t>
  </si>
  <si>
    <t>INE484I01029</t>
  </si>
  <si>
    <t>India Glycols Ltd.</t>
  </si>
  <si>
    <t>NSE:INDIAGLYCO</t>
  </si>
  <si>
    <t>INE560A01015</t>
  </si>
  <si>
    <t>Huhtamaki India Ltd.</t>
  </si>
  <si>
    <t>NSE:HUHTAMAKI</t>
  </si>
  <si>
    <t>INE275B01026</t>
  </si>
  <si>
    <t>Pitti Engineering Ltd.</t>
  </si>
  <si>
    <t>NSE:PITTIENG</t>
  </si>
  <si>
    <t>INE450D01021</t>
  </si>
  <si>
    <t>Heritage Foods Ltd.</t>
  </si>
  <si>
    <t>INE978A01027</t>
  </si>
  <si>
    <t>Krsnaa Diagnostics Ltd.</t>
  </si>
  <si>
    <t>NSE:KRSNAA</t>
  </si>
  <si>
    <t>INE08LI01020</t>
  </si>
  <si>
    <t>RPSG Ventures Ltd.</t>
  </si>
  <si>
    <t>NSE:RPSGVENT</t>
  </si>
  <si>
    <t>INE425Y01011</t>
  </si>
  <si>
    <t>Som Distilleries &amp; Breweries Ltd.</t>
  </si>
  <si>
    <t>INE480C01020</t>
  </si>
  <si>
    <t>Vidhi Specialty Food Ingredients Ltd.</t>
  </si>
  <si>
    <t>NSE:VIDHIING</t>
  </si>
  <si>
    <t>INE632C01026</t>
  </si>
  <si>
    <t>HIL Ltd.</t>
  </si>
  <si>
    <t>NSE:HIL</t>
  </si>
  <si>
    <t>INE557A01011</t>
  </si>
  <si>
    <t>Filatex India Ltd.</t>
  </si>
  <si>
    <t>NSE:FILATEX</t>
  </si>
  <si>
    <t>INE816B01035</t>
  </si>
  <si>
    <t>Alembic Ltd.</t>
  </si>
  <si>
    <t>INE426A01027</t>
  </si>
  <si>
    <t>PTC India Financial Services Ltd.</t>
  </si>
  <si>
    <t>NSE:PFS</t>
  </si>
  <si>
    <t>INE560K01014</t>
  </si>
  <si>
    <t>Welspun Specialty Solutions Ltd.</t>
  </si>
  <si>
    <t>NSE:REMIMETAL</t>
  </si>
  <si>
    <t>INE731F01037</t>
  </si>
  <si>
    <t>Ganesha Ecosphere Ltd.</t>
  </si>
  <si>
    <t>NSE:GANECOS</t>
  </si>
  <si>
    <t>INE845D01014</t>
  </si>
  <si>
    <t>Thejo Engineering Ltd.</t>
  </si>
  <si>
    <t>NSE:THEJO</t>
  </si>
  <si>
    <t>INE121N01019</t>
  </si>
  <si>
    <t>Rupa &amp; Company Ltd.</t>
  </si>
  <si>
    <t>NSE:RUPA</t>
  </si>
  <si>
    <t>INE895B01021</t>
  </si>
  <si>
    <t>Hindustan Oil Exploration Company Ltd.</t>
  </si>
  <si>
    <t>NSE:HINDOILEXP</t>
  </si>
  <si>
    <t>INE345A01011</t>
  </si>
  <si>
    <t>Piccadily Agro Industries Ltd.</t>
  </si>
  <si>
    <t>NSE:PICCADIL</t>
  </si>
  <si>
    <t>INE546C01010</t>
  </si>
  <si>
    <t>Sirca Paints India Ltd.</t>
  </si>
  <si>
    <t>NSE:SIRCA</t>
  </si>
  <si>
    <t>INE792Z01011</t>
  </si>
  <si>
    <t>Seshasayee Paper &amp; Boards Ltd.</t>
  </si>
  <si>
    <t>NSE:SESHAPAPER</t>
  </si>
  <si>
    <t>INE630A01024</t>
  </si>
  <si>
    <t>Federal-Mogul Goetze (India) Ltd.</t>
  </si>
  <si>
    <t>NSE:FMGOETZE</t>
  </si>
  <si>
    <t>INE529A01010</t>
  </si>
  <si>
    <t>Best Agrolife Ltd.</t>
  </si>
  <si>
    <t>NSE:BESTAGRO</t>
  </si>
  <si>
    <t>INE052T01013</t>
  </si>
  <si>
    <t>Jagran Prakashan Ltd.</t>
  </si>
  <si>
    <t>NSE:JAGRAN</t>
  </si>
  <si>
    <t>INE199G01027</t>
  </si>
  <si>
    <t>M M Forgings Ltd.</t>
  </si>
  <si>
    <t>NSE:MMFL</t>
  </si>
  <si>
    <t>INE227C01017</t>
  </si>
  <si>
    <t>Agro Tech Foods Ltd.</t>
  </si>
  <si>
    <t>NSE:ATFL</t>
  </si>
  <si>
    <t>INE209A01019</t>
  </si>
  <si>
    <t>AXISCADES Technologies Ltd.</t>
  </si>
  <si>
    <t>INE555B01013</t>
  </si>
  <si>
    <t>SG Finserve Ltd.</t>
  </si>
  <si>
    <t>NSE:MOONGIPASEC</t>
  </si>
  <si>
    <t>INE618R01015</t>
  </si>
  <si>
    <t>Precision Wires India Ltd.</t>
  </si>
  <si>
    <t>INE372C01037</t>
  </si>
  <si>
    <t>Accelya Solutions India Ltd.</t>
  </si>
  <si>
    <t>INE793A01012</t>
  </si>
  <si>
    <t>Kalyani Steels Ltd.</t>
  </si>
  <si>
    <t>INE907A01026</t>
  </si>
  <si>
    <t>Ador Welding Ltd.</t>
  </si>
  <si>
    <t>NSE:ADORWELD</t>
  </si>
  <si>
    <t>INE045A01017</t>
  </si>
  <si>
    <t>TCPL Packaging Ltd.</t>
  </si>
  <si>
    <t>NSE:TCPLPACK</t>
  </si>
  <si>
    <t>INE822C01015</t>
  </si>
  <si>
    <t>Thirumalai Chemicals Ltd.</t>
  </si>
  <si>
    <t>NSE:TIRUMALCHM</t>
  </si>
  <si>
    <t>INE338A01024</t>
  </si>
  <si>
    <t>Inox Green Energy Services Ltd.</t>
  </si>
  <si>
    <t>NSE:INOXGREEN</t>
  </si>
  <si>
    <t>INE510W01014</t>
  </si>
  <si>
    <t>Yatra Online Ltd.</t>
  </si>
  <si>
    <t>NSE:YATRA</t>
  </si>
  <si>
    <t>INE0JR601024</t>
  </si>
  <si>
    <t>Vishnu Chemicals Ltd.</t>
  </si>
  <si>
    <t>NSE:VISHNU</t>
  </si>
  <si>
    <t>INE270I01022</t>
  </si>
  <si>
    <t>Oriental Hotels Ltd.</t>
  </si>
  <si>
    <t>INE750A01020</t>
  </si>
  <si>
    <t>Ddev Plastiks Industries Ltd.</t>
  </si>
  <si>
    <t>NSE:543547</t>
  </si>
  <si>
    <t>INE0HR601026</t>
  </si>
  <si>
    <t>Nitin Spinners Ltd.</t>
  </si>
  <si>
    <t>NSE:NITINSPIN</t>
  </si>
  <si>
    <t>INE229H01012</t>
  </si>
  <si>
    <t>Aeroflex Industries Ltd.</t>
  </si>
  <si>
    <t>NSE:AEROFLEX</t>
  </si>
  <si>
    <t>INE024001021</t>
  </si>
  <si>
    <t>SML Isuzu Ltd.</t>
  </si>
  <si>
    <t>INE294B01019</t>
  </si>
  <si>
    <t>GTPL Hathway Ltd.</t>
  </si>
  <si>
    <t>NSE:GTPL</t>
  </si>
  <si>
    <t>INE869I01013</t>
  </si>
  <si>
    <t>Expleo Solutions Ltd.</t>
  </si>
  <si>
    <t>NSE:EXPLEOSOL</t>
  </si>
  <si>
    <t>INE201K01015</t>
  </si>
  <si>
    <t>Disa India Ltd.</t>
  </si>
  <si>
    <t>NSE:GEORGFISCH</t>
  </si>
  <si>
    <t>INE131C01011</t>
  </si>
  <si>
    <t>Shriram Properties Ltd.</t>
  </si>
  <si>
    <t>NSE:SHRIRAMPPS</t>
  </si>
  <si>
    <t>INE217L01019</t>
  </si>
  <si>
    <t>Rishabh Instruments Ltd.</t>
  </si>
  <si>
    <t>NSE:RISHABH</t>
  </si>
  <si>
    <t>INE0N2P01017</t>
  </si>
  <si>
    <t>Mahanagar Telephone Nigam Ltd.</t>
  </si>
  <si>
    <t>NSE:MTNL</t>
  </si>
  <si>
    <t>INE153A01019</t>
  </si>
  <si>
    <t>Shilchar Technologies Ltd.</t>
  </si>
  <si>
    <t>NSE:SHILCTECH</t>
  </si>
  <si>
    <t>INE024F01011</t>
  </si>
  <si>
    <t>IRM Energy Ltd.</t>
  </si>
  <si>
    <t>NSE:IRMENERGY</t>
  </si>
  <si>
    <t>INE07U701015</t>
  </si>
  <si>
    <t>India Power Corporation Ltd.</t>
  </si>
  <si>
    <t>NSE:DPSCLTD</t>
  </si>
  <si>
    <t>INE360C01024</t>
  </si>
  <si>
    <t>Vakrangee Ltd.</t>
  </si>
  <si>
    <t>NSE:VAKRANGEE</t>
  </si>
  <si>
    <t>INE051B01021</t>
  </si>
  <si>
    <t>Insecticides (India) Ltd.</t>
  </si>
  <si>
    <t>NSE:INSECTICID</t>
  </si>
  <si>
    <t>INE070I01018</t>
  </si>
  <si>
    <t>Pix Transmissions Ltd.</t>
  </si>
  <si>
    <t>NSE:PIXTRANS</t>
  </si>
  <si>
    <t>INE751B01018</t>
  </si>
  <si>
    <t>Bharat Wire Ropes Ltd.</t>
  </si>
  <si>
    <t>NSE:BHARATWIRE</t>
  </si>
  <si>
    <t>INE316L01019</t>
  </si>
  <si>
    <t>Deccan Gold Mines Ltd.</t>
  </si>
  <si>
    <t>NSE:DECNGOLD</t>
  </si>
  <si>
    <t>INE945F01025</t>
  </si>
  <si>
    <t>Rama Steel Tubes Ltd.</t>
  </si>
  <si>
    <t>NSE:RAMASTEEL</t>
  </si>
  <si>
    <t>INE230R01035</t>
  </si>
  <si>
    <t>KCP Ltd.</t>
  </si>
  <si>
    <t>NSE:KCP</t>
  </si>
  <si>
    <t>INE805C01028</t>
  </si>
  <si>
    <t>SJS Enterprises Ltd.</t>
  </si>
  <si>
    <t>NSE:SJS</t>
  </si>
  <si>
    <t>INE284S01014</t>
  </si>
  <si>
    <t>Indraprastha Medical Corporation Ltd.</t>
  </si>
  <si>
    <t>NSE:INDRAMEDCO</t>
  </si>
  <si>
    <t>INE681B01017</t>
  </si>
  <si>
    <t>Veranda Learning Solutions Ltd.</t>
  </si>
  <si>
    <t>NSE:VERANDA</t>
  </si>
  <si>
    <t>INE0IQ001011</t>
  </si>
  <si>
    <t>IT Training Services</t>
  </si>
  <si>
    <t>TTK Healthcare Ltd.</t>
  </si>
  <si>
    <t>NSE:TTKHLTCARE</t>
  </si>
  <si>
    <t>INE910C01018</t>
  </si>
  <si>
    <t>BF Investment Ltd.</t>
  </si>
  <si>
    <t>INE878K01010</t>
  </si>
  <si>
    <t>Capacit'e Infraprojects Ltd.</t>
  </si>
  <si>
    <t>INE264T01014</t>
  </si>
  <si>
    <t>Arvind SmartSpaces Ltd.</t>
  </si>
  <si>
    <t>NSE:ARVSMART</t>
  </si>
  <si>
    <t>INE034S01021</t>
  </si>
  <si>
    <t>Uttam Sugar Mills Ltd.</t>
  </si>
  <si>
    <t>INE786F01031</t>
  </si>
  <si>
    <t>Shakti Pumps (India) Ltd.</t>
  </si>
  <si>
    <t>NSE:SHAKTIPUMP</t>
  </si>
  <si>
    <t>INE908D01010</t>
  </si>
  <si>
    <t>Meghmani Organics Ltd.</t>
  </si>
  <si>
    <t>NSE:MOL</t>
  </si>
  <si>
    <t>INE0CT101020</t>
  </si>
  <si>
    <t>Jyoti Resins &amp; Adhesives Ltd.</t>
  </si>
  <si>
    <t>NSE:JYOTIRES</t>
  </si>
  <si>
    <t>INE577D01013</t>
  </si>
  <si>
    <t>Cantabil Retail India Ltd.</t>
  </si>
  <si>
    <t>NSE:CANTABIL</t>
  </si>
  <si>
    <t>INE068L01024</t>
  </si>
  <si>
    <t>Quick Heal Technologies Ltd.</t>
  </si>
  <si>
    <t>NSE:QUICKHEAL</t>
  </si>
  <si>
    <t>INE306L01010</t>
  </si>
  <si>
    <t>Panama Petrochem Ltd.</t>
  </si>
  <si>
    <t>NSE:PANAMAPET</t>
  </si>
  <si>
    <t>INE305C01029</t>
  </si>
  <si>
    <t>Sangam (India) Ltd.</t>
  </si>
  <si>
    <t>NSE:SANGAMIND</t>
  </si>
  <si>
    <t>INE495C01010</t>
  </si>
  <si>
    <t>Xpro India Ltd.</t>
  </si>
  <si>
    <t>NSE:XPROINDIA</t>
  </si>
  <si>
    <t>INE445C01015</t>
  </si>
  <si>
    <t>Gokul Agro Resources Ltd.</t>
  </si>
  <si>
    <t>NSE:GOKULAGRO</t>
  </si>
  <si>
    <t>INE314T01025</t>
  </si>
  <si>
    <t>Talbros Automotive Components Ltd.</t>
  </si>
  <si>
    <t>NSE:TALBROAUTO</t>
  </si>
  <si>
    <t>INE187D01029</t>
  </si>
  <si>
    <t>Centum Electronics Ltd.</t>
  </si>
  <si>
    <t>INE320B01020</t>
  </si>
  <si>
    <t>Arman Financial Services Ltd.</t>
  </si>
  <si>
    <t>NSE:ARMANFIN</t>
  </si>
  <si>
    <t>INE109C01017</t>
  </si>
  <si>
    <t>Udaipur Cement Works Ltd.</t>
  </si>
  <si>
    <t>NSE:UDAICEMENT</t>
  </si>
  <si>
    <t>INE225C01029</t>
  </si>
  <si>
    <t>Ramco Industries Ltd.</t>
  </si>
  <si>
    <t>NSE:RAMCOIND</t>
  </si>
  <si>
    <t>INE614A01028</t>
  </si>
  <si>
    <t>Construction Materials</t>
  </si>
  <si>
    <t>Rossell India Ltd.</t>
  </si>
  <si>
    <t>INE847C01020</t>
  </si>
  <si>
    <t>Tamil Nadu Newsprint And Papers Ltd.</t>
  </si>
  <si>
    <t>INE107A01015</t>
  </si>
  <si>
    <t>Sical Logistics Ltd.</t>
  </si>
  <si>
    <t>NSE:SICALLOG</t>
  </si>
  <si>
    <t>INE075B01020</t>
  </si>
  <si>
    <t>Butterfly Gandhimathi Appliances Ltd.</t>
  </si>
  <si>
    <t>NSE:BUTTERFLY</t>
  </si>
  <si>
    <t>INE295F01017</t>
  </si>
  <si>
    <t>Paushak Ltd.</t>
  </si>
  <si>
    <t>NSE:PAUSHAKLTD</t>
  </si>
  <si>
    <t>INE111F01016</t>
  </si>
  <si>
    <t>Hariom Pipe Industries Ltd.</t>
  </si>
  <si>
    <t>NSE:HARIOMPIPE</t>
  </si>
  <si>
    <t>INE00EV01017</t>
  </si>
  <si>
    <t>Suven Life Sciences Ltd.</t>
  </si>
  <si>
    <t>NSE:SUVEN</t>
  </si>
  <si>
    <t>INE495B01038</t>
  </si>
  <si>
    <t>Timex Group India Ltd.</t>
  </si>
  <si>
    <t>NSE:TIMEXWATCH</t>
  </si>
  <si>
    <t>INE064A01026</t>
  </si>
  <si>
    <t>Goldiam International Ltd.</t>
  </si>
  <si>
    <t>NSE:GOLDIAM</t>
  </si>
  <si>
    <t>INE025B01025</t>
  </si>
  <si>
    <t>Yasho Industries Ltd.</t>
  </si>
  <si>
    <t>NSE:YASHO</t>
  </si>
  <si>
    <t>INE616Z01012</t>
  </si>
  <si>
    <t>Subex Ltd.</t>
  </si>
  <si>
    <t>NSE:SUBEXLTD</t>
  </si>
  <si>
    <t>INE754A01055</t>
  </si>
  <si>
    <t>Dhampur Sugar Mills Ltd.</t>
  </si>
  <si>
    <t>NSE:DHAMPURSUG</t>
  </si>
  <si>
    <t>INE041A01016</t>
  </si>
  <si>
    <t>Vardhman Special Steels Ltd.</t>
  </si>
  <si>
    <t>INE050M01012</t>
  </si>
  <si>
    <t>Everest Industries Ltd.</t>
  </si>
  <si>
    <t>NSE:EVERESTIND</t>
  </si>
  <si>
    <t>INE295A01018</t>
  </si>
  <si>
    <t>GNA Axles Ltd.</t>
  </si>
  <si>
    <t>NSE:GNA</t>
  </si>
  <si>
    <t>INE934S01014</t>
  </si>
  <si>
    <t>Allcargo Gati Ltd.</t>
  </si>
  <si>
    <t>NSE:ACLGATI</t>
  </si>
  <si>
    <t>INE152B01027</t>
  </si>
  <si>
    <t>Rane Holdings Ltd.</t>
  </si>
  <si>
    <t>INE384A01010</t>
  </si>
  <si>
    <t>Mercury Ev-Tech Ltd.</t>
  </si>
  <si>
    <t>NSE:MERCURY</t>
  </si>
  <si>
    <t>INE763M01028</t>
  </si>
  <si>
    <t>Universal Cables Ltd.</t>
  </si>
  <si>
    <t>NSE:UNIVCABLES</t>
  </si>
  <si>
    <t>INE279A01012</t>
  </si>
  <si>
    <t>Updater Services Ltd.</t>
  </si>
  <si>
    <t>NSE:UDS</t>
  </si>
  <si>
    <t>INE851I01011</t>
  </si>
  <si>
    <t>Mufin Green Finance Ltd.</t>
  </si>
  <si>
    <t>NSE:MUFIN</t>
  </si>
  <si>
    <t>INE08KJ01020</t>
  </si>
  <si>
    <t>Manoj Vaibhav Gems N Jewellers Ltd.</t>
  </si>
  <si>
    <t>NSE:MVGJL</t>
  </si>
  <si>
    <t>INE0KNT01012</t>
  </si>
  <si>
    <t>Jash Engineering Ltd.</t>
  </si>
  <si>
    <t>NSE:JASH</t>
  </si>
  <si>
    <t>INE039O01011</t>
  </si>
  <si>
    <t>Vadilal Industries Ltd.</t>
  </si>
  <si>
    <t>NSE:VADILALIND</t>
  </si>
  <si>
    <t>INE694D01016</t>
  </si>
  <si>
    <t>Spectrum Electrical Industries Ltd.</t>
  </si>
  <si>
    <t>NSE:SPECTRUM</t>
  </si>
  <si>
    <t>INE01EO01010</t>
  </si>
  <si>
    <t>Novartis India Ltd.</t>
  </si>
  <si>
    <t>NSE:NOVARTIND</t>
  </si>
  <si>
    <t>INE234A01025</t>
  </si>
  <si>
    <t>Nelco Ltd.</t>
  </si>
  <si>
    <t>NSE:NELCO</t>
  </si>
  <si>
    <t>INE045B01015</t>
  </si>
  <si>
    <t>IT Networking Equipment</t>
  </si>
  <si>
    <t>Hardware Technology &amp; Equipment</t>
  </si>
  <si>
    <t>Amrutanjan Health Care Ltd.</t>
  </si>
  <si>
    <t>NSE:AMRUTANJAN</t>
  </si>
  <si>
    <t>INE098F01031</t>
  </si>
  <si>
    <t>Shalimar Paints Ltd.</t>
  </si>
  <si>
    <t>NSE:SHALPAINTS</t>
  </si>
  <si>
    <t>INE849C01026</t>
  </si>
  <si>
    <t>PNB Gilts Ltd.</t>
  </si>
  <si>
    <t>NSE:PNBGILTS</t>
  </si>
  <si>
    <t>INE859A01011</t>
  </si>
  <si>
    <t>Atul Auto Ltd.</t>
  </si>
  <si>
    <t>NSE:ATULAUTO</t>
  </si>
  <si>
    <t>INE951D01028</t>
  </si>
  <si>
    <t>Igarashi Motors India Ltd.</t>
  </si>
  <si>
    <t>INE188B01013</t>
  </si>
  <si>
    <t>Lancer Container Lines Ltd.</t>
  </si>
  <si>
    <t>NSE:LANCER</t>
  </si>
  <si>
    <t>INE359U01028</t>
  </si>
  <si>
    <t>Deep Industries Ltd.</t>
  </si>
  <si>
    <t>INE0FHS01024</t>
  </si>
  <si>
    <t>Oil Equipment &amp; Services</t>
  </si>
  <si>
    <t>Dwarikesh Sugar Industries Ltd.</t>
  </si>
  <si>
    <t>NSE:DWARKESH</t>
  </si>
  <si>
    <t>INE366A01041</t>
  </si>
  <si>
    <t>Paramount Communications Ltd.</t>
  </si>
  <si>
    <t>INE074B01023</t>
  </si>
  <si>
    <t>Sasken Technologies Ltd.</t>
  </si>
  <si>
    <t>INE231F01020</t>
  </si>
  <si>
    <t>Wheels India Ltd.</t>
  </si>
  <si>
    <t>NSE:WHEELS</t>
  </si>
  <si>
    <t>INE715A01015</t>
  </si>
  <si>
    <t>Suryoday Small Finance Bank Ltd.</t>
  </si>
  <si>
    <t>NSE:SURYODAY</t>
  </si>
  <si>
    <t>INE428Q01011</t>
  </si>
  <si>
    <t>Vascon Engineers Ltd.</t>
  </si>
  <si>
    <t>INE893I01013</t>
  </si>
  <si>
    <t>Themis Medicare Ltd.</t>
  </si>
  <si>
    <t>NSE:THEMISMED</t>
  </si>
  <si>
    <t>INE083B01024</t>
  </si>
  <si>
    <t>Monarch Networth Capital Ltd.</t>
  </si>
  <si>
    <t>NSE:MONARCH</t>
  </si>
  <si>
    <t>INE903D01011</t>
  </si>
  <si>
    <t>Salasar Techno Engineering Ltd.</t>
  </si>
  <si>
    <t>NSE:SALASAR</t>
  </si>
  <si>
    <t>INE170V01027</t>
  </si>
  <si>
    <t>Shankara Building Products Ltd.</t>
  </si>
  <si>
    <t>NSE:SHANKARA</t>
  </si>
  <si>
    <t>INE274V01019</t>
  </si>
  <si>
    <t>Reliance Industrial InfraStructure Ltd.</t>
  </si>
  <si>
    <t>NSE:RIIL</t>
  </si>
  <si>
    <t>INE046A01015</t>
  </si>
  <si>
    <t>Jeena Sikho Lifecare Ltd.</t>
  </si>
  <si>
    <t>NSE:JSLL</t>
  </si>
  <si>
    <t>INE0J5801011</t>
  </si>
  <si>
    <t>Servotech Power Systems Ltd.</t>
  </si>
  <si>
    <t>NSE:SERVOTECH</t>
  </si>
  <si>
    <t>INE782X01033</t>
  </si>
  <si>
    <t>Nalwa Sons Investments Ltd.</t>
  </si>
  <si>
    <t>NSE:NSIL</t>
  </si>
  <si>
    <t>INE023A01030</t>
  </si>
  <si>
    <t>Abans Holdings Ltd.</t>
  </si>
  <si>
    <t>NSE:AHL</t>
  </si>
  <si>
    <t>INE00ZE01026</t>
  </si>
  <si>
    <t>Avadh Sugar &amp; Energy Ltd.</t>
  </si>
  <si>
    <t>NSE:AVADHSUGAR</t>
  </si>
  <si>
    <t>INE349W01017</t>
  </si>
  <si>
    <t>Himatsingka Seide Ltd.</t>
  </si>
  <si>
    <t>NSE:HIMATSEIDE</t>
  </si>
  <si>
    <t>INE049A01027</t>
  </si>
  <si>
    <t>Bhagiradha Chemicals &amp; Industries Ltd.</t>
  </si>
  <si>
    <t>NSE:BHAGCHEM</t>
  </si>
  <si>
    <t>INE414D01019</t>
  </si>
  <si>
    <t>Cosmo First Ltd.</t>
  </si>
  <si>
    <t>NSE:COSMOFIRST</t>
  </si>
  <si>
    <t>INE757A01017</t>
  </si>
  <si>
    <t>MosChip Technologies Ltd.</t>
  </si>
  <si>
    <t>NSE:MOSCHIP</t>
  </si>
  <si>
    <t>INE935B01025</t>
  </si>
  <si>
    <t>Pokarna Ltd.</t>
  </si>
  <si>
    <t>NSE:POKARNA</t>
  </si>
  <si>
    <t>INE637C01025</t>
  </si>
  <si>
    <t>Pennar Industries Ltd.</t>
  </si>
  <si>
    <t>INE932A01024</t>
  </si>
  <si>
    <t>Geojit Financial Services Ltd.</t>
  </si>
  <si>
    <t>NSE:GEOJITFSL</t>
  </si>
  <si>
    <t>INE007B01023</t>
  </si>
  <si>
    <t>Mishtann Foods Ltd.</t>
  </si>
  <si>
    <t>NSE:MISHTANN</t>
  </si>
  <si>
    <t>INE094S01041</t>
  </si>
  <si>
    <t>Sigachi Industries Ltd.</t>
  </si>
  <si>
    <t>NSE:SIGACHI</t>
  </si>
  <si>
    <t>INE0D0K01022</t>
  </si>
  <si>
    <t>Stove Kraft Ltd.</t>
  </si>
  <si>
    <t>NSE:STOVEKRAFT</t>
  </si>
  <si>
    <t>INE00IN01015</t>
  </si>
  <si>
    <t>Unitech Ltd.</t>
  </si>
  <si>
    <t>NSE:UNITECH</t>
  </si>
  <si>
    <t>INE694A01020</t>
  </si>
  <si>
    <t>5Paisa Capital Ltd.</t>
  </si>
  <si>
    <t>NSE:5PAISA</t>
  </si>
  <si>
    <t>INE618L01018</t>
  </si>
  <si>
    <t>GVK Power &amp; Infrastructure Ltd.</t>
  </si>
  <si>
    <t>NSE:GVKPIL</t>
  </si>
  <si>
    <t>INE251H01024</t>
  </si>
  <si>
    <t>Raghav Productivity Enhancers Ltd.</t>
  </si>
  <si>
    <t>NSE:RRML</t>
  </si>
  <si>
    <t>INE912T01018</t>
  </si>
  <si>
    <t>Ajmera Realty &amp; Infra India Ltd.</t>
  </si>
  <si>
    <t>INE298G01027</t>
  </si>
  <si>
    <t>Elpro International Ltd.</t>
  </si>
  <si>
    <t>NSE:ELPROINTL</t>
  </si>
  <si>
    <t>INE579B01039</t>
  </si>
  <si>
    <t>Genesys International Corporation Ltd.</t>
  </si>
  <si>
    <t>NSE:GENESYS</t>
  </si>
  <si>
    <t>INE727B01026</t>
  </si>
  <si>
    <t>Peninsula Land Ltd.</t>
  </si>
  <si>
    <t>INE138A01028</t>
  </si>
  <si>
    <t>Kokuyo Camlin Ltd.</t>
  </si>
  <si>
    <t>INE760A01029</t>
  </si>
  <si>
    <t>Anzen India Energy Yield Plus Trust</t>
  </si>
  <si>
    <t>NSE:ANZEN</t>
  </si>
  <si>
    <t>INE0MIZ23019</t>
  </si>
  <si>
    <t>K&amp;R Rail Engineering Ltd.</t>
  </si>
  <si>
    <t>NSE:AXIS</t>
  </si>
  <si>
    <t>INE078T01026</t>
  </si>
  <si>
    <t>S P Apparels Ltd.</t>
  </si>
  <si>
    <t>NSE:SPAL</t>
  </si>
  <si>
    <t>INE212I01016</t>
  </si>
  <si>
    <t>Summit Securities Ltd.</t>
  </si>
  <si>
    <t>NSE:SUMMITSEC</t>
  </si>
  <si>
    <t>INE519C01017</t>
  </si>
  <si>
    <t>HLV Ltd.</t>
  </si>
  <si>
    <t>NSE:HLVLTD</t>
  </si>
  <si>
    <t>INE102A01024</t>
  </si>
  <si>
    <t>NIIT Ltd.</t>
  </si>
  <si>
    <t>NSE:NIITLTD</t>
  </si>
  <si>
    <t>INE161A01038</t>
  </si>
  <si>
    <t>Premier Explosives Ltd.</t>
  </si>
  <si>
    <t>NSE:PREMEXPLN</t>
  </si>
  <si>
    <t>INE863B01011</t>
  </si>
  <si>
    <t>Andrew Yule &amp; Company Ltd.</t>
  </si>
  <si>
    <t>NSE:ANDREWYU</t>
  </si>
  <si>
    <t>INE449C01025</t>
  </si>
  <si>
    <t>Praveg Ltd.</t>
  </si>
  <si>
    <t>NSE:SWORDNSH</t>
  </si>
  <si>
    <t>INE722B01019</t>
  </si>
  <si>
    <t>Advertising &amp; Media</t>
  </si>
  <si>
    <t>Fairchem Organics Ltd.</t>
  </si>
  <si>
    <t>NSE:FAIRCHEMOR</t>
  </si>
  <si>
    <t>INE0DNW01011</t>
  </si>
  <si>
    <t>DCW Ltd.</t>
  </si>
  <si>
    <t>NSE:DCW</t>
  </si>
  <si>
    <t>INE500A01029</t>
  </si>
  <si>
    <t>Kiri Industries Ltd.</t>
  </si>
  <si>
    <t>NSE:KIRIINDUS</t>
  </si>
  <si>
    <t>INE415I01015</t>
  </si>
  <si>
    <t>Punjab Chemicals and Crop Protection Ltd.</t>
  </si>
  <si>
    <t>NSE:PUNJABCHEM</t>
  </si>
  <si>
    <t>INE277B01014</t>
  </si>
  <si>
    <t>Knowledge Marine &amp; Engineering Works Ltd.</t>
  </si>
  <si>
    <t>NSE:13521079</t>
  </si>
  <si>
    <t>INE0CJD01011</t>
  </si>
  <si>
    <t>Hi-Tech Pipes Ltd.</t>
  </si>
  <si>
    <t>INE106T01025</t>
  </si>
  <si>
    <t>GE Power India Ltd.</t>
  </si>
  <si>
    <t>NSE:GEPIL</t>
  </si>
  <si>
    <t>INE878A01011</t>
  </si>
  <si>
    <t>Ritesh Properties &amp; Industries Ltd.</t>
  </si>
  <si>
    <t>NSE:RPIL</t>
  </si>
  <si>
    <t>INE299D01022</t>
  </si>
  <si>
    <t>BCL Industries Ltd.</t>
  </si>
  <si>
    <t>NSE:BCLIND</t>
  </si>
  <si>
    <t>INE412G01024</t>
  </si>
  <si>
    <t>Shaily Engineering Plastics Ltd.</t>
  </si>
  <si>
    <t>NSE:SHAILY</t>
  </si>
  <si>
    <t>INE151G01028</t>
  </si>
  <si>
    <t>Nelcast Ltd.</t>
  </si>
  <si>
    <t>NSE:NELCAST</t>
  </si>
  <si>
    <t>INE189I01024</t>
  </si>
  <si>
    <t>Everest Kanto Cylinder Ltd.</t>
  </si>
  <si>
    <t>NSE:EKC</t>
  </si>
  <si>
    <t>INE184H01027</t>
  </si>
  <si>
    <t>The Andhra Sugars Ltd.</t>
  </si>
  <si>
    <t>NSE:ANDHRSUGAR</t>
  </si>
  <si>
    <t>INE715B01021</t>
  </si>
  <si>
    <t>Raj Rayon Industries Ltd.</t>
  </si>
  <si>
    <t>NSE:RAJRILTD</t>
  </si>
  <si>
    <t>INE533D01032</t>
  </si>
  <si>
    <t>NACL Industries Ltd.</t>
  </si>
  <si>
    <t>NSE:NACLIND</t>
  </si>
  <si>
    <t>INE295D01020</t>
  </si>
  <si>
    <t>Omaxe Ltd.</t>
  </si>
  <si>
    <t>NSE:OMAXE</t>
  </si>
  <si>
    <t>INE800H01010</t>
  </si>
  <si>
    <t>John Cockerill India Ltd.</t>
  </si>
  <si>
    <t>NSE:FLATPROD</t>
  </si>
  <si>
    <t>INE515A01019</t>
  </si>
  <si>
    <t>Southern Petrochemicals Industries Corporation Ltd.</t>
  </si>
  <si>
    <t>NSE:SPIC</t>
  </si>
  <si>
    <t>INE147A01011</t>
  </si>
  <si>
    <t>Blue Cloud Softech Solutions Ltd.</t>
  </si>
  <si>
    <t>NSE:BLUECLOUDS</t>
  </si>
  <si>
    <t>INE373T01039</t>
  </si>
  <si>
    <t>Aptech Ltd.</t>
  </si>
  <si>
    <t>NSE:APTECHT</t>
  </si>
  <si>
    <t>INE266F01018</t>
  </si>
  <si>
    <t>Bliss GVS Pharma Ltd.</t>
  </si>
  <si>
    <t>NSE:BLISSGVS</t>
  </si>
  <si>
    <t>INE416D01022</t>
  </si>
  <si>
    <t>Kuantum Papers Ltd.</t>
  </si>
  <si>
    <t>NSE:KUANTUM</t>
  </si>
  <si>
    <t>INE529I01021</t>
  </si>
  <si>
    <t>Polo Queen Industrial and Fintech Ltd.</t>
  </si>
  <si>
    <t>NSE:PQIF</t>
  </si>
  <si>
    <t>INE689M01025</t>
  </si>
  <si>
    <t>Kabra Extrusion Technik Ltd.</t>
  </si>
  <si>
    <t>NSE:KABRAEXTRU</t>
  </si>
  <si>
    <t>INE900B01029</t>
  </si>
  <si>
    <t>Man Industries (India) Ltd.</t>
  </si>
  <si>
    <t>INE993A01026</t>
  </si>
  <si>
    <t>Sastasundar Ventures Ltd.</t>
  </si>
  <si>
    <t>NSE:SASTASUNDR</t>
  </si>
  <si>
    <t>INE019J01013</t>
  </si>
  <si>
    <t>New Delhi Television Ltd.</t>
  </si>
  <si>
    <t>NSE:NDTV</t>
  </si>
  <si>
    <t>INE155G01029</t>
  </si>
  <si>
    <t>B L Kashyap &amp; Sons Ltd.</t>
  </si>
  <si>
    <t>INE350H01032</t>
  </si>
  <si>
    <t>Dredging Corporation Of India Ltd.</t>
  </si>
  <si>
    <t>INE506A01018</t>
  </si>
  <si>
    <t>EFC (I) Ltd.</t>
  </si>
  <si>
    <t>NSE:AMANITRA</t>
  </si>
  <si>
    <t>INE886D01026</t>
  </si>
  <si>
    <t>Asian Star Company Ltd.</t>
  </si>
  <si>
    <t>NSE:ASTAR</t>
  </si>
  <si>
    <t>INE194D01017</t>
  </si>
  <si>
    <t>Krishana Phoschem Ltd.</t>
  </si>
  <si>
    <t>NSE:KRISHANA</t>
  </si>
  <si>
    <t>INE506W01012</t>
  </si>
  <si>
    <t>Agarwal Industrial Corporation Ltd.</t>
  </si>
  <si>
    <t>INE204E01012</t>
  </si>
  <si>
    <t>JITF Infralogistics Ltd.</t>
  </si>
  <si>
    <t>NSE:JITFINFRA</t>
  </si>
  <si>
    <t>INE863T01013</t>
  </si>
  <si>
    <t>Hardwyn India Ltd.</t>
  </si>
  <si>
    <t>NSE:HARDWYN</t>
  </si>
  <si>
    <t>INE626Z01029</t>
  </si>
  <si>
    <t>Monte Carlo Fashions Ltd.</t>
  </si>
  <si>
    <t>NSE:MONTECARLO</t>
  </si>
  <si>
    <t>INE950M01013</t>
  </si>
  <si>
    <t>DCM Shriram Industries Ltd.</t>
  </si>
  <si>
    <t>NSE:DCMSRIND</t>
  </si>
  <si>
    <t>INE843D01027</t>
  </si>
  <si>
    <t>Kalyani Investment Company Ltd.</t>
  </si>
  <si>
    <t>NSE:KICL</t>
  </si>
  <si>
    <t>INE029L01018</t>
  </si>
  <si>
    <t>Navkar Corporation Ltd.</t>
  </si>
  <si>
    <t>NSE:NAVKARCORP</t>
  </si>
  <si>
    <t>INE278M01019</t>
  </si>
  <si>
    <t>Network People Services Technologies Ltd.</t>
  </si>
  <si>
    <t>NSE:NPST</t>
  </si>
  <si>
    <t>INE0FFK01017</t>
  </si>
  <si>
    <t>Wardwizard Innovations &amp; Mobility Ltd.</t>
  </si>
  <si>
    <t>NSE:MANVIJAY</t>
  </si>
  <si>
    <t>INE945P01024</t>
  </si>
  <si>
    <t>Heranba Industries Ltd.</t>
  </si>
  <si>
    <t>NSE:HERANBA</t>
  </si>
  <si>
    <t>INE694N01015</t>
  </si>
  <si>
    <t>GTL Infrastructure Ltd.</t>
  </si>
  <si>
    <t>NSE:GTLINFRA</t>
  </si>
  <si>
    <t>INE221H01019</t>
  </si>
  <si>
    <t>Gujarat Themis Biosyn Ltd.</t>
  </si>
  <si>
    <t>NSE:GUJTHEMIS</t>
  </si>
  <si>
    <t>INE942C01045</t>
  </si>
  <si>
    <t>Control Print Ltd.</t>
  </si>
  <si>
    <t>NSE:CONTROLPR</t>
  </si>
  <si>
    <t>INE663B01015</t>
  </si>
  <si>
    <t>Commodity Printing/Stationery</t>
  </si>
  <si>
    <t>I G Petrochemicals Ltd.</t>
  </si>
  <si>
    <t>NSE:IGPL</t>
  </si>
  <si>
    <t>INE204A01010</t>
  </si>
  <si>
    <t>Taj GVK Hotels &amp; Resorts Ltd.</t>
  </si>
  <si>
    <t>NSE:TAJGVK</t>
  </si>
  <si>
    <t>INE586B01026</t>
  </si>
  <si>
    <t>Kitex Garments Ltd.</t>
  </si>
  <si>
    <t>NSE:KITEX</t>
  </si>
  <si>
    <t>INE602G01020</t>
  </si>
  <si>
    <t>Madras Fertilizers Ltd.</t>
  </si>
  <si>
    <t>NSE:MADRASFERT</t>
  </si>
  <si>
    <t>INE414A01015</t>
  </si>
  <si>
    <t>Spacenet Enterprises India Ltd.</t>
  </si>
  <si>
    <t>INE970N01027</t>
  </si>
  <si>
    <t>Lincoln Pharmaceuticals Ltd.</t>
  </si>
  <si>
    <t>NSE:LINCOLN</t>
  </si>
  <si>
    <t>INE405C01035</t>
  </si>
  <si>
    <t>Insolation Energy Ltd</t>
  </si>
  <si>
    <t>NSE:17155224</t>
  </si>
  <si>
    <t>INE0LGX01016</t>
  </si>
  <si>
    <t>Mangalam Cement Ltd.</t>
  </si>
  <si>
    <t>NSE:MANGLMCEM</t>
  </si>
  <si>
    <t>INE347A01017</t>
  </si>
  <si>
    <t>Mangalore Chemicals &amp; Fertilizers Ltd.</t>
  </si>
  <si>
    <t>NSE:MANGCHEFER</t>
  </si>
  <si>
    <t>INE558B01017</t>
  </si>
  <si>
    <t>Antony Waste Handling Cell Ltd.</t>
  </si>
  <si>
    <t>NSE:AWHCL</t>
  </si>
  <si>
    <t>INE01BK01022</t>
  </si>
  <si>
    <t>Rane (Madras) Ltd.</t>
  </si>
  <si>
    <t>NSE:RML</t>
  </si>
  <si>
    <t>INE050H01012</t>
  </si>
  <si>
    <t>Gulshan Polyols Ltd.</t>
  </si>
  <si>
    <t>NSE:GULPOLY</t>
  </si>
  <si>
    <t>INE255D01024</t>
  </si>
  <si>
    <t>Indian Hume Pipe Company Ltd.</t>
  </si>
  <si>
    <t>NSE:INDIANHUME</t>
  </si>
  <si>
    <t>INE323C01030</t>
  </si>
  <si>
    <t>AVT Natural Products Ltd.</t>
  </si>
  <si>
    <t>NSE:AVTNPL</t>
  </si>
  <si>
    <t>INE488D01021</t>
  </si>
  <si>
    <t>Alicon Castalloy Ltd.</t>
  </si>
  <si>
    <t>NSE:ALICON</t>
  </si>
  <si>
    <t>INE062D01024</t>
  </si>
  <si>
    <t>EIH Associated Hotels Ltd.</t>
  </si>
  <si>
    <t>NSE:EIHAHOTELS</t>
  </si>
  <si>
    <t>INE276C01014</t>
  </si>
  <si>
    <t>D P Abhushan Ltd.</t>
  </si>
  <si>
    <t>NSE:DPABHUSHAN</t>
  </si>
  <si>
    <t>INE266Y01019</t>
  </si>
  <si>
    <t>HPL Electric &amp; Power Ltd.</t>
  </si>
  <si>
    <t>NSE:HPL</t>
  </si>
  <si>
    <t>INE495S01016</t>
  </si>
  <si>
    <t>Shree Digvijay Cement Company Ltd.</t>
  </si>
  <si>
    <t>INE232A01011</t>
  </si>
  <si>
    <t>PC Jeweller Ltd.</t>
  </si>
  <si>
    <t>NSE:PCJEWELLER</t>
  </si>
  <si>
    <t>INE785M01013</t>
  </si>
  <si>
    <t>Indo Rama Synthetics (India) Ltd.</t>
  </si>
  <si>
    <t>NSE:INDORAMA</t>
  </si>
  <si>
    <t>INE156A01020</t>
  </si>
  <si>
    <t>KMC Speciality Hospitals (India) Ltd.</t>
  </si>
  <si>
    <t>NSE:KMCSHIL</t>
  </si>
  <si>
    <t>INE879K01018</t>
  </si>
  <si>
    <t>Sat Industries Ltd.</t>
  </si>
  <si>
    <t>NSE:SATINDLTD</t>
  </si>
  <si>
    <t>INE065D01027</t>
  </si>
  <si>
    <t>BMW Industries Ltd.</t>
  </si>
  <si>
    <t>NSE:13520889</t>
  </si>
  <si>
    <t>INE374E01021</t>
  </si>
  <si>
    <t>Racl Geartech Ltd.</t>
  </si>
  <si>
    <t>NSE:RACLGEAR</t>
  </si>
  <si>
    <t>INE704B01017</t>
  </si>
  <si>
    <t>Onward Technologies Ltd.</t>
  </si>
  <si>
    <t>INE229A01017</t>
  </si>
  <si>
    <t>Heubach Colorants India Ltd.</t>
  </si>
  <si>
    <t>NSE:HEUBACHIND</t>
  </si>
  <si>
    <t>INE492A01029</t>
  </si>
  <si>
    <t>Dr. Agarwal's Eye Hospital Ltd.</t>
  </si>
  <si>
    <t>NSE:DRAGARWQ</t>
  </si>
  <si>
    <t>INE934C01018</t>
  </si>
  <si>
    <t>Permanent Magnets Ltd.</t>
  </si>
  <si>
    <t>NSE:PERMAGNET</t>
  </si>
  <si>
    <t>INE418E01018</t>
  </si>
  <si>
    <t>Texmaco Infrastructure &amp; Holdings Ltd.</t>
  </si>
  <si>
    <t>NSE:TEXINFRA</t>
  </si>
  <si>
    <t>INE435C01024</t>
  </si>
  <si>
    <t>Valiant Organics Ltd.</t>
  </si>
  <si>
    <t>NSE:VALIANTORG</t>
  </si>
  <si>
    <t>INE565V01010</t>
  </si>
  <si>
    <t>Roto Pumps Ltd.</t>
  </si>
  <si>
    <t>NSE:ROTO</t>
  </si>
  <si>
    <t>INE535D01029</t>
  </si>
  <si>
    <t>Ksolves India Ltd.</t>
  </si>
  <si>
    <t>NSE:KSOLVES</t>
  </si>
  <si>
    <t>INE0D6I01015</t>
  </si>
  <si>
    <t>Kopran Ltd.</t>
  </si>
  <si>
    <t>NSE:KOPRAN</t>
  </si>
  <si>
    <t>INE082A01010</t>
  </si>
  <si>
    <t>Hester Biosciences Ltd.</t>
  </si>
  <si>
    <t>NSE:HESTERBIO</t>
  </si>
  <si>
    <t>INE782E01017</t>
  </si>
  <si>
    <t>TV Today Network Ltd.</t>
  </si>
  <si>
    <t>NSE:TVTODAY</t>
  </si>
  <si>
    <t>INE038F01029</t>
  </si>
  <si>
    <t>India Motor Parts &amp; Accessories Ltd.</t>
  </si>
  <si>
    <t>NSE:IMPAL</t>
  </si>
  <si>
    <t>INE547E01014</t>
  </si>
  <si>
    <t>Beekay Steel Industries Ltd.</t>
  </si>
  <si>
    <t>NSE:BEEKAY</t>
  </si>
  <si>
    <t>INE213D01015</t>
  </si>
  <si>
    <t>Steel Cast Ltd.</t>
  </si>
  <si>
    <t>NSE:STEELCAS</t>
  </si>
  <si>
    <t>INE124E01020</t>
  </si>
  <si>
    <t>Allcargo Terminals Ltd.</t>
  </si>
  <si>
    <t>NSE:ATL</t>
  </si>
  <si>
    <t>INE0NN701020</t>
  </si>
  <si>
    <t>Rico Auto Industries Ltd.</t>
  </si>
  <si>
    <t>INE209B01025</t>
  </si>
  <si>
    <t>Sterling Tools Ltd.</t>
  </si>
  <si>
    <t>INE334A01023</t>
  </si>
  <si>
    <t>K P Energy Ltd.</t>
  </si>
  <si>
    <t>NSE:KPEL</t>
  </si>
  <si>
    <t>INE127T01021</t>
  </si>
  <si>
    <t>Ram Ratna Wires Ltd.</t>
  </si>
  <si>
    <t>NSE:RAMRAT</t>
  </si>
  <si>
    <t>INE207E01023</t>
  </si>
  <si>
    <t>Sky Gold Ltd.</t>
  </si>
  <si>
    <t>NSE:SKYGOLD</t>
  </si>
  <si>
    <t>INE01IU01018</t>
  </si>
  <si>
    <t>Focus Lighting and Fixtures Ltd.</t>
  </si>
  <si>
    <t>NSE:FOCUS</t>
  </si>
  <si>
    <t>INE593W01028</t>
  </si>
  <si>
    <t>Solara Active Pharma Sciences Ltd.</t>
  </si>
  <si>
    <t>NSE:SOLARA</t>
  </si>
  <si>
    <t>INE624Z01016</t>
  </si>
  <si>
    <t>Primo Chemicals Ltd.</t>
  </si>
  <si>
    <t>NSE:PUNALKALI</t>
  </si>
  <si>
    <t>INE607A01022</t>
  </si>
  <si>
    <t>NGL Fine - Chem Ltd.</t>
  </si>
  <si>
    <t>NSE:NGLFINE</t>
  </si>
  <si>
    <t>INE887E01022</t>
  </si>
  <si>
    <t>Chaman Lal Setia Exports Ltd.</t>
  </si>
  <si>
    <t>NSE:CLSEL</t>
  </si>
  <si>
    <t>INE419D01026</t>
  </si>
  <si>
    <t>G M Breweries Ltd.</t>
  </si>
  <si>
    <t>NSE:GMBREW</t>
  </si>
  <si>
    <t>INE075D01018</t>
  </si>
  <si>
    <t>Refex Industries Ltd.</t>
  </si>
  <si>
    <t>INE056I01017</t>
  </si>
  <si>
    <t>Matrimony.com Ltd.</t>
  </si>
  <si>
    <t>NSE:MATRIMONY</t>
  </si>
  <si>
    <t>INE866R01028</t>
  </si>
  <si>
    <t>Zota Healthcare Ltd.</t>
  </si>
  <si>
    <t>INE358U01012</t>
  </si>
  <si>
    <t>Dhunseri Ventures Ltd.</t>
  </si>
  <si>
    <t>INE477B01010</t>
  </si>
  <si>
    <t>Axtel Industries Ltd.</t>
  </si>
  <si>
    <t>NSE:AXTEL</t>
  </si>
  <si>
    <t>INE767C01012</t>
  </si>
  <si>
    <t>Centrum Capital Ltd.</t>
  </si>
  <si>
    <t>NSE:CENTRUM</t>
  </si>
  <si>
    <t>INE660C01027</t>
  </si>
  <si>
    <t>Tuticorin Alkali Chemicals &amp; Fertilizers Ltd.</t>
  </si>
  <si>
    <t>NSE:TUTICORALK</t>
  </si>
  <si>
    <t>INE400A01014</t>
  </si>
  <si>
    <t>Marine Electricals (India) Ltd.</t>
  </si>
  <si>
    <t>NSE:MARINE</t>
  </si>
  <si>
    <t>INE01JE01028</t>
  </si>
  <si>
    <t>Oriental Aromatics Ltd.</t>
  </si>
  <si>
    <t>NSE:OAL</t>
  </si>
  <si>
    <t>INE959C01023</t>
  </si>
  <si>
    <t>Hercules Hoists Ltd.</t>
  </si>
  <si>
    <t>INE688E01024</t>
  </si>
  <si>
    <t>AGS Transact Technologies Ltd.</t>
  </si>
  <si>
    <t>NSE:AGSTRA</t>
  </si>
  <si>
    <t>INE583L01014</t>
  </si>
  <si>
    <t>Repro India Ltd.</t>
  </si>
  <si>
    <t>INE461B01014</t>
  </si>
  <si>
    <t>Steel Exchange India Ltd.</t>
  </si>
  <si>
    <t>NSE:STEELXIND</t>
  </si>
  <si>
    <t>INE503B01021</t>
  </si>
  <si>
    <t>Sanmit Infra Ltd.</t>
  </si>
  <si>
    <t>NSE:SANINFRA</t>
  </si>
  <si>
    <t>INE799C01031</t>
  </si>
  <si>
    <t>Jay Bharat Maruti Ltd.</t>
  </si>
  <si>
    <t>INE571B01036</t>
  </si>
  <si>
    <t>Satia Industries Ltd.</t>
  </si>
  <si>
    <t>NSE:SATIA</t>
  </si>
  <si>
    <t>INE170E01023</t>
  </si>
  <si>
    <t>Innovana Thinklabs Ltd.</t>
  </si>
  <si>
    <t>NSE:INNOVANA</t>
  </si>
  <si>
    <t>INE403Y01018</t>
  </si>
  <si>
    <t>Giriraj Civil Developers Ltd.</t>
  </si>
  <si>
    <t>NSE:GIRIRAJ</t>
  </si>
  <si>
    <t>INE614Z01017</t>
  </si>
  <si>
    <t>M K Proteins Ltd.</t>
  </si>
  <si>
    <t>NSE:MKPL</t>
  </si>
  <si>
    <t>INE964W01021</t>
  </si>
  <si>
    <t>OnMobile Global Ltd.</t>
  </si>
  <si>
    <t>NSE:ONMOBILE</t>
  </si>
  <si>
    <t>INE809I01019</t>
  </si>
  <si>
    <t>Nahar Spinning Mills Ltd.</t>
  </si>
  <si>
    <t>NSE:NAHARSPING</t>
  </si>
  <si>
    <t>INE290A01027</t>
  </si>
  <si>
    <t>Beta Drugs Ltd.</t>
  </si>
  <si>
    <t>NSE:BETA</t>
  </si>
  <si>
    <t>INE351Y01019</t>
  </si>
  <si>
    <t>Faze Three Ltd.</t>
  </si>
  <si>
    <t>NSE:FAZE3Q</t>
  </si>
  <si>
    <t>INE963C01033</t>
  </si>
  <si>
    <t>EKI Energy Services Ltd.</t>
  </si>
  <si>
    <t>NSE:16691671</t>
  </si>
  <si>
    <t>INE0CPR01018</t>
  </si>
  <si>
    <t>Manali Petrochemicals Ltd.</t>
  </si>
  <si>
    <t>NSE:MANALIPETC</t>
  </si>
  <si>
    <t>INE201A01024</t>
  </si>
  <si>
    <t>D-Link (India) Ltd.</t>
  </si>
  <si>
    <t>NSE:DLINKINDIA</t>
  </si>
  <si>
    <t>INE250K01012</t>
  </si>
  <si>
    <t>Bigbloc Construction Ltd.</t>
  </si>
  <si>
    <t>NSE:BIGBLOC</t>
  </si>
  <si>
    <t>INE412U01025</t>
  </si>
  <si>
    <t>Transindia Real Estate Ltd.</t>
  </si>
  <si>
    <t>NSE:TREL</t>
  </si>
  <si>
    <t>INE0O3901029</t>
  </si>
  <si>
    <t>GRM Overseas Ltd.</t>
  </si>
  <si>
    <t>NSE:GRMOVER</t>
  </si>
  <si>
    <t>INE192H01020</t>
  </si>
  <si>
    <t>Likhitha Infrastructure Ltd.</t>
  </si>
  <si>
    <t>NSE:LIKHITHA</t>
  </si>
  <si>
    <t>INE060901027</t>
  </si>
  <si>
    <t>Arihant Superstructures Ltd.</t>
  </si>
  <si>
    <t>INE643K01018</t>
  </si>
  <si>
    <t>Sutlej Textiles &amp; Industries Ltd.</t>
  </si>
  <si>
    <t>NSE:SUTLEJTEX</t>
  </si>
  <si>
    <t>INE645H01027</t>
  </si>
  <si>
    <t>Ganesh Benzoplast Ltd.</t>
  </si>
  <si>
    <t>NSE:GANESHBE</t>
  </si>
  <si>
    <t>INE388A01029</t>
  </si>
  <si>
    <t>India Nippon Electricals Ltd.</t>
  </si>
  <si>
    <t>NSE:INDNIPPON</t>
  </si>
  <si>
    <t>INE092B01025</t>
  </si>
  <si>
    <t>Dolat Algotech Ltd.</t>
  </si>
  <si>
    <t>NSE:DOLATALGO</t>
  </si>
  <si>
    <t>INE966A01022</t>
  </si>
  <si>
    <t>Om Infra Ltd.</t>
  </si>
  <si>
    <t>NSE:OMINFRAL</t>
  </si>
  <si>
    <t>INE239D01028</t>
  </si>
  <si>
    <t>Jyoti Structures Ltd.</t>
  </si>
  <si>
    <t>NSE:JYOTISTRUC</t>
  </si>
  <si>
    <t>INE197A01024</t>
  </si>
  <si>
    <t>Magadh Sugar &amp; Energy Ltd.</t>
  </si>
  <si>
    <t>NSE:MAGADSUGAR</t>
  </si>
  <si>
    <t>INE347W01011</t>
  </si>
  <si>
    <t>Cupid Ltd.</t>
  </si>
  <si>
    <t>NSE:CUPID</t>
  </si>
  <si>
    <t>INE509F01011</t>
  </si>
  <si>
    <t>GIC Housing Finance Ltd.</t>
  </si>
  <si>
    <t>NSE:GICHSGFIN</t>
  </si>
  <si>
    <t>INE289B01019</t>
  </si>
  <si>
    <t>Dhampur Bio Organics Ltd.</t>
  </si>
  <si>
    <t>NSE:DBOL</t>
  </si>
  <si>
    <t>INE0I3401014</t>
  </si>
  <si>
    <t>Ultramarine &amp; Pigments Ltd.</t>
  </si>
  <si>
    <t>NSE:ULTRMARINE</t>
  </si>
  <si>
    <t>INE405A01021</t>
  </si>
  <si>
    <t>Syncom Formulation (India) Ltd.</t>
  </si>
  <si>
    <t>NSE:SYNCOMF</t>
  </si>
  <si>
    <t>INE312C01025</t>
  </si>
  <si>
    <t>Vasa Denticity Ltd.</t>
  </si>
  <si>
    <t>NSE:DENTALKART</t>
  </si>
  <si>
    <t>INE0N5801013</t>
  </si>
  <si>
    <t>Creative Newtech Ltd.</t>
  </si>
  <si>
    <t>NSE:CREATIVE</t>
  </si>
  <si>
    <t>INE985W01018</t>
  </si>
  <si>
    <t>GFL Ltd.</t>
  </si>
  <si>
    <t>NSE:GFLLIMITED</t>
  </si>
  <si>
    <t>INE538A01037</t>
  </si>
  <si>
    <t>Rajoo Engineers Ltd.</t>
  </si>
  <si>
    <t>NSE:RAJOOENG</t>
  </si>
  <si>
    <t>INE535F01024</t>
  </si>
  <si>
    <t>Forbes &amp; Company Ltd.</t>
  </si>
  <si>
    <t>NSE:FORBESGOK</t>
  </si>
  <si>
    <t>INE518A01013</t>
  </si>
  <si>
    <t>Hind Rectifiers Ltd.</t>
  </si>
  <si>
    <t>NSE:HIRECT</t>
  </si>
  <si>
    <t>INE835D01023</t>
  </si>
  <si>
    <t>Saint-Gobain Sekurit India Ltd.</t>
  </si>
  <si>
    <t>NSE:SAINTGOBAIN</t>
  </si>
  <si>
    <t>INE068B01017</t>
  </si>
  <si>
    <t>Jagsonpal Pharmaceuticals Ltd.</t>
  </si>
  <si>
    <t>NSE:JAGSNPHARM</t>
  </si>
  <si>
    <t>INE048B01027</t>
  </si>
  <si>
    <t>Excel Industries Ltd.</t>
  </si>
  <si>
    <t>NSE:EXCELINDUS</t>
  </si>
  <si>
    <t>INE369A01029</t>
  </si>
  <si>
    <t>TGV SRAAC Ltd.</t>
  </si>
  <si>
    <t>NSE:SREERAYALK</t>
  </si>
  <si>
    <t>INE284B01028</t>
  </si>
  <si>
    <t>Shivalik Rasayan Ltd.</t>
  </si>
  <si>
    <t>NSE:SHIVALIK</t>
  </si>
  <si>
    <t>INE788J01021</t>
  </si>
  <si>
    <t>Xchanging Solutions Ltd.</t>
  </si>
  <si>
    <t>NSE:XCHANGING</t>
  </si>
  <si>
    <t>INE692G01013</t>
  </si>
  <si>
    <t>Uniphos Enterprises Ltd.</t>
  </si>
  <si>
    <t>NSE:UNIENTER</t>
  </si>
  <si>
    <t>INE037A01022</t>
  </si>
  <si>
    <t>Bajaj Healthcare Ltd.</t>
  </si>
  <si>
    <t>NSE:BAJAJHCARE</t>
  </si>
  <si>
    <t>INE411U01027</t>
  </si>
  <si>
    <t>Kilburn Engineering Ltd.</t>
  </si>
  <si>
    <t>NSE:KILBUNENGG</t>
  </si>
  <si>
    <t>INE338F01015</t>
  </si>
  <si>
    <t>SMC Global Securities Ltd.</t>
  </si>
  <si>
    <t>NSE:SMCGLOBAL</t>
  </si>
  <si>
    <t>INE103C01036</t>
  </si>
  <si>
    <t>Linc Ltd.</t>
  </si>
  <si>
    <t>NSE:LINC</t>
  </si>
  <si>
    <t>INE802B01019</t>
  </si>
  <si>
    <t>Panacea Biotec Ltd.</t>
  </si>
  <si>
    <t>NSE:PANACEABIO</t>
  </si>
  <si>
    <t>INE922B01023</t>
  </si>
  <si>
    <t>Shanti Educational Initiatives Ltd.</t>
  </si>
  <si>
    <t>NSE:SEIL</t>
  </si>
  <si>
    <t>INE440T01028</t>
  </si>
  <si>
    <t>Tinna Rubber and Infrastructure Ltd.</t>
  </si>
  <si>
    <t>NSE:TINNARUBR</t>
  </si>
  <si>
    <t>INE015C01016</t>
  </si>
  <si>
    <t>Prakash Pipes Ltd.</t>
  </si>
  <si>
    <t>NSE:PPL</t>
  </si>
  <si>
    <t>INE050001010</t>
  </si>
  <si>
    <t>Eimco Elecon (India) Ltd.</t>
  </si>
  <si>
    <t>NSE:EIMCOELECO</t>
  </si>
  <si>
    <t>INE158B01016</t>
  </si>
  <si>
    <t>Cressanda Solutions Ltd.</t>
  </si>
  <si>
    <t>NSE:CRESSAN</t>
  </si>
  <si>
    <t>INE716D01033</t>
  </si>
  <si>
    <t>Suyog Telematics Ltd.</t>
  </si>
  <si>
    <t>NSE:SUYOG</t>
  </si>
  <si>
    <t>INE442P01014</t>
  </si>
  <si>
    <t>Saurashtra Cements Ltd.</t>
  </si>
  <si>
    <t>NSE:SAURASHCEM</t>
  </si>
  <si>
    <t>INE626A01014</t>
  </si>
  <si>
    <t>Capital India Finance Ltd.</t>
  </si>
  <si>
    <t>NSE:BHILTEX</t>
  </si>
  <si>
    <t>INE345H01016</t>
  </si>
  <si>
    <t>Mafatlal Industries Ltd.</t>
  </si>
  <si>
    <t>NSE:MAFATLAIND</t>
  </si>
  <si>
    <t>INE270B01035</t>
  </si>
  <si>
    <t>SMS Pharmaceuticals Ltd.</t>
  </si>
  <si>
    <t>NSE:SMSPHARMA</t>
  </si>
  <si>
    <t>INE812G01025</t>
  </si>
  <si>
    <t>Shiva Cement Ltd.</t>
  </si>
  <si>
    <t>NSE:SHIVACEM</t>
  </si>
  <si>
    <t>INE555C01029</t>
  </si>
  <si>
    <t>Kamdhenu Ventures Ltd.</t>
  </si>
  <si>
    <t>NSE:KAMOPAINTS</t>
  </si>
  <si>
    <t>INE0BTI01029</t>
  </si>
  <si>
    <t>NCL Industries Ltd.</t>
  </si>
  <si>
    <t>NSE:NCLIND</t>
  </si>
  <si>
    <t>INE732C01016</t>
  </si>
  <si>
    <t>SKM Egg Products Export (India) Ltd.</t>
  </si>
  <si>
    <t>NSE:SKMEGGPROD</t>
  </si>
  <si>
    <t>INE411D01015</t>
  </si>
  <si>
    <t>Sportking India Ltd.</t>
  </si>
  <si>
    <t>NSE:SPORTKING</t>
  </si>
  <si>
    <t>INE885H01011</t>
  </si>
  <si>
    <t>Master Trust Ltd.</t>
  </si>
  <si>
    <t>NSE:MASTERTR</t>
  </si>
  <si>
    <t>INE677D01029</t>
  </si>
  <si>
    <t>Ugar Sugar Works Ltd.</t>
  </si>
  <si>
    <t>NSE:UGARSUGAR</t>
  </si>
  <si>
    <t>INE071E01023</t>
  </si>
  <si>
    <t>Enkei Wheels (India) Ltd.</t>
  </si>
  <si>
    <t>NSE:ENKEIWHEL</t>
  </si>
  <si>
    <t>INE130L01014</t>
  </si>
  <si>
    <t>Veritas (India) Ltd.</t>
  </si>
  <si>
    <t>NSE:VERITAS</t>
  </si>
  <si>
    <t>INE379J01029</t>
  </si>
  <si>
    <t>Transpek Industry Ltd.</t>
  </si>
  <si>
    <t>NSE:TRANSPEK</t>
  </si>
  <si>
    <t>INE687A01016</t>
  </si>
  <si>
    <t>Ramco Systems Ltd.</t>
  </si>
  <si>
    <t>NSE:RAMCOSYS</t>
  </si>
  <si>
    <t>INE246B01019</t>
  </si>
  <si>
    <t>InfoBeans Technologies Ltd.</t>
  </si>
  <si>
    <t>NSE:INFOBEAN</t>
  </si>
  <si>
    <t>INE344S01016</t>
  </si>
  <si>
    <t>One Point One Solutions Ltd.</t>
  </si>
  <si>
    <t>INE840Y01029</t>
  </si>
  <si>
    <t>D P Wires Ltd.</t>
  </si>
  <si>
    <t>NSE:DPWIRES</t>
  </si>
  <si>
    <t>INE864X01013</t>
  </si>
  <si>
    <t>Rushil Decor Ltd.</t>
  </si>
  <si>
    <t>NSE:RUSHIL</t>
  </si>
  <si>
    <t>INE573K01017</t>
  </si>
  <si>
    <t>Bodal Chemicals Ltd.</t>
  </si>
  <si>
    <t>NSE:BODALCHEM</t>
  </si>
  <si>
    <t>INE338D01028</t>
  </si>
  <si>
    <t>E2E Networks Ltd.</t>
  </si>
  <si>
    <t>NSE:E2E</t>
  </si>
  <si>
    <t>INE255Z01019</t>
  </si>
  <si>
    <t>Tourism Finance Corporation of India Ltd.</t>
  </si>
  <si>
    <t>NSE:TFCILTD</t>
  </si>
  <si>
    <t>INE305A01015</t>
  </si>
  <si>
    <t>Chemcon Speciality Chemicals Ltd.</t>
  </si>
  <si>
    <t>NSE:CHEMCON</t>
  </si>
  <si>
    <t>INE03YM01018</t>
  </si>
  <si>
    <t>TAAL Enterprises Ltd.</t>
  </si>
  <si>
    <t>NSE:TAALENT</t>
  </si>
  <si>
    <t>INE524T01011</t>
  </si>
  <si>
    <t>Jagatjit Industries Ltd.</t>
  </si>
  <si>
    <t>NSE:JAGAJITIND</t>
  </si>
  <si>
    <t>INE574A01016</t>
  </si>
  <si>
    <t>Kothari Petrochemicals Ltd.</t>
  </si>
  <si>
    <t>NSE:KOTHARIPET</t>
  </si>
  <si>
    <t>INE720A01015</t>
  </si>
  <si>
    <t>RSWM Ltd.</t>
  </si>
  <si>
    <t>NSE:RSWM</t>
  </si>
  <si>
    <t>INE611A01016</t>
  </si>
  <si>
    <t>Jubilant Industries Ltd.</t>
  </si>
  <si>
    <t>NSE:JUBLINDS</t>
  </si>
  <si>
    <t>INE645L01011</t>
  </si>
  <si>
    <t>Balmer Lawrie Investments Ltd.</t>
  </si>
  <si>
    <t>NSE:BLIL</t>
  </si>
  <si>
    <t>INE525F01017</t>
  </si>
  <si>
    <t>Snowman Logistics Ltd.</t>
  </si>
  <si>
    <t>INE734N01019</t>
  </si>
  <si>
    <t>Vardhman Holdings Ltd.</t>
  </si>
  <si>
    <t>NSE:VHL</t>
  </si>
  <si>
    <t>INE701A01023</t>
  </si>
  <si>
    <t>Coffee Day Enterprises Ltd.</t>
  </si>
  <si>
    <t>NSE:COFFEEDAY</t>
  </si>
  <si>
    <t>INE335K01011</t>
  </si>
  <si>
    <t>Allsec Technologies Ltd.</t>
  </si>
  <si>
    <t>INE835G01018</t>
  </si>
  <si>
    <t>CSL Finance Ltd.</t>
  </si>
  <si>
    <t>NSE:CSLFINANCE</t>
  </si>
  <si>
    <t>INE718F01018</t>
  </si>
  <si>
    <t>Integra Engineering India Ltd.</t>
  </si>
  <si>
    <t>NSE:INTEGRAEN</t>
  </si>
  <si>
    <t>INE984B01023</t>
  </si>
  <si>
    <t>GKW Ltd.</t>
  </si>
  <si>
    <t>NSE:GKWLIMITED</t>
  </si>
  <si>
    <t>INE528A01020</t>
  </si>
  <si>
    <t>Renaissance Global Ltd.</t>
  </si>
  <si>
    <t>NSE:RGL</t>
  </si>
  <si>
    <t>INE722H01024</t>
  </si>
  <si>
    <t>Pakka Ltd.</t>
  </si>
  <si>
    <t>NSE:PAKKA</t>
  </si>
  <si>
    <t>INE551D01018</t>
  </si>
  <si>
    <t>ICE Make Refrigeration Ltd.</t>
  </si>
  <si>
    <t>NSE:ICEMAKE</t>
  </si>
  <si>
    <t>INE520Y01019</t>
  </si>
  <si>
    <t>Ambika Cotton Mills Ltd.</t>
  </si>
  <si>
    <t>NSE:AMBIKCO</t>
  </si>
  <si>
    <t>INE540G01014</t>
  </si>
  <si>
    <t>Zee Media Corporation Ltd.</t>
  </si>
  <si>
    <t>NSE:ZEEMEDIA</t>
  </si>
  <si>
    <t>INE966H01019</t>
  </si>
  <si>
    <t>Radiant Cash Management Services Ltd.</t>
  </si>
  <si>
    <t>NSE:RADIANTCMS</t>
  </si>
  <si>
    <t>INE855R01021</t>
  </si>
  <si>
    <t>Asian Granito India Ltd.</t>
  </si>
  <si>
    <t>NSE:ASIANTILES</t>
  </si>
  <si>
    <t>INE022I01019</t>
  </si>
  <si>
    <t>Vimta Labs Ltd.</t>
  </si>
  <si>
    <t>NSE:VIMTALABS</t>
  </si>
  <si>
    <t>INE579C01029</t>
  </si>
  <si>
    <t>Remedium Lifecare Ltd.</t>
  </si>
  <si>
    <t>NSE:ROXY</t>
  </si>
  <si>
    <t>INE549S01028</t>
  </si>
  <si>
    <t>Tracxn Technologies Ltd.</t>
  </si>
  <si>
    <t>NSE:TRACXN</t>
  </si>
  <si>
    <t>INE0HMF01019</t>
  </si>
  <si>
    <t>HP Adhesives Ltd.</t>
  </si>
  <si>
    <t>NSE:HPAL</t>
  </si>
  <si>
    <t>INE0GSL01024</t>
  </si>
  <si>
    <t>Dynamic Cables Ltd.</t>
  </si>
  <si>
    <t>NSE:DYCL</t>
  </si>
  <si>
    <t>INE600Y01019</t>
  </si>
  <si>
    <t>Foods &amp; Inns Ltd.</t>
  </si>
  <si>
    <t>INE976E01023</t>
  </si>
  <si>
    <t>Morganite Crucible (India) Ltd.</t>
  </si>
  <si>
    <t>NSE:MORGANITE</t>
  </si>
  <si>
    <t>INE599F01020</t>
  </si>
  <si>
    <t>AGI Infra Ltd.</t>
  </si>
  <si>
    <t>NSE:AGIIL</t>
  </si>
  <si>
    <t>INE976R01017</t>
  </si>
  <si>
    <t>Amines &amp; Plasticizers Ltd.</t>
  </si>
  <si>
    <t>NSE:AMNPLST</t>
  </si>
  <si>
    <t>INE275D01022</t>
  </si>
  <si>
    <t>Speciality Restaurants Ltd.</t>
  </si>
  <si>
    <t>NSE:SPECIALITY</t>
  </si>
  <si>
    <t>INE247M01014</t>
  </si>
  <si>
    <t>Century Enka Ltd.</t>
  </si>
  <si>
    <t>NSE:CENTENKA</t>
  </si>
  <si>
    <t>INE485A01015</t>
  </si>
  <si>
    <t>Suratwwala Business Group Ltd.</t>
  </si>
  <si>
    <t>NSE:SBGLP</t>
  </si>
  <si>
    <t>INE05ST01010</t>
  </si>
  <si>
    <t>Sree Rayalaseema Hi-Strength Hypo Ltd.</t>
  </si>
  <si>
    <t>NSE:SRHHYPOLTD</t>
  </si>
  <si>
    <t>INE917H01012</t>
  </si>
  <si>
    <t>S Chand &amp; Company Ltd.</t>
  </si>
  <si>
    <t>NSE:SCHAND</t>
  </si>
  <si>
    <t>INE807K01035</t>
  </si>
  <si>
    <t>Benares Hotels Ltd.</t>
  </si>
  <si>
    <t>NSE:BENARAS</t>
  </si>
  <si>
    <t>INE664D01019</t>
  </si>
  <si>
    <t>Ravindra Energy Ltd.</t>
  </si>
  <si>
    <t>NSE:RAVINDT</t>
  </si>
  <si>
    <t>INE206N01018</t>
  </si>
  <si>
    <t>Gloster Ltd.</t>
  </si>
  <si>
    <t>NSE:542351</t>
  </si>
  <si>
    <t>INE350Z01018</t>
  </si>
  <si>
    <t>Jute &amp; Jute Products</t>
  </si>
  <si>
    <t>Kernex Microsystems (India) Ltd.</t>
  </si>
  <si>
    <t>NSE:KERNEX</t>
  </si>
  <si>
    <t>INE202H01019</t>
  </si>
  <si>
    <t>Consolidated Finvest &amp; Holdings Ltd.</t>
  </si>
  <si>
    <t>NSE:CONSOFINVT</t>
  </si>
  <si>
    <t>INE025A01027</t>
  </si>
  <si>
    <t>The Hi-Tech Gears Ltd.</t>
  </si>
  <si>
    <t>INE127B01011</t>
  </si>
  <si>
    <t>Bondada Engineering Ltd.</t>
  </si>
  <si>
    <t>NSE:13521165</t>
  </si>
  <si>
    <t>INE0Q8P01011</t>
  </si>
  <si>
    <t>CFF Fluid Control Ltd.</t>
  </si>
  <si>
    <t>NSE:16680072</t>
  </si>
  <si>
    <t>INE0NJ001013</t>
  </si>
  <si>
    <t>Crest Ventures Ltd.</t>
  </si>
  <si>
    <t>INE559D01011</t>
  </si>
  <si>
    <t>Automobile Corporation Of Goa Ltd.</t>
  </si>
  <si>
    <t>NSE:AUTOCORP</t>
  </si>
  <si>
    <t>INE451C01013</t>
  </si>
  <si>
    <t>De Nora India Ltd.</t>
  </si>
  <si>
    <t>NSE:DENORA</t>
  </si>
  <si>
    <t>INE244A01016</t>
  </si>
  <si>
    <t>Yuken India Ltd.</t>
  </si>
  <si>
    <t>NSE:YUKEN</t>
  </si>
  <si>
    <t>INE384C01016</t>
  </si>
  <si>
    <t>Dharmaj Crop Guard Ltd.</t>
  </si>
  <si>
    <t>NSE:DHARMAJ</t>
  </si>
  <si>
    <t>INE00OQ01016</t>
  </si>
  <si>
    <t>Entertainment Network (India) Ltd.</t>
  </si>
  <si>
    <t>NSE:ENIL</t>
  </si>
  <si>
    <t>INE265F01028</t>
  </si>
  <si>
    <t>Davangere Sugar Company Ltd.</t>
  </si>
  <si>
    <t>NSE:543267</t>
  </si>
  <si>
    <t>INE179G01011</t>
  </si>
  <si>
    <t>Manaksia Ltd.</t>
  </si>
  <si>
    <t>NSE:MANAKSIA</t>
  </si>
  <si>
    <t>INE015D01022</t>
  </si>
  <si>
    <t>NIBE Ltd.</t>
  </si>
  <si>
    <t>NSE:KFL</t>
  </si>
  <si>
    <t>INE149O01018</t>
  </si>
  <si>
    <t>Munjal Auto Industries Ltd.</t>
  </si>
  <si>
    <t>NSE:MUNJALAU</t>
  </si>
  <si>
    <t>INE672B01032</t>
  </si>
  <si>
    <t>Asian Energy Services Ltd.</t>
  </si>
  <si>
    <t>NSE:ASIANENE</t>
  </si>
  <si>
    <t>INE276G01015</t>
  </si>
  <si>
    <t>Royal Orchid Hotels Ltd.</t>
  </si>
  <si>
    <t>INE283H01019</t>
  </si>
  <si>
    <t>Andhra Cements Ltd.</t>
  </si>
  <si>
    <t>NSE:ACL</t>
  </si>
  <si>
    <t>INE666E01020</t>
  </si>
  <si>
    <t>Silver Touch Technologies Ltd.</t>
  </si>
  <si>
    <t>NSE:SILVERTUC</t>
  </si>
  <si>
    <t>INE625X01018</t>
  </si>
  <si>
    <t>MSP Steel &amp; Power Ltd.</t>
  </si>
  <si>
    <t>NSE:MSPL</t>
  </si>
  <si>
    <t>INE752G01015</t>
  </si>
  <si>
    <t>Windlas Biotech Ltd.</t>
  </si>
  <si>
    <t>INE0H5O01029</t>
  </si>
  <si>
    <t>Websol Energy Systems Ltd.</t>
  </si>
  <si>
    <t>NSE:WEBELSOLAR</t>
  </si>
  <si>
    <t>INE855C01015</t>
  </si>
  <si>
    <t>Global Surfaces Ltd.</t>
  </si>
  <si>
    <t>NSE:GSLSU</t>
  </si>
  <si>
    <t>INE0JSX01015</t>
  </si>
  <si>
    <t>Voith Paper Fabrics India Ltd.</t>
  </si>
  <si>
    <t>NSE:PORRITSPEN</t>
  </si>
  <si>
    <t>INE285C01015</t>
  </si>
  <si>
    <t>Orient Paper &amp; Industries Ltd.</t>
  </si>
  <si>
    <t>NSE:ORIENTPPR</t>
  </si>
  <si>
    <t>INE592A01026</t>
  </si>
  <si>
    <t>Taylormade Renewables Ltd.</t>
  </si>
  <si>
    <t>NSE:541228</t>
  </si>
  <si>
    <t>INE459Z01017</t>
  </si>
  <si>
    <t>NDR Auto Components Ltd.</t>
  </si>
  <si>
    <t>NSE:NDRAUTO</t>
  </si>
  <si>
    <t>INE07OG01012</t>
  </si>
  <si>
    <t>IST Ltd.</t>
  </si>
  <si>
    <t>NSE:ISTLTD</t>
  </si>
  <si>
    <t>INE684B01029</t>
  </si>
  <si>
    <t>Rajnish Wellness Ltd.</t>
  </si>
  <si>
    <t>NSE:541601</t>
  </si>
  <si>
    <t>INE685Z01033</t>
  </si>
  <si>
    <t>Hexa Tradex Ltd.</t>
  </si>
  <si>
    <t>NSE:HEXATRADEX</t>
  </si>
  <si>
    <t>INE750M01017</t>
  </si>
  <si>
    <t>Dynacons Systems &amp; Solutions Ltd.</t>
  </si>
  <si>
    <t>NSE:DSSL</t>
  </si>
  <si>
    <t>INE417B01040</t>
  </si>
  <si>
    <t>Tribhovandas Bhimji Zaveri Ltd.</t>
  </si>
  <si>
    <t>INE760L01018</t>
  </si>
  <si>
    <t>TruCap Finance Ltd.</t>
  </si>
  <si>
    <t>NSE:TRU</t>
  </si>
  <si>
    <t>INE615R01029</t>
  </si>
  <si>
    <t>Kellton Tech Solutions Ltd.</t>
  </si>
  <si>
    <t>NSE:KELLTONTEC</t>
  </si>
  <si>
    <t>INE164B01022</t>
  </si>
  <si>
    <t>Plastiblends India Ltd.</t>
  </si>
  <si>
    <t>NSE:PLASTIBLEN</t>
  </si>
  <si>
    <t>INE083C01022</t>
  </si>
  <si>
    <t>The Yamuna Syndicate Ltd.</t>
  </si>
  <si>
    <t>NSE:YAMUNA</t>
  </si>
  <si>
    <t>INE868X01014</t>
  </si>
  <si>
    <t>Walchandnagar Industries Ltd.</t>
  </si>
  <si>
    <t>NSE:WALCHANNAG</t>
  </si>
  <si>
    <t>INE711A01022</t>
  </si>
  <si>
    <t>Associated Alcohols &amp; Breweries Ltd.</t>
  </si>
  <si>
    <t>NSE:ASALCBR</t>
  </si>
  <si>
    <t>INE073G01016</t>
  </si>
  <si>
    <t>Gandhi Special Tubes Ltd.</t>
  </si>
  <si>
    <t>NSE:GANDHITUBE</t>
  </si>
  <si>
    <t>INE524B01027</t>
  </si>
  <si>
    <t>Nintec Systems Ltd.</t>
  </si>
  <si>
    <t>NSE:NINSYS</t>
  </si>
  <si>
    <t>INE395U01014</t>
  </si>
  <si>
    <t>Sakar Healthcare Ltd.</t>
  </si>
  <si>
    <t>NSE:SAKAR</t>
  </si>
  <si>
    <t>INE732S01012</t>
  </si>
  <si>
    <t>Haldyn Glass Ltd.</t>
  </si>
  <si>
    <t>NSE:HALDYNGL</t>
  </si>
  <si>
    <t>INE506D01020</t>
  </si>
  <si>
    <t>GPT Infraprojects Ltd.</t>
  </si>
  <si>
    <t>NSE:GPTINFRA</t>
  </si>
  <si>
    <t>INE390G01014</t>
  </si>
  <si>
    <t>Rajapalayam Mills Ltd.</t>
  </si>
  <si>
    <t>NSE:RAJPALAYAM</t>
  </si>
  <si>
    <t>INE296E01026</t>
  </si>
  <si>
    <t>Algoquant Fintech Ltd.</t>
  </si>
  <si>
    <t>NSE:HINDEVER</t>
  </si>
  <si>
    <t>INE598D01027</t>
  </si>
  <si>
    <t>Vishnusurya Projects And Infra Ltd.</t>
  </si>
  <si>
    <t>NSE:VISHNUINFR</t>
  </si>
  <si>
    <t>INE0PQ001012</t>
  </si>
  <si>
    <t>Remus Pharmaceuticals Ltd.</t>
  </si>
  <si>
    <t>NSE:REMUS</t>
  </si>
  <si>
    <t>INE0O5T01011</t>
  </si>
  <si>
    <t>Tamilnadu Petroproducts Ltd.</t>
  </si>
  <si>
    <t>NSE:TNPETRO</t>
  </si>
  <si>
    <t>INE148A01019</t>
  </si>
  <si>
    <t>Dhunseri Investments Ltd.</t>
  </si>
  <si>
    <t>NSE:DHUNINV</t>
  </si>
  <si>
    <t>INE320L01011</t>
  </si>
  <si>
    <t>Medicamen Biotech Ltd.</t>
  </si>
  <si>
    <t>NSE:MEDICAMEQ</t>
  </si>
  <si>
    <t>INE646B01010</t>
  </si>
  <si>
    <t>Indo Amines Ltd.</t>
  </si>
  <si>
    <t>NSE:INDOAMIN</t>
  </si>
  <si>
    <t>INE760F01028</t>
  </si>
  <si>
    <t>Anuh Pharma Ltd.</t>
  </si>
  <si>
    <t>NSE:ANUHPHR</t>
  </si>
  <si>
    <t>INE489G01022</t>
  </si>
  <si>
    <t>Birla Cable Ltd.</t>
  </si>
  <si>
    <t>NSE:BIRLACABLE</t>
  </si>
  <si>
    <t>INE800A01015</t>
  </si>
  <si>
    <t>V2 Retail Ltd.</t>
  </si>
  <si>
    <t>NSE:V2RETAIL</t>
  </si>
  <si>
    <t>INE945H01013</t>
  </si>
  <si>
    <t>Emami Paper Mills Ltd.</t>
  </si>
  <si>
    <t>NSE:EMAMIPAP</t>
  </si>
  <si>
    <t>INE830C01026</t>
  </si>
  <si>
    <t>Kirloskar Electric Company Ltd.</t>
  </si>
  <si>
    <t>INE134B01017</t>
  </si>
  <si>
    <t>Kamdhenu Ltd.</t>
  </si>
  <si>
    <t>INE390H01012</t>
  </si>
  <si>
    <t>Selan Exploration Technology Ltd.</t>
  </si>
  <si>
    <t>INE818A01017</t>
  </si>
  <si>
    <t>DMCC Speciality Chemicals Ltd.</t>
  </si>
  <si>
    <t>NSE:DMCC</t>
  </si>
  <si>
    <t>INE505A01010</t>
  </si>
  <si>
    <t>MIC Electronics Ltd.</t>
  </si>
  <si>
    <t>NSE:MICEL</t>
  </si>
  <si>
    <t>INE287C01037</t>
  </si>
  <si>
    <t>Valiant Laboratories Ltd.</t>
  </si>
  <si>
    <t>NSE:VALIANTLAB</t>
  </si>
  <si>
    <t>INE0JWS01017</t>
  </si>
  <si>
    <t>Visaka Industries Ltd.</t>
  </si>
  <si>
    <t>NSE:VISAKAIND</t>
  </si>
  <si>
    <t>INE392A01021</t>
  </si>
  <si>
    <t>Vinyl Chemicals (I) Ltd.</t>
  </si>
  <si>
    <t>NSE:VINYLINDIA</t>
  </si>
  <si>
    <t>INE250B01029</t>
  </si>
  <si>
    <t>Sandesh Ltd.</t>
  </si>
  <si>
    <t>NSE:SANDESH</t>
  </si>
  <si>
    <t>INE583B01015</t>
  </si>
  <si>
    <t>Wardwizard Foods And Beverages Ltd.</t>
  </si>
  <si>
    <t>NSE:VEGETABLE</t>
  </si>
  <si>
    <t>INE761D01021</t>
  </si>
  <si>
    <t>Eco Recycling Ltd.</t>
  </si>
  <si>
    <t>NSE:ECORECO</t>
  </si>
  <si>
    <t>INE316A01038</t>
  </si>
  <si>
    <t>Shree Ganesh Remedies Ltd.</t>
  </si>
  <si>
    <t>NSE:SGRL</t>
  </si>
  <si>
    <t>INE414Y01015</t>
  </si>
  <si>
    <t>Nicco Parks &amp; Resorts Ltd.</t>
  </si>
  <si>
    <t>NSE:NICCOPAR</t>
  </si>
  <si>
    <t>INE653C01022</t>
  </si>
  <si>
    <t>Swelect Energy Systems Ltd.</t>
  </si>
  <si>
    <t>NSE:SWELECTES</t>
  </si>
  <si>
    <t>INE409B01013</t>
  </si>
  <si>
    <t>Menon Bearings Ltd.</t>
  </si>
  <si>
    <t>INE071D01033</t>
  </si>
  <si>
    <t>Zuari Agro Chemicals Ltd.</t>
  </si>
  <si>
    <t>NSE:ZUARI</t>
  </si>
  <si>
    <t>INE840M01016</t>
  </si>
  <si>
    <t>Elin Electronics Ltd.</t>
  </si>
  <si>
    <t>NSE:ELIN</t>
  </si>
  <si>
    <t>INE050401020</t>
  </si>
  <si>
    <t>3i Infotech Ltd.</t>
  </si>
  <si>
    <t>NSE:3IINFOLTD</t>
  </si>
  <si>
    <t>INE748C01038</t>
  </si>
  <si>
    <t>Dhanlaxmi Bank Ltd.</t>
  </si>
  <si>
    <t>NSE:DHANBANK</t>
  </si>
  <si>
    <t>INE680A01011</t>
  </si>
  <si>
    <t>Oriental Carbon &amp; Chemicals Ltd.</t>
  </si>
  <si>
    <t>NSE:OCCL</t>
  </si>
  <si>
    <t>INE321D01016</t>
  </si>
  <si>
    <t>Ester Industries Ltd.</t>
  </si>
  <si>
    <t>NSE:ESTER</t>
  </si>
  <si>
    <t>INE778B01029</t>
  </si>
  <si>
    <t>Rhetan TMT Ltd.</t>
  </si>
  <si>
    <t>NSE:13560247</t>
  </si>
  <si>
    <t>INE0KKN01029</t>
  </si>
  <si>
    <t>SAR Auto Products Ltd.</t>
  </si>
  <si>
    <t>NSE:SAPL</t>
  </si>
  <si>
    <t>INE002E01010</t>
  </si>
  <si>
    <t>Jayant Agro Organics Ltd.</t>
  </si>
  <si>
    <t>INE785A01026</t>
  </si>
  <si>
    <t>State Trading Corporation Of India Ltd.</t>
  </si>
  <si>
    <t>NSE:STCINDIA</t>
  </si>
  <si>
    <t>INE655A01013</t>
  </si>
  <si>
    <t>Ruby Mills Ltd.</t>
  </si>
  <si>
    <t>NSE:RUBYMILLS</t>
  </si>
  <si>
    <t>INE301D01026</t>
  </si>
  <si>
    <t>Cheviot Company Ltd.</t>
  </si>
  <si>
    <t>NSE:CHEVIOT</t>
  </si>
  <si>
    <t>INE974B01016</t>
  </si>
  <si>
    <t>Black Rose Industries Ltd.</t>
  </si>
  <si>
    <t>NSE:BLACKROSE</t>
  </si>
  <si>
    <t>INE761G01016</t>
  </si>
  <si>
    <t>Oriental Rail Infrastructure Ltd.</t>
  </si>
  <si>
    <t>NSE:ORVENPR</t>
  </si>
  <si>
    <t>INE457G01029</t>
  </si>
  <si>
    <t>Deccan Cements Ltd.</t>
  </si>
  <si>
    <t>NSE:DECCANCE</t>
  </si>
  <si>
    <t>INE583C01021</t>
  </si>
  <si>
    <t>Vikas Lifecare Ltd.</t>
  </si>
  <si>
    <t>NSE:VIKASLIFE</t>
  </si>
  <si>
    <t>INE161L01027</t>
  </si>
  <si>
    <t>Sukhjit Starch &amp; Chemicals Ltd.</t>
  </si>
  <si>
    <t>NSE:SUKHJITS</t>
  </si>
  <si>
    <t>INE450E01011</t>
  </si>
  <si>
    <t>Pyramid Technoplast Ltd.</t>
  </si>
  <si>
    <t>NSE:PYRAMID</t>
  </si>
  <si>
    <t>INE0MIS01010</t>
  </si>
  <si>
    <t>Sreeleathers Ltd.</t>
  </si>
  <si>
    <t>NSE:SREEL</t>
  </si>
  <si>
    <t>INE099F01013</t>
  </si>
  <si>
    <t>Oriana Power Ltd.</t>
  </si>
  <si>
    <t>NSE:ORIANA</t>
  </si>
  <si>
    <t>INE0OUT01019</t>
  </si>
  <si>
    <t>Mold-Tek Technologies Ltd.</t>
  </si>
  <si>
    <t>NSE:MOLDTECH</t>
  </si>
  <si>
    <t>INE835B01035</t>
  </si>
  <si>
    <t>Arihant Capital Markets Ltd.</t>
  </si>
  <si>
    <t>NSE:ARIHANTCAP</t>
  </si>
  <si>
    <t>INE420B01036</t>
  </si>
  <si>
    <t>Artemis Electricals and Projects Ltd.</t>
  </si>
  <si>
    <t>NSE:13150269</t>
  </si>
  <si>
    <t>INE757T01025</t>
  </si>
  <si>
    <t>Nitta Gelatin India Ltd.</t>
  </si>
  <si>
    <t>NSE:KERALACHEM</t>
  </si>
  <si>
    <t>INE265B01019</t>
  </si>
  <si>
    <t>Wim Plast Ltd.</t>
  </si>
  <si>
    <t>NSE:WIMPLAST</t>
  </si>
  <si>
    <t>INE015B01018</t>
  </si>
  <si>
    <t>ZF Steering Gear (India) Ltd.</t>
  </si>
  <si>
    <t>NSE:ZFSTEERING</t>
  </si>
  <si>
    <t>INE116C01012</t>
  </si>
  <si>
    <t>Bhageria Industries Ltd.</t>
  </si>
  <si>
    <t>NSE:BHAGERIA</t>
  </si>
  <si>
    <t>INE354C01027</t>
  </si>
  <si>
    <t>Maan Aluminium Ltd.</t>
  </si>
  <si>
    <t>NSE:MAANALU</t>
  </si>
  <si>
    <t>INE215I01027</t>
  </si>
  <si>
    <t>SBC Exports Ltd.</t>
  </si>
  <si>
    <t>NSE:SBC</t>
  </si>
  <si>
    <t>INE04AK01028</t>
  </si>
  <si>
    <t>Moneyboxx Finance Ltd.</t>
  </si>
  <si>
    <t>NSE:DHANUKACOM</t>
  </si>
  <si>
    <t>INE296Q01012</t>
  </si>
  <si>
    <t>Spencers Retail Ltd.</t>
  </si>
  <si>
    <t>NSE:SPENCERS</t>
  </si>
  <si>
    <t>INE020801028</t>
  </si>
  <si>
    <t>Balaji Telefilms Ltd.</t>
  </si>
  <si>
    <t>NSE:BALAJITELE</t>
  </si>
  <si>
    <t>INE794B01026</t>
  </si>
  <si>
    <t>Industrial &amp; Prudential Investment Company Ltd.</t>
  </si>
  <si>
    <t>NSE:INDPRUD</t>
  </si>
  <si>
    <t>INE620D01011</t>
  </si>
  <si>
    <t>Khazanchi Jewellers Ltd.</t>
  </si>
  <si>
    <t>NSE:15070580</t>
  </si>
  <si>
    <t>INE0OWC01011</t>
  </si>
  <si>
    <t>Quint Digital Ltd.</t>
  </si>
  <si>
    <t>NSE:GMLM</t>
  </si>
  <si>
    <t>INE641R01017</t>
  </si>
  <si>
    <t>VLS Finance Ltd.</t>
  </si>
  <si>
    <t>INE709A01018</t>
  </si>
  <si>
    <t>Singer India Ltd.</t>
  </si>
  <si>
    <t>NSE:SINGER</t>
  </si>
  <si>
    <t>INE638A01035</t>
  </si>
  <si>
    <t>Jindal Poly Investment &amp; Finance Company Ltd.</t>
  </si>
  <si>
    <t>INE147P01019</t>
  </si>
  <si>
    <t>Niyogin Fintech Ltd.</t>
  </si>
  <si>
    <t>NSE:M3GLOBAL</t>
  </si>
  <si>
    <t>INE480D01010</t>
  </si>
  <si>
    <t>Finkurve Financial Services Ltd.</t>
  </si>
  <si>
    <t>NSE:FINKURVE</t>
  </si>
  <si>
    <t>INE734I01027</t>
  </si>
  <si>
    <t>Brand Concepts Ltd.</t>
  </si>
  <si>
    <t>NSE:BCONCEPTS</t>
  </si>
  <si>
    <t>INE977Y01011</t>
  </si>
  <si>
    <t>Chembond Chemicals Ltd.</t>
  </si>
  <si>
    <t>NSE:CHEMBOND</t>
  </si>
  <si>
    <t>INE995D01025</t>
  </si>
  <si>
    <t>Eldeco Housing &amp; Industries Ltd.</t>
  </si>
  <si>
    <t>NSE:ELDEHSG</t>
  </si>
  <si>
    <t>INE668G01021</t>
  </si>
  <si>
    <t>Jindal Photo Ltd.</t>
  </si>
  <si>
    <t>NSE:JINDALPHOT</t>
  </si>
  <si>
    <t>INE796G01012</t>
  </si>
  <si>
    <t>Photographic Products</t>
  </si>
  <si>
    <t>Taneja Aerospace &amp; Aviation Ltd.</t>
  </si>
  <si>
    <t>NSE:TANEJAERO</t>
  </si>
  <si>
    <t>INE692C01020</t>
  </si>
  <si>
    <t>Aerospace</t>
  </si>
  <si>
    <t>DiGiSPICE Technologies Ltd.</t>
  </si>
  <si>
    <t>NSE:DIGISPICE</t>
  </si>
  <si>
    <t>INE927C01020</t>
  </si>
  <si>
    <t>Semac Consultants Ltd.</t>
  </si>
  <si>
    <t>NSE:SEMAC</t>
  </si>
  <si>
    <t>INE617A01013</t>
  </si>
  <si>
    <t>Orient Ceratech Ltd.</t>
  </si>
  <si>
    <t>INE569C01020</t>
  </si>
  <si>
    <t>Arrow Greentech Ltd.</t>
  </si>
  <si>
    <t>NSE:ARROWGREEN</t>
  </si>
  <si>
    <t>INE570D01018</t>
  </si>
  <si>
    <t>Kotyark Industries Ltd.</t>
  </si>
  <si>
    <t>NSE:KOTYARK</t>
  </si>
  <si>
    <t>INE0J0B01017</t>
  </si>
  <si>
    <t>Systematix Corporate Services Ltd.</t>
  </si>
  <si>
    <t>NSE:SYSTMTXC</t>
  </si>
  <si>
    <t>INE356B01016</t>
  </si>
  <si>
    <t>Automotive Stampings and Assemblies Ltd.</t>
  </si>
  <si>
    <t>NSE:ASAL</t>
  </si>
  <si>
    <t>INE900C01027</t>
  </si>
  <si>
    <t>Khadim India Ltd.</t>
  </si>
  <si>
    <t>NSE:KHADIM</t>
  </si>
  <si>
    <t>INE834I01025</t>
  </si>
  <si>
    <t>Hindustan Composites Ltd.</t>
  </si>
  <si>
    <t>NSE:HINDCOMPOS</t>
  </si>
  <si>
    <t>INE310C01029</t>
  </si>
  <si>
    <t>Basilic Fly Studio Ltd.</t>
  </si>
  <si>
    <t>NSE:BASILIC</t>
  </si>
  <si>
    <t>INE0OCC01013</t>
  </si>
  <si>
    <t>Urja Global Ltd.</t>
  </si>
  <si>
    <t>NSE:URJA</t>
  </si>
  <si>
    <t>INE550C01020</t>
  </si>
  <si>
    <t>Andhra Petrochemicals Ltd.</t>
  </si>
  <si>
    <t>NSE:ANDHRAPET</t>
  </si>
  <si>
    <t>INE714B01016</t>
  </si>
  <si>
    <t>GHCL Textiles Ltd.</t>
  </si>
  <si>
    <t>NSE:GHCLTEXTIL</t>
  </si>
  <si>
    <t>INE0PA801013</t>
  </si>
  <si>
    <t>Allied Digital Services Ltd.</t>
  </si>
  <si>
    <t>NSE:ADSL</t>
  </si>
  <si>
    <t>INE102I01027</t>
  </si>
  <si>
    <t>Apex Frozen Foods Ltd.</t>
  </si>
  <si>
    <t>NSE:APEX</t>
  </si>
  <si>
    <t>INE346W01013</t>
  </si>
  <si>
    <t>Emkay Taps and Cutting Tools Ltd.</t>
  </si>
  <si>
    <t>NSE:EMKAYTOOLS</t>
  </si>
  <si>
    <t>INE332S01011</t>
  </si>
  <si>
    <t>Hubtown Ltd.</t>
  </si>
  <si>
    <t>NSE:HUBTOWN</t>
  </si>
  <si>
    <t>INE703H01016</t>
  </si>
  <si>
    <t>BEML Land Assets Ltd.</t>
  </si>
  <si>
    <t>NSE:BLAL</t>
  </si>
  <si>
    <t>INE0N7W01012</t>
  </si>
  <si>
    <t>Nectar Lifesciences Ltd.</t>
  </si>
  <si>
    <t>NSE:NECLIFE</t>
  </si>
  <si>
    <t>INE023H01027</t>
  </si>
  <si>
    <t>Danlaw Technologies India Ltd.</t>
  </si>
  <si>
    <t>NSE:DANLAW</t>
  </si>
  <si>
    <t>INE310B01013</t>
  </si>
  <si>
    <t>Axita Cotton Ltd.</t>
  </si>
  <si>
    <t>NSE:AXITA</t>
  </si>
  <si>
    <t>INE02EZ01022</t>
  </si>
  <si>
    <t>Arfin India Ltd.</t>
  </si>
  <si>
    <t>NSE:ARFIN</t>
  </si>
  <si>
    <t>INE784R01023</t>
  </si>
  <si>
    <t>Osia Hyper Retail Ltd.</t>
  </si>
  <si>
    <t>NSE:OSIAHYPER</t>
  </si>
  <si>
    <t>INE06IR01021</t>
  </si>
  <si>
    <t>International Conveyors Ltd.</t>
  </si>
  <si>
    <t>NSE:INTLCONV</t>
  </si>
  <si>
    <t>INE575C01027</t>
  </si>
  <si>
    <t>Medico Remedies Ltd.</t>
  </si>
  <si>
    <t>NSE:MEDICO</t>
  </si>
  <si>
    <t>INE630Y01024</t>
  </si>
  <si>
    <t>Uni Abex Alloy Products Ltd.</t>
  </si>
  <si>
    <t>NSE:UNIABEXAL</t>
  </si>
  <si>
    <t>INE361D01012</t>
  </si>
  <si>
    <t>Oswal Green Tech Ltd.</t>
  </si>
  <si>
    <t>NSE:OSWALGREEN</t>
  </si>
  <si>
    <t>INE143A01010</t>
  </si>
  <si>
    <t>Anjani Portland Cement Ltd.</t>
  </si>
  <si>
    <t>NSE:APCL</t>
  </si>
  <si>
    <t>INE071F01012</t>
  </si>
  <si>
    <t>Salzer Electronics Ltd.</t>
  </si>
  <si>
    <t>NSE:SALZERELEC</t>
  </si>
  <si>
    <t>INE457F01013</t>
  </si>
  <si>
    <t>TVS Electronics Ltd.</t>
  </si>
  <si>
    <t>NSE:TVSELECT</t>
  </si>
  <si>
    <t>INE236G01019</t>
  </si>
  <si>
    <t>Storage Media &amp; Peripherals</t>
  </si>
  <si>
    <t>Rane Brake Lining Ltd.</t>
  </si>
  <si>
    <t>INE244J01017</t>
  </si>
  <si>
    <t>Mallcom (India) Ltd.</t>
  </si>
  <si>
    <t>NSE:MALLCOM</t>
  </si>
  <si>
    <t>INE389C01015</t>
  </si>
  <si>
    <t>Shreyas Shipping &amp; Logistics Ltd.</t>
  </si>
  <si>
    <t>NSE:SHREYAS</t>
  </si>
  <si>
    <t>INE757B01015</t>
  </si>
  <si>
    <t>Shankar Lal Rampal Dye-Chem Ltd.</t>
  </si>
  <si>
    <t>NSE:542232</t>
  </si>
  <si>
    <t>INE01NE01012</t>
  </si>
  <si>
    <t>Annapurna Swadisht Ltd.</t>
  </si>
  <si>
    <t>NSE:ANNAPURNA</t>
  </si>
  <si>
    <t>INE0MGM01017</t>
  </si>
  <si>
    <t>Macpower CNC Machines Ltd.</t>
  </si>
  <si>
    <t>NSE:MACPOWER</t>
  </si>
  <si>
    <t>INE155Z01011</t>
  </si>
  <si>
    <t>RMC Switchgears Ltd.</t>
  </si>
  <si>
    <t>NSE:RMC</t>
  </si>
  <si>
    <t>INE655V01019</t>
  </si>
  <si>
    <t>Khaitan Chemicals &amp; Fertilizers Ltd.</t>
  </si>
  <si>
    <t>NSE:KHAICHEM</t>
  </si>
  <si>
    <t>INE745B01028</t>
  </si>
  <si>
    <t>Artson Engineering Ltd.</t>
  </si>
  <si>
    <t>NSE:ARTSONENGG</t>
  </si>
  <si>
    <t>INE133D01023</t>
  </si>
  <si>
    <t>BGR Energy Systems Ltd.</t>
  </si>
  <si>
    <t>NSE:BGRENERGY</t>
  </si>
  <si>
    <t>INE661I01014</t>
  </si>
  <si>
    <t>Jet Airways (India) Ltd.</t>
  </si>
  <si>
    <t>NSE:JETAIRWAYS</t>
  </si>
  <si>
    <t>INE802G01018</t>
  </si>
  <si>
    <t>Xtglobal Infotech Ltd.</t>
  </si>
  <si>
    <t>NSE:FRONTIER</t>
  </si>
  <si>
    <t>INE547B01028</t>
  </si>
  <si>
    <t>Muthoot Capital Services Ltd.</t>
  </si>
  <si>
    <t>NSE:MUTHOOTCAP</t>
  </si>
  <si>
    <t>INE296G01013</t>
  </si>
  <si>
    <t>20 Microns Ltd.</t>
  </si>
  <si>
    <t>NSE:20MICRONS</t>
  </si>
  <si>
    <t>INE144J01027</t>
  </si>
  <si>
    <t>Max India Ltd.</t>
  </si>
  <si>
    <t>NSE:MAXIND</t>
  </si>
  <si>
    <t>INE0CG601016</t>
  </si>
  <si>
    <t>Mirza International Ltd.</t>
  </si>
  <si>
    <t>NSE:MIRZAINT</t>
  </si>
  <si>
    <t>INE771A01026</t>
  </si>
  <si>
    <t>Veefin Solutions Ltd.</t>
  </si>
  <si>
    <t>NSE:13193023</t>
  </si>
  <si>
    <t>INE0Q0M01015</t>
  </si>
  <si>
    <t>GRP Ltd.</t>
  </si>
  <si>
    <t>NSE:GRPLTD</t>
  </si>
  <si>
    <t>INE137I01015</t>
  </si>
  <si>
    <t>IRIS Clothings Ltd.</t>
  </si>
  <si>
    <t>NSE:IRISDOREME</t>
  </si>
  <si>
    <t>INE01GN01025</t>
  </si>
  <si>
    <t>Ritco Logistics Ltd.</t>
  </si>
  <si>
    <t>NSE:RITCO</t>
  </si>
  <si>
    <t>INE01EG01016</t>
  </si>
  <si>
    <t>Shri Jagdamba Polymers Ltd.</t>
  </si>
  <si>
    <t>NSE:SHRJAGP</t>
  </si>
  <si>
    <t>INE564J01026</t>
  </si>
  <si>
    <t>RIR Power Electronics Ltd.</t>
  </si>
  <si>
    <t>NSE:RIR</t>
  </si>
  <si>
    <t>INE302D01016</t>
  </si>
  <si>
    <t>IM+ Capitals Ltd.</t>
  </si>
  <si>
    <t>NSE:IMCAP</t>
  </si>
  <si>
    <t>INE417D01012</t>
  </si>
  <si>
    <t>Bright Outdoor Media Ltd.</t>
  </si>
  <si>
    <t>NSE:17040844</t>
  </si>
  <si>
    <t>INE0OMI01019</t>
  </si>
  <si>
    <t>Mindteck (India) Ltd.</t>
  </si>
  <si>
    <t>NSE:MINDTECK</t>
  </si>
  <si>
    <t>INE110B01017</t>
  </si>
  <si>
    <t>Global Education Ltd.</t>
  </si>
  <si>
    <t>NSE:GLOBAL</t>
  </si>
  <si>
    <t>INE291W01029</t>
  </si>
  <si>
    <t>Indo Tech Transformers Ltd.</t>
  </si>
  <si>
    <t>INE332H01014</t>
  </si>
  <si>
    <t>Sunshield Chemicals Ltd.</t>
  </si>
  <si>
    <t>NSE:SUNSHIEL</t>
  </si>
  <si>
    <t>INE199E01014</t>
  </si>
  <si>
    <t>Shree Pushkar Chemicals &amp; Fertilisers Ltd.</t>
  </si>
  <si>
    <t>NSE:SHREEPUSHK</t>
  </si>
  <si>
    <t>INE712K01011</t>
  </si>
  <si>
    <t>Virtuoso Optoelectronics Ltd.</t>
  </si>
  <si>
    <t>NSE:13090140</t>
  </si>
  <si>
    <t>INE0I0T01010</t>
  </si>
  <si>
    <t>Empire Industries Ltd.</t>
  </si>
  <si>
    <t>NSE:EMPIND</t>
  </si>
  <si>
    <t>INE515H01014</t>
  </si>
  <si>
    <t>Aditya Birla Money Ltd.</t>
  </si>
  <si>
    <t>NSE:BIRLAMONEY</t>
  </si>
  <si>
    <t>INE865C01022</t>
  </si>
  <si>
    <t>N R Agarwal Industries Ltd.</t>
  </si>
  <si>
    <t>NSE:NRAIL</t>
  </si>
  <si>
    <t>INE740D01017</t>
  </si>
  <si>
    <t>Hindustan Media Ventures Ltd.</t>
  </si>
  <si>
    <t>NSE:HMVL</t>
  </si>
  <si>
    <t>INE871K01015</t>
  </si>
  <si>
    <t>Race Eco Chain Ltd.</t>
  </si>
  <si>
    <t>NSE:RACE</t>
  </si>
  <si>
    <t>INE084Q01012</t>
  </si>
  <si>
    <t>Distributors</t>
  </si>
  <si>
    <t>Munjal Showa Ltd.</t>
  </si>
  <si>
    <t>NSE:MUNJALSHOW</t>
  </si>
  <si>
    <t>INE577A01027</t>
  </si>
  <si>
    <t>Nahar Industrial Enterprises Ltd.</t>
  </si>
  <si>
    <t>NSE:NAHARINDUS</t>
  </si>
  <si>
    <t>INE289A01011</t>
  </si>
  <si>
    <t>Albert David Ltd.</t>
  </si>
  <si>
    <t>INE155C01010</t>
  </si>
  <si>
    <t>Star Housing Finance Ltd.</t>
  </si>
  <si>
    <t>NSE:ASHFL</t>
  </si>
  <si>
    <t>INE526R01028</t>
  </si>
  <si>
    <t>Nikhil Adhesives Ltd.</t>
  </si>
  <si>
    <t>NSE:NIKHILAD</t>
  </si>
  <si>
    <t>INE926C01022</t>
  </si>
  <si>
    <t>Orient Bell Ltd.</t>
  </si>
  <si>
    <t>NSE:ORIENTBELL</t>
  </si>
  <si>
    <t>INE607D01018</t>
  </si>
  <si>
    <t>Windsor Machines Ltd.</t>
  </si>
  <si>
    <t>NSE:WINDMACHIN</t>
  </si>
  <si>
    <t>INE052A01021</t>
  </si>
  <si>
    <t>Bharat Agri Fert &amp; Realty Ltd.</t>
  </si>
  <si>
    <t>NSE:BHARATAGRI</t>
  </si>
  <si>
    <t>INE842D01029</t>
  </si>
  <si>
    <t>Scooters India Ltd.</t>
  </si>
  <si>
    <t>NSE:SCOOTER</t>
  </si>
  <si>
    <t>INE959E01011</t>
  </si>
  <si>
    <t>Cool Caps Industries Ltd.</t>
  </si>
  <si>
    <t>NSE:COOLCAPS</t>
  </si>
  <si>
    <t>INE0HS001010</t>
  </si>
  <si>
    <t>Ratnaveer Precision Engineering Ltd.</t>
  </si>
  <si>
    <t>NSE:RATNAVEER</t>
  </si>
  <si>
    <t>INE05CZ01011</t>
  </si>
  <si>
    <t>HT Media Ltd.</t>
  </si>
  <si>
    <t>NSE:HTMEDIA</t>
  </si>
  <si>
    <t>INE501G01024</t>
  </si>
  <si>
    <t>The Investment Trust of India Ltd.</t>
  </si>
  <si>
    <t>NSE:THEINVEST</t>
  </si>
  <si>
    <t>INE924D01017</t>
  </si>
  <si>
    <t>Ceinsys Tech Ltd.</t>
  </si>
  <si>
    <t>NSE:ADCC</t>
  </si>
  <si>
    <t>INE016Q01014</t>
  </si>
  <si>
    <t>Bajaj Steel Industries Ltd.</t>
  </si>
  <si>
    <t>NSE:BAJAJST</t>
  </si>
  <si>
    <t>INE704G01024</t>
  </si>
  <si>
    <t>Diamond Power Infrastructure Ltd.</t>
  </si>
  <si>
    <t>NSE:DIACABS</t>
  </si>
  <si>
    <t>INE989C01012</t>
  </si>
  <si>
    <t>B&amp;B Triplewall Containers Ltd.</t>
  </si>
  <si>
    <t>NSE:BBTCL</t>
  </si>
  <si>
    <t>INE01EE01011</t>
  </si>
  <si>
    <t>Krishival Foods Ltd.</t>
  </si>
  <si>
    <t>NSE:KRISHIVAL</t>
  </si>
  <si>
    <t>INE0GGO01015</t>
  </si>
  <si>
    <t>National Peroxide Ltd.</t>
  </si>
  <si>
    <t>NSE:NATPEROXID</t>
  </si>
  <si>
    <t>INE585A01020</t>
  </si>
  <si>
    <t>Tiger Logistics (India) Ltd.</t>
  </si>
  <si>
    <t>NSE:TIGERLOGS</t>
  </si>
  <si>
    <t>INE906O01011</t>
  </si>
  <si>
    <t>PTL Enterprises Ltd.</t>
  </si>
  <si>
    <t>NSE:PTL</t>
  </si>
  <si>
    <t>INE034D01049</t>
  </si>
  <si>
    <t>HCL Infosystems Ltd.</t>
  </si>
  <si>
    <t>NSE:HCL-INSYS</t>
  </si>
  <si>
    <t>INE236A01020</t>
  </si>
  <si>
    <t>Computer Hardware</t>
  </si>
  <si>
    <t>Nahar Poly Films Ltd.</t>
  </si>
  <si>
    <t>NSE:NAHARPOLY</t>
  </si>
  <si>
    <t>INE308A01027</t>
  </si>
  <si>
    <t>Kanoria Chemicals &amp; Industries Ltd.</t>
  </si>
  <si>
    <t>NSE:KANORICHEM</t>
  </si>
  <si>
    <t>INE138C01024</t>
  </si>
  <si>
    <t>Vinyas Innovative Technologies Ltd.</t>
  </si>
  <si>
    <t>NSE:VINYAS</t>
  </si>
  <si>
    <t>INE0OLS01010</t>
  </si>
  <si>
    <t>Affordable Robotic &amp; Automation Ltd.</t>
  </si>
  <si>
    <t>NSE:541402</t>
  </si>
  <si>
    <t>INE692Z01013</t>
  </si>
  <si>
    <t>Prime Securities Ltd.</t>
  </si>
  <si>
    <t>NSE:PRIMESECU</t>
  </si>
  <si>
    <t>INE032B01021</t>
  </si>
  <si>
    <t>Advait Infratech Ltd.</t>
  </si>
  <si>
    <t>NSE:15210805</t>
  </si>
  <si>
    <t>INE0ALI01010</t>
  </si>
  <si>
    <t>W S Industries (India) Ltd.</t>
  </si>
  <si>
    <t>NSE:WSI</t>
  </si>
  <si>
    <t>INE100D01014</t>
  </si>
  <si>
    <t>Bartronics India Ltd.</t>
  </si>
  <si>
    <t>NSE:ASMS</t>
  </si>
  <si>
    <t>INE855F01042</t>
  </si>
  <si>
    <t>Vertoz Advertising Ltd.</t>
  </si>
  <si>
    <t>NSE:VERTOZ</t>
  </si>
  <si>
    <t>INE188Y01015</t>
  </si>
  <si>
    <t>Kriti Industries (India) Ltd.</t>
  </si>
  <si>
    <t>NSE:KRITI</t>
  </si>
  <si>
    <t>INE479D01038</t>
  </si>
  <si>
    <t>Zim Laboratories Ltd.</t>
  </si>
  <si>
    <t>NSE:ZIMLAB</t>
  </si>
  <si>
    <t>INE518E01015</t>
  </si>
  <si>
    <t>STEL Holdings Ltd.</t>
  </si>
  <si>
    <t>NSE:STEL</t>
  </si>
  <si>
    <t>INE577L01016</t>
  </si>
  <si>
    <t>Lokesh Machines Ltd.</t>
  </si>
  <si>
    <t>INE397H01017</t>
  </si>
  <si>
    <t>Ind-Swift Laboratories Ltd.</t>
  </si>
  <si>
    <t>NSE:INDSWFTLAB</t>
  </si>
  <si>
    <t>INE915B01019</t>
  </si>
  <si>
    <t>Sika Interplant Systems Ltd.</t>
  </si>
  <si>
    <t>NSE:SIKA</t>
  </si>
  <si>
    <t>INE438E01016</t>
  </si>
  <si>
    <t>Kilitch Drugs(I) Ltd.</t>
  </si>
  <si>
    <t>NSE:KILITCH</t>
  </si>
  <si>
    <t>INE729D01010</t>
  </si>
  <si>
    <t>NDL Ventures Ltd.</t>
  </si>
  <si>
    <t>NSE:NDLVENTURE</t>
  </si>
  <si>
    <t>INE353A01023</t>
  </si>
  <si>
    <t>Kesar India Ltd.</t>
  </si>
  <si>
    <t>NSE:11625592</t>
  </si>
  <si>
    <t>INE0L1C01019</t>
  </si>
  <si>
    <t>Northern Spirits Ltd.</t>
  </si>
  <si>
    <t>NSE:542628</t>
  </si>
  <si>
    <t>INE01BL01012</t>
  </si>
  <si>
    <t>Indo Borax &amp; Chemicals Ltd.</t>
  </si>
  <si>
    <t>NSE:INDOBORAX</t>
  </si>
  <si>
    <t>INE803D01021</t>
  </si>
  <si>
    <t>Tierra Agrotech Ltd.</t>
  </si>
  <si>
    <t>NSE:543531</t>
  </si>
  <si>
    <t>INE05CY01014</t>
  </si>
  <si>
    <t>Donear Industries Ltd.</t>
  </si>
  <si>
    <t>NSE:DONEAR</t>
  </si>
  <si>
    <t>INE668D01028</t>
  </si>
  <si>
    <t>Ador Fontech Ltd.</t>
  </si>
  <si>
    <t>NSE:ADORFO</t>
  </si>
  <si>
    <t>INE853A01022</t>
  </si>
  <si>
    <t>Exxaro Tiles Ltd.</t>
  </si>
  <si>
    <t>NSE:EXXARO</t>
  </si>
  <si>
    <t>INE0GFE01018</t>
  </si>
  <si>
    <t>Mac Charles (India) Ltd.</t>
  </si>
  <si>
    <t>NSE:MCCHRLS-B</t>
  </si>
  <si>
    <t>INE435D01014</t>
  </si>
  <si>
    <t>Bharat Seats Ltd.</t>
  </si>
  <si>
    <t>NSE:BHARATSE</t>
  </si>
  <si>
    <t>INE415D01024</t>
  </si>
  <si>
    <t>Radhika Jeweltech Ltd.</t>
  </si>
  <si>
    <t>NSE:RADHIKAJWE</t>
  </si>
  <si>
    <t>INE583V01021</t>
  </si>
  <si>
    <t>Newjaisa Technologies Ltd.</t>
  </si>
  <si>
    <t>NSE:NEWJAISA</t>
  </si>
  <si>
    <t>INE0PW501021</t>
  </si>
  <si>
    <t>Indo National Ltd.</t>
  </si>
  <si>
    <t>NSE:NIPPOBATRY</t>
  </si>
  <si>
    <t>INE567A01028</t>
  </si>
  <si>
    <t>AK Capital Services Ltd.</t>
  </si>
  <si>
    <t>NSE:AKCAPIT</t>
  </si>
  <si>
    <t>INE701G01012</t>
  </si>
  <si>
    <t>Emami Realty Ltd.</t>
  </si>
  <si>
    <t>NSE:EMAMIREAL</t>
  </si>
  <si>
    <t>INE778K01012</t>
  </si>
  <si>
    <t>Music Broadcast Ltd.</t>
  </si>
  <si>
    <t>NSE:RADIOCITY</t>
  </si>
  <si>
    <t>INE919I01024</t>
  </si>
  <si>
    <t>Kilpest India Ltd.</t>
  </si>
  <si>
    <t>NSE:KILPEST</t>
  </si>
  <si>
    <t>INE994E01018</t>
  </si>
  <si>
    <t>Prevest Denpro Ltd.</t>
  </si>
  <si>
    <t>NSE:13160089</t>
  </si>
  <si>
    <t>INE0GAO01018</t>
  </si>
  <si>
    <t>Medical Equipment</t>
  </si>
  <si>
    <t>Mazda Ltd.</t>
  </si>
  <si>
    <t>INE885E01034</t>
  </si>
  <si>
    <t>Venus Remedies Ltd.</t>
  </si>
  <si>
    <t>NSE:VENUSREM</t>
  </si>
  <si>
    <t>INE411B01019</t>
  </si>
  <si>
    <t>Chemfab Alkalis Ltd.</t>
  </si>
  <si>
    <t>NSE:CHEMFAB</t>
  </si>
  <si>
    <t>INE783X01023</t>
  </si>
  <si>
    <t>KSE Ltd.</t>
  </si>
  <si>
    <t>NSE:KSE</t>
  </si>
  <si>
    <t>INE953E01014</t>
  </si>
  <si>
    <t>All e Technologies Ltd.</t>
  </si>
  <si>
    <t>NSE:ALLETEC</t>
  </si>
  <si>
    <t>INE0M2X01012</t>
  </si>
  <si>
    <t>Varanium Cloud Ltd.</t>
  </si>
  <si>
    <t>NSE:CLOUD</t>
  </si>
  <si>
    <t>INE0JOO01021</t>
  </si>
  <si>
    <t>Nagarjuna Fertilizers and Chemicals Ltd.</t>
  </si>
  <si>
    <t>NSE:NAGAFERT</t>
  </si>
  <si>
    <t>INE454M01024</t>
  </si>
  <si>
    <t>Aurum Proptech Ltd.</t>
  </si>
  <si>
    <t>NSE:AURUM</t>
  </si>
  <si>
    <t>INE898S01029</t>
  </si>
  <si>
    <t>MMP Industries Ltd.</t>
  </si>
  <si>
    <t>NSE:MMP</t>
  </si>
  <si>
    <t>INE511Y01018</t>
  </si>
  <si>
    <t>High Energy Batteries (India) Ltd.</t>
  </si>
  <si>
    <t>NSE:HIGHENE</t>
  </si>
  <si>
    <t>INE783E01023</t>
  </si>
  <si>
    <t>Vintage Coffee And Beverages Ltd.</t>
  </si>
  <si>
    <t>NSE:SPACEAGE</t>
  </si>
  <si>
    <t>INE498Q01014</t>
  </si>
  <si>
    <t>FCS Software Solutions Ltd.</t>
  </si>
  <si>
    <t>NSE:FCSSOFT</t>
  </si>
  <si>
    <t>INE512B01022</t>
  </si>
  <si>
    <t>Supershakti Metaliks Ltd.</t>
  </si>
  <si>
    <t>NSE:541701</t>
  </si>
  <si>
    <t>INE00SY01011</t>
  </si>
  <si>
    <t>Diamines &amp; Chemicals Ltd.</t>
  </si>
  <si>
    <t>NSE:DIAMINESQ</t>
  </si>
  <si>
    <t>INE591D01014</t>
  </si>
  <si>
    <t>Deep Energy Resources Ltd.</t>
  </si>
  <si>
    <t>NSE:DEEPENR</t>
  </si>
  <si>
    <t>INE677H01012</t>
  </si>
  <si>
    <t>Goa Carbons Ltd.</t>
  </si>
  <si>
    <t>NSE:GOACARBON</t>
  </si>
  <si>
    <t>INE426D01013</t>
  </si>
  <si>
    <t>Jaykay Enterprises Ltd.</t>
  </si>
  <si>
    <t>NSE:JKSYNTHETC</t>
  </si>
  <si>
    <t>INE903A01025</t>
  </si>
  <si>
    <t>Cybertech Systems &amp; Software Ltd.</t>
  </si>
  <si>
    <t>NSE:CYBERTECH</t>
  </si>
  <si>
    <t>INE214A01019</t>
  </si>
  <si>
    <t>Cellecor Gadgets Ltd.</t>
  </si>
  <si>
    <t>NSE:CELLECOR</t>
  </si>
  <si>
    <t>INE0OMO01017</t>
  </si>
  <si>
    <t>Zuari Industries Ltd.</t>
  </si>
  <si>
    <t>NSE:ZUARIIND</t>
  </si>
  <si>
    <t>INE217A01012</t>
  </si>
  <si>
    <t>Stovec Industries Ltd.</t>
  </si>
  <si>
    <t>NSE:STOVACQ</t>
  </si>
  <si>
    <t>INE755D01015</t>
  </si>
  <si>
    <t>Nahar Capital &amp; Financial Services Ltd.</t>
  </si>
  <si>
    <t>NSE:NAHARCAP</t>
  </si>
  <si>
    <t>INE049I01012</t>
  </si>
  <si>
    <t>Banswara Syntex Ltd.</t>
  </si>
  <si>
    <t>NSE:BANSWRAS</t>
  </si>
  <si>
    <t>INE629D01020</t>
  </si>
  <si>
    <t>Genus Paper &amp; Boards Ltd.</t>
  </si>
  <si>
    <t>NSE:GENUSPAPER</t>
  </si>
  <si>
    <t>INE949P01018</t>
  </si>
  <si>
    <t>Pondy Oxides &amp; Chemicals Ltd.</t>
  </si>
  <si>
    <t>NSE:POCL</t>
  </si>
  <si>
    <t>INE063E01046</t>
  </si>
  <si>
    <t>Waaree Technologies Ltd.</t>
  </si>
  <si>
    <t>NSE:HKT</t>
  </si>
  <si>
    <t>INE725P01012</t>
  </si>
  <si>
    <t>Orbit Exports Ltd.</t>
  </si>
  <si>
    <t>INE231G01010</t>
  </si>
  <si>
    <t>Advani Hotels &amp; Resorts (India) Ltd.</t>
  </si>
  <si>
    <t>NSE:ADVANIHOTR</t>
  </si>
  <si>
    <t>INE199C01026</t>
  </si>
  <si>
    <t>Kamat Hotels (India) Ltd.</t>
  </si>
  <si>
    <t>NSE:KAMATHOTEL</t>
  </si>
  <si>
    <t>INE967C01018</t>
  </si>
  <si>
    <t>ASM Technologies Ltd.</t>
  </si>
  <si>
    <t>NSE:ASMTEC</t>
  </si>
  <si>
    <t>INE867C01010</t>
  </si>
  <si>
    <t>Oricon Enterprises Ltd.</t>
  </si>
  <si>
    <t>NSE:ORICONENT</t>
  </si>
  <si>
    <t>INE730A01022</t>
  </si>
  <si>
    <t>Newtime Infrastructure Ltd.</t>
  </si>
  <si>
    <t>NSE:NEWTIME</t>
  </si>
  <si>
    <t>INE997D01021</t>
  </si>
  <si>
    <t>Aarti Surfactants Ltd.</t>
  </si>
  <si>
    <t>NSE:AARTISURF</t>
  </si>
  <si>
    <t>INE09EO01013</t>
  </si>
  <si>
    <t>Prozone Realty Ltd.</t>
  </si>
  <si>
    <t>INE195N01013</t>
  </si>
  <si>
    <t>United Drilling Tools Ltd.</t>
  </si>
  <si>
    <t>NSE:UNIDT</t>
  </si>
  <si>
    <t>INE961D01019</t>
  </si>
  <si>
    <t>Pavna Industries Ltd.</t>
  </si>
  <si>
    <t>NSE:PAVNAIND</t>
  </si>
  <si>
    <t>INE07S101020</t>
  </si>
  <si>
    <t>U P Hotels Ltd.</t>
  </si>
  <si>
    <t>NSE:509960</t>
  </si>
  <si>
    <t>INE726E01014</t>
  </si>
  <si>
    <t>Binny Ltd.</t>
  </si>
  <si>
    <t>NSE:BINNY</t>
  </si>
  <si>
    <t>INE118K01011</t>
  </si>
  <si>
    <t>Reliance Communications Ltd.</t>
  </si>
  <si>
    <t>NSE:RCOM</t>
  </si>
  <si>
    <t>INE330H01018</t>
  </si>
  <si>
    <t>Liberty Shoes Ltd.</t>
  </si>
  <si>
    <t>NSE:LIBERTSHOE</t>
  </si>
  <si>
    <t>INE557B01019</t>
  </si>
  <si>
    <t>U Y Fincorp Ltd.</t>
  </si>
  <si>
    <t>NSE:GOLDENGOEN</t>
  </si>
  <si>
    <t>INE152C01025</t>
  </si>
  <si>
    <t>Bedmutha Industries Ltd.</t>
  </si>
  <si>
    <t>NSE:BEDMUTHA</t>
  </si>
  <si>
    <t>INE844K01012</t>
  </si>
  <si>
    <t>V-Marc India Ltd.</t>
  </si>
  <si>
    <t>NSE:VMARCIND</t>
  </si>
  <si>
    <t>INE0GXK01018</t>
  </si>
  <si>
    <t>Shemaroo Entertainment Ltd.</t>
  </si>
  <si>
    <t>NSE:SHEMAROO</t>
  </si>
  <si>
    <t>INE363M01019</t>
  </si>
  <si>
    <t>Modern Insulators Ltd.</t>
  </si>
  <si>
    <t>NSE:MODINSULAT</t>
  </si>
  <si>
    <t>INE219W01012</t>
  </si>
  <si>
    <t>Starlineps Enterprises Ltd.</t>
  </si>
  <si>
    <t>NSE:540492</t>
  </si>
  <si>
    <t>INE594W01034</t>
  </si>
  <si>
    <t>MBL Infrastructure Ltd.</t>
  </si>
  <si>
    <t>NSE:MBLINFRA</t>
  </si>
  <si>
    <t>INE912H01013</t>
  </si>
  <si>
    <t>Raghuvansh Agrofarms Ltd.</t>
  </si>
  <si>
    <t>NSE:RAFL</t>
  </si>
  <si>
    <t>INE865P01016</t>
  </si>
  <si>
    <t>Simplex Infrastructures Ltd.</t>
  </si>
  <si>
    <t>NSE:SIMPLEXINF</t>
  </si>
  <si>
    <t>INE059B01024</t>
  </si>
  <si>
    <t>Hitech Corporation Ltd.</t>
  </si>
  <si>
    <t>NSE:HITECHCORP</t>
  </si>
  <si>
    <t>INE120D01012</t>
  </si>
  <si>
    <t>Parsvnath Developers Ltd.</t>
  </si>
  <si>
    <t>NSE:PARSVNATH</t>
  </si>
  <si>
    <t>INE561H01026</t>
  </si>
  <si>
    <t>Shreeoswal Seeds and Chemicals Ltd.</t>
  </si>
  <si>
    <t>NSE:OSWALSEEDS</t>
  </si>
  <si>
    <t>INE00IK01029</t>
  </si>
  <si>
    <t>NBI Industrial Finance Company Ltd.</t>
  </si>
  <si>
    <t>NSE:NBIFIN</t>
  </si>
  <si>
    <t>INE365I01020</t>
  </si>
  <si>
    <t>Galaxy Bearings Ltd.</t>
  </si>
  <si>
    <t>NSE:GALXBRG</t>
  </si>
  <si>
    <t>INE020S01012</t>
  </si>
  <si>
    <t>Droneacharya Aerial Innovations Ltd.</t>
  </si>
  <si>
    <t>NSE:13193012</t>
  </si>
  <si>
    <t>INE0MQD01015</t>
  </si>
  <si>
    <t>Kothari Sugars &amp; Chemicals Ltd.</t>
  </si>
  <si>
    <t>NSE:KOTARISUG</t>
  </si>
  <si>
    <t>INE419A01022</t>
  </si>
  <si>
    <t>Amal Ltd.</t>
  </si>
  <si>
    <t>NSE:AMAL</t>
  </si>
  <si>
    <t>INE841D01013</t>
  </si>
  <si>
    <t>Ticker</t>
  </si>
  <si>
    <t>High from buy date</t>
  </si>
  <si>
    <t>% high from the PP</t>
  </si>
  <si>
    <t>trail SL %</t>
  </si>
  <si>
    <t>Trail Sl</t>
  </si>
  <si>
    <t>% current returns</t>
  </si>
  <si>
    <t>SL / akash</t>
  </si>
  <si>
    <t>sl alert / akash</t>
  </si>
  <si>
    <t>sl alert trail</t>
  </si>
  <si>
    <t>Notional SL trail %</t>
  </si>
  <si>
    <t>target left</t>
  </si>
  <si>
    <t>High value</t>
  </si>
  <si>
    <t>PERCENTAGE DAILY CHANGE</t>
  </si>
  <si>
    <t>yyyy/mm/dd</t>
  </si>
  <si>
    <t xml:space="preserve">2nd step </t>
  </si>
  <si>
    <t>3rd step - sell</t>
  </si>
  <si>
    <t>1 step</t>
  </si>
  <si>
    <t>NSE:adffoods</t>
  </si>
  <si>
    <t>28th July</t>
  </si>
  <si>
    <t>adffoods</t>
  </si>
  <si>
    <t>agarwal ind</t>
  </si>
  <si>
    <t>25th July</t>
  </si>
  <si>
    <t>NSE:agarind</t>
  </si>
  <si>
    <t>agarind</t>
  </si>
  <si>
    <t>960 / 1440</t>
  </si>
  <si>
    <t xml:space="preserve">TRAILING SL STRATEGY </t>
  </si>
  <si>
    <t>Akzo india</t>
  </si>
  <si>
    <t>26th may</t>
  </si>
  <si>
    <t>10 pct profit SL 7 pct below, I.e. minimum 3 percent pocket</t>
  </si>
  <si>
    <t>aptech</t>
  </si>
  <si>
    <t>NSE:aptecht</t>
  </si>
  <si>
    <t>aptecht</t>
  </si>
  <si>
    <t>mm</t>
  </si>
  <si>
    <t>If 15 pct profit then minimum 6 pct profit to be pocketed</t>
  </si>
  <si>
    <t>NSE:arvsmart</t>
  </si>
  <si>
    <t>arvsmart</t>
  </si>
  <si>
    <t>20 pct minimum 12 pct pocket</t>
  </si>
  <si>
    <t>NSE:asterdm</t>
  </si>
  <si>
    <t>25 - 15 pocket</t>
  </si>
  <si>
    <t>axiscades</t>
  </si>
  <si>
    <t>NSE:axiscades</t>
  </si>
  <si>
    <t>490 / 570/720</t>
  </si>
  <si>
    <t>30 - 20 pocket</t>
  </si>
  <si>
    <t>Bajaj Holdings</t>
  </si>
  <si>
    <t>NSE:bajajhldng</t>
  </si>
  <si>
    <t>bajajhldng</t>
  </si>
  <si>
    <t>40 - 27 pocket</t>
  </si>
  <si>
    <t>NSE:bancoindia</t>
  </si>
  <si>
    <t>bancoindia</t>
  </si>
  <si>
    <t>360 / 487</t>
  </si>
  <si>
    <t>50 - 35 pocket</t>
  </si>
  <si>
    <t>birla cable</t>
  </si>
  <si>
    <t>NSE:birlacable</t>
  </si>
  <si>
    <t>birlacable</t>
  </si>
  <si>
    <t>60 - 40 pocket</t>
  </si>
  <si>
    <t>NSE:brigade</t>
  </si>
  <si>
    <t>brigade</t>
  </si>
  <si>
    <t>70 - 50 pocket</t>
  </si>
  <si>
    <t>NSE:crisil</t>
  </si>
  <si>
    <t>4473 / 4813</t>
  </si>
  <si>
    <t>Subsequently, you can let go max 20 pct, as if the market moves 20 pct down, then can go much lower</t>
  </si>
  <si>
    <t>deep industries</t>
  </si>
  <si>
    <t>28th june</t>
  </si>
  <si>
    <t>NSE:deepinds</t>
  </si>
  <si>
    <t>deepinds</t>
  </si>
  <si>
    <t>210 / 220 / 230</t>
  </si>
  <si>
    <t>Next day, if markets moves up by 5 pct then you raise the bar of the profit by 5 pct</t>
  </si>
  <si>
    <t>dssl</t>
  </si>
  <si>
    <t>NSE:dssl</t>
  </si>
  <si>
    <t>When I say market, I mean any particular share</t>
  </si>
  <si>
    <t>Eihotel</t>
  </si>
  <si>
    <t>NSE:eihotel</t>
  </si>
  <si>
    <t>eihotel</t>
  </si>
  <si>
    <t>Electcast</t>
  </si>
  <si>
    <t>elgi equip</t>
  </si>
  <si>
    <t>NSE:elgiequip</t>
  </si>
  <si>
    <t>elgiequip</t>
  </si>
  <si>
    <t>gandhi tube</t>
  </si>
  <si>
    <t>NSE:gandhitube</t>
  </si>
  <si>
    <t>gandhitube</t>
  </si>
  <si>
    <t>GRSE</t>
  </si>
  <si>
    <t>12th July</t>
  </si>
  <si>
    <t>NSE:grse</t>
  </si>
  <si>
    <t>NSE:hcg</t>
  </si>
  <si>
    <t>hercules hoists</t>
  </si>
  <si>
    <t>NSE:hercules</t>
  </si>
  <si>
    <t>hercules</t>
  </si>
  <si>
    <t>290 / 360 / 425</t>
  </si>
  <si>
    <t xml:space="preserve">hikal </t>
  </si>
  <si>
    <t>24th March</t>
  </si>
  <si>
    <t>NSE:hikal</t>
  </si>
  <si>
    <t>hikal</t>
  </si>
  <si>
    <t xml:space="preserve">347 / 410 </t>
  </si>
  <si>
    <t>hudco</t>
  </si>
  <si>
    <t>NSE:hudco</t>
  </si>
  <si>
    <t>75 / 86</t>
  </si>
  <si>
    <t>NSE:imagicaa</t>
  </si>
  <si>
    <t>56 / 69</t>
  </si>
  <si>
    <t>indraprasstha medicare</t>
  </si>
  <si>
    <t>3rd july</t>
  </si>
  <si>
    <t>INDRAMEDCO</t>
  </si>
  <si>
    <t>inox winds</t>
  </si>
  <si>
    <t>26th July</t>
  </si>
  <si>
    <t>NSE:inoxwind</t>
  </si>
  <si>
    <t>inoxwind</t>
  </si>
  <si>
    <t>ircon international</t>
  </si>
  <si>
    <t>NSE:ircon</t>
  </si>
  <si>
    <t>ircon</t>
  </si>
  <si>
    <t>NSE:ismtltd</t>
  </si>
  <si>
    <t>ismtltd</t>
  </si>
  <si>
    <t>NSE:ITDcem</t>
  </si>
  <si>
    <t>ITDcem</t>
  </si>
  <si>
    <t xml:space="preserve">190 / 230 / 260 </t>
  </si>
  <si>
    <t>IVP</t>
  </si>
  <si>
    <t>NSE:IVP</t>
  </si>
  <si>
    <t>jindal drill</t>
  </si>
  <si>
    <t>NSE:jindrill</t>
  </si>
  <si>
    <t>jindrill</t>
  </si>
  <si>
    <t>jpolyinvest</t>
  </si>
  <si>
    <t>NSE:jpolyinvst</t>
  </si>
  <si>
    <t>jpolyinvst</t>
  </si>
  <si>
    <t>690/810/900</t>
  </si>
  <si>
    <t>jsw steel</t>
  </si>
  <si>
    <t>NSE:jswsteel</t>
  </si>
  <si>
    <t>jswsteel</t>
  </si>
  <si>
    <t>920/1040</t>
  </si>
  <si>
    <t>NSE:kddl</t>
  </si>
  <si>
    <t>kecl</t>
  </si>
  <si>
    <t>24th  April</t>
  </si>
  <si>
    <t>NSE:kecl</t>
  </si>
  <si>
    <t>165 / 183</t>
  </si>
  <si>
    <t>KPR Mill</t>
  </si>
  <si>
    <t>31st may</t>
  </si>
  <si>
    <t>NSE:kprmill</t>
  </si>
  <si>
    <t>kprmill</t>
  </si>
  <si>
    <t>NSE:ksl</t>
  </si>
  <si>
    <t>ksl</t>
  </si>
  <si>
    <t>467/670</t>
  </si>
  <si>
    <t>laopala</t>
  </si>
  <si>
    <t>6th july</t>
  </si>
  <si>
    <t>NSE:laopala</t>
  </si>
  <si>
    <t>lincoln</t>
  </si>
  <si>
    <t>NSE:lincoln</t>
  </si>
  <si>
    <t>Lokesh Machines</t>
  </si>
  <si>
    <t>lt foods</t>
  </si>
  <si>
    <t>NSE:daawat</t>
  </si>
  <si>
    <t>daawat</t>
  </si>
  <si>
    <t>Lumaxtech</t>
  </si>
  <si>
    <t>10th April</t>
  </si>
  <si>
    <t>NSE:lumaxtech</t>
  </si>
  <si>
    <t>MAHSEAMLES</t>
  </si>
  <si>
    <t>Mazda</t>
  </si>
  <si>
    <t>NSE:mazda</t>
  </si>
  <si>
    <t>mazda</t>
  </si>
  <si>
    <t>menon bearing</t>
  </si>
  <si>
    <t>NSE:menonbe</t>
  </si>
  <si>
    <t>menonbe</t>
  </si>
  <si>
    <t>NSE:mindacorp</t>
  </si>
  <si>
    <t>mindacorp</t>
  </si>
  <si>
    <t>Murudcera</t>
  </si>
  <si>
    <t>NSE:murudcera</t>
  </si>
  <si>
    <t>murudcera</t>
  </si>
  <si>
    <t>54 / 57</t>
  </si>
  <si>
    <t>neuland labs</t>
  </si>
  <si>
    <t>NSE:neulandlab</t>
  </si>
  <si>
    <t>neulandlab</t>
  </si>
  <si>
    <t>4000 / 4500</t>
  </si>
  <si>
    <t>nitin spinners</t>
  </si>
  <si>
    <t>NSE:nitinspin</t>
  </si>
  <si>
    <t>nitinspin</t>
  </si>
  <si>
    <t>280 / 294</t>
  </si>
  <si>
    <t>NSE:nykaa</t>
  </si>
  <si>
    <t>Orient Hotel</t>
  </si>
  <si>
    <t>20th April</t>
  </si>
  <si>
    <t>NSE:orienthot</t>
  </si>
  <si>
    <t>orienthot</t>
  </si>
  <si>
    <t>100 / 107 / 123</t>
  </si>
  <si>
    <t>pennar india</t>
  </si>
  <si>
    <t>13th March</t>
  </si>
  <si>
    <t>NSE:penind</t>
  </si>
  <si>
    <t>penind</t>
  </si>
  <si>
    <t>100 / 126</t>
  </si>
  <si>
    <t>Pgil</t>
  </si>
  <si>
    <t>11th July</t>
  </si>
  <si>
    <t>NSE:pgil</t>
  </si>
  <si>
    <t>phoenix ltd</t>
  </si>
  <si>
    <t>pittieng</t>
  </si>
  <si>
    <t>NSE:pittieng</t>
  </si>
  <si>
    <t>400 / 480</t>
  </si>
  <si>
    <t>NSE:precwire</t>
  </si>
  <si>
    <t>precwire</t>
  </si>
  <si>
    <t>114 / 134</t>
  </si>
  <si>
    <t>NSE:premexpln</t>
  </si>
  <si>
    <t>premexpln</t>
  </si>
  <si>
    <t>488 / 523</t>
  </si>
  <si>
    <t>pressman</t>
  </si>
  <si>
    <t>NSE:pressmn</t>
  </si>
  <si>
    <t>pressmn</t>
  </si>
  <si>
    <t>railtel</t>
  </si>
  <si>
    <t>18th April</t>
  </si>
  <si>
    <t>NSE:railtel</t>
  </si>
  <si>
    <t>Redington</t>
  </si>
  <si>
    <t>22nd March</t>
  </si>
  <si>
    <t>NSE:redington</t>
  </si>
  <si>
    <t>redington</t>
  </si>
  <si>
    <t>21st April</t>
  </si>
  <si>
    <t>selan exploration</t>
  </si>
  <si>
    <t>NSE:selan</t>
  </si>
  <si>
    <t>selan</t>
  </si>
  <si>
    <t>453 / 610</t>
  </si>
  <si>
    <t>NSE:shalby</t>
  </si>
  <si>
    <t>sjvn</t>
  </si>
  <si>
    <t>NSE:sjvn</t>
  </si>
  <si>
    <t>skf</t>
  </si>
  <si>
    <t>NSE:skfindia</t>
  </si>
  <si>
    <t>skfindia</t>
  </si>
  <si>
    <t>NSE:somiconvey</t>
  </si>
  <si>
    <t>68/ 86</t>
  </si>
  <si>
    <t>swaraj engines</t>
  </si>
  <si>
    <t>NSE:swarajeng</t>
  </si>
  <si>
    <t>swarajeng</t>
  </si>
  <si>
    <t>Taal Enterprises</t>
  </si>
  <si>
    <t>13th April</t>
  </si>
  <si>
    <t>BSE:539956</t>
  </si>
  <si>
    <t>NSE:tajgvk</t>
  </si>
  <si>
    <t>tajgvk</t>
  </si>
  <si>
    <t>310 / 340 / 370</t>
  </si>
  <si>
    <t>NSE:tatacoffee</t>
  </si>
  <si>
    <t>tatacoffee</t>
  </si>
  <si>
    <t>NSE:technoe</t>
  </si>
  <si>
    <t>470 / 500</t>
  </si>
  <si>
    <t>tejas net</t>
  </si>
  <si>
    <t>NSE:tejasnet</t>
  </si>
  <si>
    <t>tejasnet</t>
  </si>
  <si>
    <t>time technoplast</t>
  </si>
  <si>
    <t>TPL plastech</t>
  </si>
  <si>
    <t>NSE:TPLplasteh</t>
  </si>
  <si>
    <t>TPLplasteh</t>
  </si>
  <si>
    <t>triveni eng</t>
  </si>
  <si>
    <t>NSE:triveni</t>
  </si>
  <si>
    <t>triveni</t>
  </si>
  <si>
    <t>uttam sugar</t>
  </si>
  <si>
    <t>NSE:vasconeq</t>
  </si>
  <si>
    <t>vasconeq</t>
  </si>
  <si>
    <t>vimtalabs</t>
  </si>
  <si>
    <t>NSE:vimtalabs</t>
  </si>
  <si>
    <t>636/687</t>
  </si>
  <si>
    <t>NSE:wabag</t>
  </si>
  <si>
    <t>windsor machines</t>
  </si>
  <si>
    <t>73 / 80 / 108</t>
  </si>
  <si>
    <t>Zensar tech</t>
  </si>
  <si>
    <t>NSE:zensartech</t>
  </si>
  <si>
    <t>zensartech</t>
  </si>
  <si>
    <t>430 / 570</t>
  </si>
  <si>
    <t>APL Apollo tubes</t>
  </si>
  <si>
    <t>APLAPOLLO</t>
  </si>
  <si>
    <t>Vindhyatel</t>
  </si>
  <si>
    <t>mukand</t>
  </si>
  <si>
    <t>NSE:mukandltd</t>
  </si>
  <si>
    <t>mukandltd</t>
  </si>
  <si>
    <t>236/300</t>
  </si>
  <si>
    <t>rossell india</t>
  </si>
  <si>
    <t>NSE:refex</t>
  </si>
  <si>
    <t>refex</t>
  </si>
  <si>
    <t>1st august</t>
  </si>
  <si>
    <t>NSE:astrazen</t>
  </si>
  <si>
    <t>astrazen</t>
  </si>
  <si>
    <t>Lakshmi Machine</t>
  </si>
  <si>
    <t>LAXMIMACH</t>
  </si>
  <si>
    <t>gocl</t>
  </si>
  <si>
    <t>NSE:goclcorp</t>
  </si>
  <si>
    <t>goclcorp</t>
  </si>
  <si>
    <t>2nd August</t>
  </si>
  <si>
    <t>NSE:J&amp;Kbank</t>
  </si>
  <si>
    <t>J&amp;Kbank</t>
  </si>
  <si>
    <t>TBZ</t>
  </si>
  <si>
    <t>NSE:tbz</t>
  </si>
  <si>
    <t>tbz</t>
  </si>
  <si>
    <t>PNC infra</t>
  </si>
  <si>
    <t>NSE:pncinfra</t>
  </si>
  <si>
    <t>pncinfra</t>
  </si>
  <si>
    <t>pcbl</t>
  </si>
  <si>
    <t>NSE:pcbl</t>
  </si>
  <si>
    <t>NSE:nrbbearing</t>
  </si>
  <si>
    <t>nrbbearing</t>
  </si>
  <si>
    <t>maan alu</t>
  </si>
  <si>
    <t>NSE:maanalu</t>
  </si>
  <si>
    <t>maanalu</t>
  </si>
  <si>
    <t>(blank)</t>
  </si>
  <si>
    <t>Exit</t>
  </si>
  <si>
    <t xml:space="preserve">exit if near cost </t>
  </si>
  <si>
    <t>1915 (rsi div case)</t>
  </si>
  <si>
    <t xml:space="preserve">29.55 even if daily close exit , even can exit in cmp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</si>
</sst>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m/d/yyyy"/>
    <numFmt numFmtId="166" formatCode="mm/dd/yy"/>
    <numFmt numFmtId="167" formatCode="0.0"/>
    <numFmt numFmtId="168" formatCode="mm/yyyy"/>
    <numFmt numFmtId="169" formatCode="#,##0;\(#,##0\)"/>
    <numFmt numFmtId="170" formatCode="m&quot;/&quot;d&quot;/&quot;yy"/>
    <numFmt numFmtId="171" formatCode="yyyy/mm/dd"/>
  </numFmts>
  <fonts count="4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scheme val="minor"/>
    </font>
    <font>
      <sz val="11"/>
      <color rgb="FF000000"/>
      <name val="&quot;Söhne Mono&quot;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5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b/>
      <sz val="11"/>
      <color theme="1"/>
      <name val="Arial"/>
      <scheme val="minor"/>
    </font>
    <font>
      <b/>
      <i/>
      <sz val="12"/>
      <color rgb="FFFFFFFF"/>
      <name val="Arial"/>
    </font>
    <font>
      <sz val="9"/>
      <color theme="1"/>
      <name val="&quot;Google Sans Mono&quot;"/>
    </font>
    <font>
      <sz val="10"/>
      <color rgb="FF222222"/>
      <name val="Arial"/>
    </font>
    <font>
      <sz val="12"/>
      <color theme="1"/>
      <name val="Arial"/>
    </font>
    <font>
      <sz val="13"/>
      <color theme="1"/>
      <name val="Arial"/>
    </font>
    <font>
      <sz val="9"/>
      <color rgb="FF7E3794"/>
      <name val="&quot;Google Sans Mono&quot;"/>
    </font>
    <font>
      <b/>
      <sz val="12"/>
      <color rgb="FFFFFFFF"/>
      <name val="Arial"/>
    </font>
    <font>
      <b/>
      <sz val="9"/>
      <color theme="1"/>
      <name val="Arial"/>
    </font>
    <font>
      <b/>
      <sz val="13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1"/>
      <color theme="1"/>
      <name val="Arial"/>
    </font>
    <font>
      <sz val="10"/>
      <color rgb="FF000000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i/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  <scheme val="minor"/>
    </font>
    <font>
      <b/>
      <sz val="10"/>
      <color rgb="FF1F1F1F"/>
      <name val="Monospace"/>
    </font>
    <font>
      <b/>
      <sz val="11"/>
      <color rgb="FFFFFFFF"/>
      <name val="Arial"/>
      <scheme val="minor"/>
    </font>
    <font>
      <b/>
      <sz val="11"/>
      <color rgb="FFFFFFFF"/>
      <name val="Monospace"/>
    </font>
    <font>
      <sz val="8"/>
      <color rgb="FF202124"/>
      <name val="Roboto"/>
    </font>
    <font>
      <sz val="11"/>
      <color theme="1"/>
      <name val="Arial"/>
      <scheme val="minor"/>
    </font>
    <font>
      <sz val="12"/>
      <color rgb="FF374151"/>
      <name val="Söhne"/>
    </font>
    <font>
      <sz val="10"/>
      <color rgb="FF374151"/>
      <name val="Söhne"/>
    </font>
    <font>
      <sz val="10"/>
      <color rgb="FF202124"/>
      <name val="Roboto"/>
    </font>
    <font>
      <b/>
      <sz val="11"/>
      <color theme="1"/>
      <name val="Calibri"/>
    </font>
    <font>
      <sz val="9"/>
      <color rgb="FF008000"/>
      <name val="Arial"/>
    </font>
    <font>
      <sz val="12"/>
      <color rgb="FF1F1F1F"/>
      <name val="Monospace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CFDFE"/>
        <bgColor rgb="FFFCFDFE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4F6F8"/>
        <bgColor rgb="FFF4F6F8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4"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" fontId="2" fillId="2" borderId="0" xfId="0" applyNumberFormat="1" applyFont="1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2" fillId="3" borderId="0" xfId="0" applyFont="1" applyFill="1"/>
    <xf numFmtId="0" fontId="5" fillId="4" borderId="0" xfId="0" applyFont="1" applyFill="1" applyAlignment="1">
      <alignment horizontal="right"/>
    </xf>
    <xf numFmtId="0" fontId="6" fillId="0" borderId="0" xfId="0" applyFont="1"/>
    <xf numFmtId="1" fontId="6" fillId="0" borderId="0" xfId="0" applyNumberFormat="1" applyFont="1"/>
    <xf numFmtId="0" fontId="6" fillId="0" borderId="0" xfId="0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/>
    <xf numFmtId="10" fontId="6" fillId="5" borderId="0" xfId="0" applyNumberFormat="1" applyFont="1" applyFill="1"/>
    <xf numFmtId="10" fontId="1" fillId="0" borderId="0" xfId="0" applyNumberFormat="1" applyFont="1"/>
    <xf numFmtId="0" fontId="1" fillId="5" borderId="0" xfId="0" applyFont="1" applyFill="1"/>
    <xf numFmtId="0" fontId="7" fillId="0" borderId="0" xfId="0" applyFont="1"/>
    <xf numFmtId="164" fontId="7" fillId="0" borderId="0" xfId="0" applyNumberFormat="1" applyFont="1"/>
    <xf numFmtId="14" fontId="6" fillId="0" borderId="0" xfId="0" applyNumberFormat="1" applyFont="1"/>
    <xf numFmtId="0" fontId="5" fillId="4" borderId="0" xfId="0" applyFont="1" applyFill="1"/>
    <xf numFmtId="0" fontId="1" fillId="6" borderId="0" xfId="0" applyFont="1" applyFill="1"/>
    <xf numFmtId="0" fontId="7" fillId="0" borderId="0" xfId="0" applyFont="1" applyAlignment="1">
      <alignment horizontal="center"/>
    </xf>
    <xf numFmtId="1" fontId="8" fillId="0" borderId="0" xfId="0" applyNumberFormat="1" applyFont="1"/>
    <xf numFmtId="1" fontId="7" fillId="0" borderId="0" xfId="0" applyNumberFormat="1" applyFont="1"/>
    <xf numFmtId="1" fontId="9" fillId="0" borderId="0" xfId="0" applyNumberFormat="1" applyFont="1"/>
    <xf numFmtId="10" fontId="10" fillId="7" borderId="0" xfId="0" applyNumberFormat="1" applyFont="1" applyFill="1"/>
    <xf numFmtId="0" fontId="11" fillId="8" borderId="0" xfId="0" applyFont="1" applyFill="1"/>
    <xf numFmtId="0" fontId="6" fillId="8" borderId="0" xfId="0" applyFont="1" applyFill="1"/>
    <xf numFmtId="2" fontId="7" fillId="0" borderId="0" xfId="0" applyNumberFormat="1" applyFont="1"/>
    <xf numFmtId="10" fontId="8" fillId="9" borderId="0" xfId="0" applyNumberFormat="1" applyFont="1" applyFill="1"/>
    <xf numFmtId="0" fontId="12" fillId="0" borderId="0" xfId="0" applyFont="1"/>
    <xf numFmtId="165" fontId="1" fillId="0" borderId="0" xfId="0" applyNumberFormat="1" applyFont="1"/>
    <xf numFmtId="10" fontId="13" fillId="10" borderId="0" xfId="0" applyNumberFormat="1" applyFont="1" applyFill="1"/>
    <xf numFmtId="1" fontId="13" fillId="10" borderId="0" xfId="0" applyNumberFormat="1" applyFont="1" applyFill="1"/>
    <xf numFmtId="166" fontId="1" fillId="0" borderId="0" xfId="0" applyNumberFormat="1" applyFont="1"/>
    <xf numFmtId="0" fontId="14" fillId="11" borderId="0" xfId="0" applyFont="1" applyFill="1"/>
    <xf numFmtId="164" fontId="7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5" fillId="2" borderId="0" xfId="0" applyFont="1" applyFill="1"/>
    <xf numFmtId="0" fontId="12" fillId="4" borderId="0" xfId="0" applyFont="1" applyFill="1"/>
    <xf numFmtId="0" fontId="7" fillId="4" borderId="0" xfId="0" applyFont="1" applyFill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5" borderId="0" xfId="0" applyFont="1" applyFill="1"/>
    <xf numFmtId="1" fontId="6" fillId="5" borderId="0" xfId="0" applyNumberFormat="1" applyFont="1" applyFill="1"/>
    <xf numFmtId="10" fontId="6" fillId="0" borderId="0" xfId="0" applyNumberFormat="1" applyFont="1"/>
    <xf numFmtId="0" fontId="9" fillId="0" borderId="0" xfId="0" applyFont="1"/>
    <xf numFmtId="10" fontId="7" fillId="5" borderId="0" xfId="0" applyNumberFormat="1" applyFont="1" applyFill="1"/>
    <xf numFmtId="0" fontId="5" fillId="12" borderId="0" xfId="0" applyFont="1" applyFill="1"/>
    <xf numFmtId="0" fontId="1" fillId="13" borderId="0" xfId="0" applyFont="1" applyFill="1"/>
    <xf numFmtId="1" fontId="16" fillId="2" borderId="0" xfId="0" applyNumberFormat="1" applyFont="1" applyFill="1"/>
    <xf numFmtId="10" fontId="17" fillId="0" borderId="0" xfId="0" applyNumberFormat="1" applyFont="1"/>
    <xf numFmtId="2" fontId="9" fillId="0" borderId="0" xfId="0" applyNumberFormat="1" applyFont="1"/>
    <xf numFmtId="10" fontId="18" fillId="0" borderId="0" xfId="0" applyNumberFormat="1" applyFont="1"/>
    <xf numFmtId="0" fontId="8" fillId="0" borderId="0" xfId="0" applyFont="1"/>
    <xf numFmtId="10" fontId="19" fillId="2" borderId="0" xfId="0" applyNumberFormat="1" applyFont="1" applyFill="1" applyAlignment="1">
      <alignment horizontal="left"/>
    </xf>
    <xf numFmtId="1" fontId="7" fillId="12" borderId="0" xfId="0" applyNumberFormat="1" applyFont="1" applyFill="1"/>
    <xf numFmtId="10" fontId="7" fillId="12" borderId="0" xfId="0" applyNumberFormat="1" applyFont="1" applyFill="1"/>
    <xf numFmtId="0" fontId="7" fillId="12" borderId="0" xfId="0" applyFont="1" applyFill="1"/>
    <xf numFmtId="1" fontId="1" fillId="5" borderId="0" xfId="0" applyNumberFormat="1" applyFont="1" applyFill="1"/>
    <xf numFmtId="0" fontId="13" fillId="0" borderId="0" xfId="0" applyFont="1"/>
    <xf numFmtId="1" fontId="6" fillId="3" borderId="0" xfId="0" applyNumberFormat="1" applyFont="1" applyFill="1"/>
    <xf numFmtId="2" fontId="7" fillId="3" borderId="0" xfId="0" applyNumberFormat="1" applyFont="1" applyFill="1"/>
    <xf numFmtId="2" fontId="6" fillId="14" borderId="0" xfId="0" applyNumberFormat="1" applyFont="1" applyFill="1" applyAlignment="1">
      <alignment horizontal="right"/>
    </xf>
    <xf numFmtId="1" fontId="7" fillId="0" borderId="0" xfId="0" applyNumberFormat="1" applyFont="1" applyAlignment="1">
      <alignment horizontal="right"/>
    </xf>
    <xf numFmtId="10" fontId="13" fillId="0" borderId="0" xfId="0" applyNumberFormat="1" applyFont="1"/>
    <xf numFmtId="167" fontId="1" fillId="0" borderId="0" xfId="0" applyNumberFormat="1" applyFont="1"/>
    <xf numFmtId="14" fontId="1" fillId="0" borderId="0" xfId="0" applyNumberFormat="1" applyFont="1"/>
    <xf numFmtId="167" fontId="7" fillId="0" borderId="0" xfId="0" applyNumberFormat="1" applyFont="1" applyAlignment="1">
      <alignment horizontal="right"/>
    </xf>
    <xf numFmtId="2" fontId="7" fillId="14" borderId="0" xfId="0" applyNumberFormat="1" applyFont="1" applyFill="1" applyAlignment="1">
      <alignment horizontal="right"/>
    </xf>
    <xf numFmtId="0" fontId="20" fillId="15" borderId="0" xfId="0" applyFont="1" applyFill="1" applyAlignment="1">
      <alignment horizontal="center"/>
    </xf>
    <xf numFmtId="0" fontId="21" fillId="0" borderId="0" xfId="0" applyFont="1"/>
    <xf numFmtId="3" fontId="22" fillId="0" borderId="0" xfId="0" applyNumberFormat="1" applyFont="1"/>
    <xf numFmtId="164" fontId="23" fillId="0" borderId="0" xfId="0" applyNumberFormat="1" applyFont="1"/>
    <xf numFmtId="0" fontId="24" fillId="0" borderId="0" xfId="0" applyFont="1"/>
    <xf numFmtId="0" fontId="8" fillId="2" borderId="0" xfId="0" applyFont="1" applyFill="1"/>
    <xf numFmtId="1" fontId="24" fillId="0" borderId="0" xfId="0" applyNumberFormat="1" applyFont="1"/>
    <xf numFmtId="10" fontId="24" fillId="0" borderId="0" xfId="0" applyNumberFormat="1" applyFont="1"/>
    <xf numFmtId="0" fontId="7" fillId="8" borderId="0" xfId="0" applyFont="1" applyFill="1"/>
    <xf numFmtId="0" fontId="6" fillId="8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1" fillId="16" borderId="0" xfId="0" applyFont="1" applyFill="1"/>
    <xf numFmtId="164" fontId="7" fillId="0" borderId="0" xfId="0" applyNumberFormat="1" applyFont="1" applyAlignment="1">
      <alignment horizontal="right"/>
    </xf>
    <xf numFmtId="0" fontId="7" fillId="2" borderId="0" xfId="0" applyFont="1" applyFill="1"/>
    <xf numFmtId="10" fontId="7" fillId="2" borderId="0" xfId="0" applyNumberFormat="1" applyFont="1" applyFill="1" applyAlignment="1">
      <alignment horizontal="right"/>
    </xf>
    <xf numFmtId="1" fontId="7" fillId="2" borderId="0" xfId="0" applyNumberFormat="1" applyFont="1" applyFill="1" applyAlignment="1">
      <alignment horizontal="right"/>
    </xf>
    <xf numFmtId="10" fontId="1" fillId="2" borderId="0" xfId="0" applyNumberFormat="1" applyFont="1" applyFill="1"/>
    <xf numFmtId="1" fontId="1" fillId="2" borderId="0" xfId="0" applyNumberFormat="1" applyFont="1" applyFill="1"/>
    <xf numFmtId="10" fontId="7" fillId="14" borderId="0" xfId="0" applyNumberFormat="1" applyFont="1" applyFill="1" applyAlignment="1">
      <alignment horizontal="right"/>
    </xf>
    <xf numFmtId="2" fontId="6" fillId="5" borderId="0" xfId="0" applyNumberFormat="1" applyFont="1" applyFill="1"/>
    <xf numFmtId="2" fontId="17" fillId="0" borderId="0" xfId="0" applyNumberFormat="1" applyFont="1"/>
    <xf numFmtId="2" fontId="3" fillId="5" borderId="0" xfId="0" applyNumberFormat="1" applyFont="1" applyFill="1"/>
    <xf numFmtId="0" fontId="11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6" fillId="3" borderId="0" xfId="0" applyFont="1" applyFill="1"/>
    <xf numFmtId="10" fontId="7" fillId="3" borderId="0" xfId="0" applyNumberFormat="1" applyFont="1" applyFill="1"/>
    <xf numFmtId="0" fontId="7" fillId="5" borderId="0" xfId="0" applyFont="1" applyFill="1"/>
    <xf numFmtId="1" fontId="7" fillId="5" borderId="0" xfId="0" applyNumberFormat="1" applyFont="1" applyFill="1"/>
    <xf numFmtId="0" fontId="6" fillId="3" borderId="0" xfId="0" applyFont="1" applyFill="1" applyAlignment="1">
      <alignment horizontal="left"/>
    </xf>
    <xf numFmtId="0" fontId="25" fillId="0" borderId="0" xfId="0" applyFont="1"/>
    <xf numFmtId="0" fontId="6" fillId="2" borderId="0" xfId="0" applyFont="1" applyFill="1"/>
    <xf numFmtId="0" fontId="6" fillId="10" borderId="0" xfId="0" applyFont="1" applyFill="1"/>
    <xf numFmtId="0" fontId="25" fillId="10" borderId="0" xfId="0" applyFont="1" applyFill="1"/>
    <xf numFmtId="0" fontId="7" fillId="10" borderId="0" xfId="0" applyFont="1" applyFill="1"/>
    <xf numFmtId="1" fontId="25" fillId="10" borderId="0" xfId="0" applyNumberFormat="1" applyFont="1" applyFill="1"/>
    <xf numFmtId="0" fontId="25" fillId="12" borderId="0" xfId="0" applyFont="1" applyFill="1"/>
    <xf numFmtId="0" fontId="5" fillId="3" borderId="0" xfId="0" applyFont="1" applyFill="1" applyAlignment="1">
      <alignment horizontal="center"/>
    </xf>
    <xf numFmtId="0" fontId="6" fillId="12" borderId="0" xfId="0" applyFont="1" applyFill="1"/>
    <xf numFmtId="0" fontId="7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1" fontId="7" fillId="14" borderId="0" xfId="0" applyNumberFormat="1" applyFont="1" applyFill="1" applyAlignment="1">
      <alignment horizontal="right"/>
    </xf>
    <xf numFmtId="10" fontId="7" fillId="5" borderId="0" xfId="0" applyNumberFormat="1" applyFont="1" applyFill="1" applyAlignment="1">
      <alignment horizontal="right"/>
    </xf>
    <xf numFmtId="1" fontId="7" fillId="5" borderId="0" xfId="0" applyNumberFormat="1" applyFont="1" applyFill="1" applyAlignment="1">
      <alignment horizontal="right"/>
    </xf>
    <xf numFmtId="0" fontId="3" fillId="10" borderId="0" xfId="0" applyFont="1" applyFill="1"/>
    <xf numFmtId="0" fontId="1" fillId="10" borderId="0" xfId="0" applyFont="1" applyFill="1"/>
    <xf numFmtId="2" fontId="7" fillId="5" borderId="0" xfId="0" applyNumberFormat="1" applyFont="1" applyFill="1"/>
    <xf numFmtId="1" fontId="1" fillId="10" borderId="0" xfId="0" applyNumberFormat="1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1" fontId="6" fillId="2" borderId="0" xfId="0" applyNumberFormat="1" applyFont="1" applyFill="1"/>
    <xf numFmtId="2" fontId="7" fillId="2" borderId="0" xfId="0" applyNumberFormat="1" applyFont="1" applyFill="1"/>
    <xf numFmtId="0" fontId="26" fillId="17" borderId="0" xfId="0" applyFont="1" applyFill="1"/>
    <xf numFmtId="10" fontId="7" fillId="2" borderId="0" xfId="0" applyNumberFormat="1" applyFont="1" applyFill="1"/>
    <xf numFmtId="0" fontId="5" fillId="4" borderId="0" xfId="0" applyFont="1" applyFill="1" applyAlignment="1">
      <alignment horizontal="left"/>
    </xf>
    <xf numFmtId="10" fontId="7" fillId="0" borderId="0" xfId="0" applyNumberFormat="1" applyFont="1"/>
    <xf numFmtId="1" fontId="7" fillId="2" borderId="0" xfId="0" applyNumberFormat="1" applyFont="1" applyFill="1"/>
    <xf numFmtId="1" fontId="6" fillId="12" borderId="0" xfId="0" applyNumberFormat="1" applyFont="1" applyFill="1"/>
    <xf numFmtId="165" fontId="7" fillId="0" borderId="0" xfId="0" applyNumberFormat="1" applyFont="1"/>
    <xf numFmtId="0" fontId="27" fillId="0" borderId="0" xfId="0" applyFont="1"/>
    <xf numFmtId="0" fontId="28" fillId="0" borderId="0" xfId="0" applyFont="1"/>
    <xf numFmtId="10" fontId="27" fillId="12" borderId="0" xfId="0" applyNumberFormat="1" applyFont="1" applyFill="1"/>
    <xf numFmtId="0" fontId="29" fillId="12" borderId="0" xfId="0" applyFont="1" applyFill="1"/>
    <xf numFmtId="0" fontId="1" fillId="12" borderId="0" xfId="0" applyFont="1" applyFill="1"/>
    <xf numFmtId="2" fontId="7" fillId="12" borderId="0" xfId="0" applyNumberFormat="1" applyFont="1" applyFill="1"/>
    <xf numFmtId="0" fontId="29" fillId="4" borderId="0" xfId="0" applyFont="1" applyFill="1"/>
    <xf numFmtId="10" fontId="7" fillId="12" borderId="0" xfId="0" applyNumberFormat="1" applyFont="1" applyFill="1" applyAlignment="1">
      <alignment horizontal="right"/>
    </xf>
    <xf numFmtId="1" fontId="7" fillId="1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10" fontId="6" fillId="2" borderId="0" xfId="0" applyNumberFormat="1" applyFont="1" applyFill="1"/>
    <xf numFmtId="2" fontId="6" fillId="2" borderId="0" xfId="0" applyNumberFormat="1" applyFont="1" applyFill="1"/>
    <xf numFmtId="2" fontId="6" fillId="2" borderId="0" xfId="0" applyNumberFormat="1" applyFont="1" applyFill="1" applyAlignment="1">
      <alignment horizontal="right"/>
    </xf>
    <xf numFmtId="1" fontId="6" fillId="5" borderId="0" xfId="0" applyNumberFormat="1" applyFont="1" applyFill="1" applyAlignment="1">
      <alignment horizontal="right"/>
    </xf>
    <xf numFmtId="2" fontId="6" fillId="18" borderId="0" xfId="0" applyNumberFormat="1" applyFont="1" applyFill="1" applyAlignment="1">
      <alignment horizontal="right"/>
    </xf>
    <xf numFmtId="0" fontId="30" fillId="0" borderId="0" xfId="0" applyFont="1"/>
    <xf numFmtId="0" fontId="12" fillId="2" borderId="0" xfId="0" applyFont="1" applyFill="1"/>
    <xf numFmtId="165" fontId="1" fillId="2" borderId="0" xfId="0" applyNumberFormat="1" applyFont="1" applyFill="1"/>
    <xf numFmtId="2" fontId="6" fillId="0" borderId="0" xfId="0" applyNumberFormat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14" fontId="1" fillId="5" borderId="0" xfId="0" applyNumberFormat="1" applyFont="1" applyFill="1"/>
    <xf numFmtId="0" fontId="26" fillId="17" borderId="1" xfId="0" applyFont="1" applyFill="1" applyBorder="1"/>
    <xf numFmtId="2" fontId="1" fillId="5" borderId="0" xfId="0" applyNumberFormat="1" applyFont="1" applyFill="1"/>
    <xf numFmtId="0" fontId="6" fillId="4" borderId="0" xfId="0" applyFont="1" applyFill="1"/>
    <xf numFmtId="0" fontId="3" fillId="0" borderId="0" xfId="0" applyFont="1" applyAlignment="1">
      <alignment horizontal="center"/>
    </xf>
    <xf numFmtId="0" fontId="1" fillId="4" borderId="0" xfId="0" applyFont="1" applyFill="1"/>
    <xf numFmtId="10" fontId="8" fillId="19" borderId="0" xfId="0" applyNumberFormat="1" applyFont="1" applyFill="1" applyAlignment="1">
      <alignment horizontal="right"/>
    </xf>
    <xf numFmtId="1" fontId="6" fillId="20" borderId="0" xfId="0" applyNumberFormat="1" applyFont="1" applyFill="1"/>
    <xf numFmtId="0" fontId="1" fillId="3" borderId="0" xfId="0" applyFont="1" applyFill="1"/>
    <xf numFmtId="0" fontId="7" fillId="0" borderId="0" xfId="0" applyFont="1" applyAlignment="1">
      <alignment horizontal="left"/>
    </xf>
    <xf numFmtId="10" fontId="12" fillId="0" borderId="0" xfId="0" applyNumberFormat="1" applyFont="1"/>
    <xf numFmtId="168" fontId="1" fillId="0" borderId="0" xfId="0" applyNumberFormat="1" applyFont="1"/>
    <xf numFmtId="2" fontId="22" fillId="5" borderId="0" xfId="0" applyNumberFormat="1" applyFont="1" applyFill="1"/>
    <xf numFmtId="3" fontId="1" fillId="0" borderId="0" xfId="0" applyNumberFormat="1" applyFont="1"/>
    <xf numFmtId="169" fontId="1" fillId="0" borderId="0" xfId="0" applyNumberFormat="1" applyFont="1"/>
    <xf numFmtId="0" fontId="31" fillId="0" borderId="0" xfId="0" applyFont="1"/>
    <xf numFmtId="0" fontId="32" fillId="2" borderId="0" xfId="0" applyFont="1" applyFill="1" applyAlignment="1">
      <alignment horizontal="left"/>
    </xf>
    <xf numFmtId="3" fontId="31" fillId="0" borderId="0" xfId="0" applyNumberFormat="1" applyFont="1"/>
    <xf numFmtId="1" fontId="31" fillId="0" borderId="0" xfId="0" applyNumberFormat="1" applyFont="1"/>
    <xf numFmtId="1" fontId="32" fillId="2" borderId="0" xfId="0" applyNumberFormat="1" applyFont="1" applyFill="1" applyAlignment="1">
      <alignment horizontal="left"/>
    </xf>
    <xf numFmtId="1" fontId="32" fillId="2" borderId="0" xfId="0" applyNumberFormat="1" applyFont="1" applyFill="1" applyAlignment="1">
      <alignment horizontal="right"/>
    </xf>
    <xf numFmtId="0" fontId="31" fillId="4" borderId="0" xfId="0" applyFont="1" applyFill="1"/>
    <xf numFmtId="1" fontId="33" fillId="15" borderId="0" xfId="0" applyNumberFormat="1" applyFont="1" applyFill="1" applyAlignment="1">
      <alignment horizontal="center"/>
    </xf>
    <xf numFmtId="1" fontId="34" fillId="15" borderId="0" xfId="0" applyNumberFormat="1" applyFont="1" applyFill="1" applyAlignment="1">
      <alignment horizontal="center"/>
    </xf>
    <xf numFmtId="0" fontId="34" fillId="15" borderId="0" xfId="0" applyFont="1" applyFill="1" applyAlignment="1">
      <alignment horizontal="center"/>
    </xf>
    <xf numFmtId="2" fontId="34" fillId="15" borderId="0" xfId="0" applyNumberFormat="1" applyFont="1" applyFill="1" applyAlignment="1">
      <alignment horizontal="center"/>
    </xf>
    <xf numFmtId="3" fontId="31" fillId="4" borderId="0" xfId="0" applyNumberFormat="1" applyFont="1" applyFill="1"/>
    <xf numFmtId="0" fontId="13" fillId="4" borderId="0" xfId="0" applyFont="1" applyFill="1" applyAlignment="1">
      <alignment horizontal="center"/>
    </xf>
    <xf numFmtId="0" fontId="23" fillId="4" borderId="0" xfId="0" applyFont="1" applyFill="1"/>
    <xf numFmtId="3" fontId="23" fillId="2" borderId="0" xfId="0" applyNumberFormat="1" applyFont="1" applyFill="1"/>
    <xf numFmtId="0" fontId="23" fillId="2" borderId="0" xfId="0" applyFont="1" applyFill="1"/>
    <xf numFmtId="0" fontId="23" fillId="0" borderId="0" xfId="0" applyFont="1"/>
    <xf numFmtId="2" fontId="35" fillId="2" borderId="0" xfId="0" applyNumberFormat="1" applyFont="1" applyFill="1"/>
    <xf numFmtId="3" fontId="23" fillId="4" borderId="0" xfId="0" applyNumberFormat="1" applyFont="1" applyFill="1"/>
    <xf numFmtId="3" fontId="13" fillId="4" borderId="0" xfId="0" applyNumberFormat="1" applyFont="1" applyFill="1" applyAlignment="1">
      <alignment horizontal="center"/>
    </xf>
    <xf numFmtId="2" fontId="13" fillId="21" borderId="0" xfId="0" applyNumberFormat="1" applyFont="1" applyFill="1"/>
    <xf numFmtId="3" fontId="13" fillId="0" borderId="0" xfId="0" applyNumberFormat="1" applyFont="1"/>
    <xf numFmtId="3" fontId="23" fillId="0" borderId="0" xfId="0" applyNumberFormat="1" applyFont="1"/>
    <xf numFmtId="170" fontId="1" fillId="0" borderId="0" xfId="0" applyNumberFormat="1" applyFont="1"/>
    <xf numFmtId="0" fontId="1" fillId="22" borderId="0" xfId="0" applyFont="1" applyFill="1"/>
    <xf numFmtId="170" fontId="1" fillId="22" borderId="0" xfId="0" applyNumberFormat="1" applyFont="1" applyFill="1"/>
    <xf numFmtId="1" fontId="1" fillId="22" borderId="0" xfId="0" applyNumberFormat="1" applyFont="1" applyFill="1"/>
    <xf numFmtId="3" fontId="1" fillId="22" borderId="0" xfId="0" applyNumberFormat="1" applyFont="1" applyFill="1"/>
    <xf numFmtId="2" fontId="1" fillId="22" borderId="0" xfId="0" applyNumberFormat="1" applyFont="1" applyFill="1"/>
    <xf numFmtId="3" fontId="23" fillId="22" borderId="0" xfId="0" applyNumberFormat="1" applyFont="1" applyFill="1"/>
    <xf numFmtId="3" fontId="36" fillId="0" borderId="0" xfId="0" applyNumberFormat="1" applyFont="1"/>
    <xf numFmtId="166" fontId="12" fillId="0" borderId="0" xfId="0" applyNumberFormat="1" applyFont="1" applyAlignment="1">
      <alignment horizontal="right"/>
    </xf>
    <xf numFmtId="0" fontId="26" fillId="0" borderId="0" xfId="0" applyFont="1"/>
    <xf numFmtId="0" fontId="37" fillId="0" borderId="0" xfId="0" applyFont="1"/>
    <xf numFmtId="0" fontId="38" fillId="0" borderId="0" xfId="0" applyFont="1"/>
    <xf numFmtId="0" fontId="39" fillId="2" borderId="0" xfId="0" applyFont="1" applyFill="1"/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3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0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25" fillId="2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10" fontId="18" fillId="0" borderId="0" xfId="0" applyNumberFormat="1" applyFont="1" applyAlignment="1">
      <alignment horizontal="left"/>
    </xf>
    <xf numFmtId="0" fontId="41" fillId="2" borderId="0" xfId="0" applyFont="1" applyFill="1"/>
    <xf numFmtId="0" fontId="42" fillId="2" borderId="0" xfId="0" applyFont="1" applyFill="1" applyAlignment="1">
      <alignment horizontal="left"/>
    </xf>
    <xf numFmtId="4" fontId="7" fillId="0" borderId="0" xfId="0" applyNumberFormat="1" applyFont="1"/>
    <xf numFmtId="1" fontId="6" fillId="23" borderId="0" xfId="0" applyNumberFormat="1" applyFont="1" applyFill="1"/>
    <xf numFmtId="10" fontId="7" fillId="0" borderId="0" xfId="0" applyNumberFormat="1" applyFont="1" applyAlignment="1">
      <alignment horizontal="center"/>
    </xf>
    <xf numFmtId="0" fontId="25" fillId="22" borderId="0" xfId="0" applyFont="1" applyFill="1"/>
    <xf numFmtId="10" fontId="9" fillId="0" borderId="0" xfId="0" applyNumberFormat="1" applyFont="1"/>
    <xf numFmtId="171" fontId="7" fillId="0" borderId="0" xfId="0" applyNumberFormat="1" applyFont="1"/>
    <xf numFmtId="0" fontId="6" fillId="24" borderId="0" xfId="0" applyFont="1" applyFill="1"/>
    <xf numFmtId="0" fontId="7" fillId="24" borderId="0" xfId="0" applyFont="1" applyFill="1"/>
    <xf numFmtId="171" fontId="7" fillId="24" borderId="0" xfId="0" applyNumberFormat="1" applyFont="1" applyFill="1"/>
    <xf numFmtId="0" fontId="26" fillId="24" borderId="0" xfId="0" applyFont="1" applyFill="1"/>
    <xf numFmtId="0" fontId="12" fillId="24" borderId="0" xfId="0" applyFont="1" applyFill="1"/>
    <xf numFmtId="0" fontId="42" fillId="24" borderId="0" xfId="0" applyFont="1" applyFill="1" applyAlignment="1">
      <alignment horizontal="left"/>
    </xf>
    <xf numFmtId="10" fontId="7" fillId="24" borderId="0" xfId="0" applyNumberFormat="1" applyFont="1" applyFill="1"/>
    <xf numFmtId="4" fontId="7" fillId="24" borderId="0" xfId="0" applyNumberFormat="1" applyFont="1" applyFill="1"/>
    <xf numFmtId="0" fontId="5" fillId="24" borderId="0" xfId="0" applyFont="1" applyFill="1"/>
    <xf numFmtId="1" fontId="6" fillId="24" borderId="0" xfId="0" applyNumberFormat="1" applyFont="1" applyFill="1"/>
    <xf numFmtId="10" fontId="7" fillId="24" borderId="0" xfId="0" applyNumberFormat="1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1" fillId="24" borderId="0" xfId="0" applyFont="1" applyFill="1"/>
    <xf numFmtId="0" fontId="25" fillId="24" borderId="0" xfId="0" applyFont="1" applyFill="1"/>
    <xf numFmtId="10" fontId="9" fillId="24" borderId="0" xfId="0" applyNumberFormat="1" applyFont="1" applyFill="1"/>
    <xf numFmtId="10" fontId="18" fillId="24" borderId="0" xfId="0" applyNumberFormat="1" applyFont="1" applyFill="1"/>
    <xf numFmtId="0" fontId="6" fillId="6" borderId="0" xfId="0" applyFont="1" applyFill="1"/>
    <xf numFmtId="0" fontId="7" fillId="6" borderId="0" xfId="0" applyFont="1" applyFill="1"/>
    <xf numFmtId="171" fontId="7" fillId="6" borderId="0" xfId="0" applyNumberFormat="1" applyFont="1" applyFill="1"/>
    <xf numFmtId="0" fontId="26" fillId="6" borderId="0" xfId="0" applyFont="1" applyFill="1"/>
    <xf numFmtId="0" fontId="12" fillId="6" borderId="0" xfId="0" applyFont="1" applyFill="1"/>
    <xf numFmtId="0" fontId="42" fillId="6" borderId="0" xfId="0" applyFont="1" applyFill="1" applyAlignment="1">
      <alignment horizontal="left"/>
    </xf>
    <xf numFmtId="10" fontId="7" fillId="6" borderId="0" xfId="0" applyNumberFormat="1" applyFont="1" applyFill="1"/>
    <xf numFmtId="4" fontId="7" fillId="6" borderId="0" xfId="0" applyNumberFormat="1" applyFont="1" applyFill="1"/>
    <xf numFmtId="0" fontId="5" fillId="6" borderId="0" xfId="0" applyFont="1" applyFill="1"/>
    <xf numFmtId="1" fontId="6" fillId="6" borderId="0" xfId="0" applyNumberFormat="1" applyFont="1" applyFill="1"/>
    <xf numFmtId="10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5" fillId="6" borderId="0" xfId="0" applyFont="1" applyFill="1"/>
    <xf numFmtId="10" fontId="9" fillId="6" borderId="0" xfId="0" applyNumberFormat="1" applyFont="1" applyFill="1"/>
    <xf numFmtId="10" fontId="18" fillId="6" borderId="0" xfId="0" applyNumberFormat="1" applyFont="1" applyFill="1"/>
    <xf numFmtId="0" fontId="43" fillId="0" borderId="0" xfId="0" applyFont="1"/>
    <xf numFmtId="171" fontId="7" fillId="3" borderId="0" xfId="0" applyNumberFormat="1" applyFont="1" applyFill="1"/>
    <xf numFmtId="0" fontId="26" fillId="3" borderId="0" xfId="0" applyFont="1" applyFill="1" applyAlignment="1">
      <alignment horizontal="right"/>
    </xf>
    <xf numFmtId="0" fontId="42" fillId="3" borderId="0" xfId="0" applyFont="1" applyFill="1" applyAlignment="1">
      <alignment horizontal="left"/>
    </xf>
    <xf numFmtId="10" fontId="7" fillId="3" borderId="0" xfId="0" applyNumberFormat="1" applyFont="1" applyFill="1" applyAlignment="1">
      <alignment horizontal="center"/>
    </xf>
    <xf numFmtId="0" fontId="25" fillId="3" borderId="0" xfId="0" applyFont="1" applyFill="1"/>
    <xf numFmtId="10" fontId="9" fillId="3" borderId="0" xfId="0" applyNumberFormat="1" applyFont="1" applyFill="1"/>
    <xf numFmtId="10" fontId="18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4" fillId="0" borderId="0" xfId="0" applyFont="1"/>
    <xf numFmtId="0" fontId="45" fillId="0" borderId="0" xfId="0" applyFont="1"/>
  </cellXfs>
  <cellStyles count="1">
    <cellStyle name="Normal" xfId="0" builtinId="0"/>
  </cellStyles>
  <dxfs count="14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30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70</xdr:row>
      <xdr:rowOff>66675</xdr:rowOff>
    </xdr:from>
    <xdr:ext cx="6915150" cy="16478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82</xdr:row>
      <xdr:rowOff>0</xdr:rowOff>
    </xdr:from>
    <xdr:ext cx="7362825" cy="21526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93</xdr:row>
      <xdr:rowOff>57150</xdr:rowOff>
    </xdr:from>
    <xdr:ext cx="7362825" cy="914400"/>
    <xdr:pic>
      <xdr:nvPicPr>
        <xdr:cNvPr id="4" name="image7.png" title="Imag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101</xdr:row>
      <xdr:rowOff>0</xdr:rowOff>
    </xdr:from>
    <xdr:ext cx="7124700" cy="104775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108</xdr:row>
      <xdr:rowOff>0</xdr:rowOff>
    </xdr:from>
    <xdr:ext cx="7115175" cy="63817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112</xdr:row>
      <xdr:rowOff>190500</xdr:rowOff>
    </xdr:from>
    <xdr:ext cx="7124700" cy="1552575"/>
    <xdr:pic>
      <xdr:nvPicPr>
        <xdr:cNvPr id="7" name="image10.png" title="Imag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123</xdr:row>
      <xdr:rowOff>0</xdr:rowOff>
    </xdr:from>
    <xdr:ext cx="7515225" cy="1333500"/>
    <xdr:pic>
      <xdr:nvPicPr>
        <xdr:cNvPr id="8" name="image6.png" title="Imag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130</xdr:row>
      <xdr:rowOff>190500</xdr:rowOff>
    </xdr:from>
    <xdr:ext cx="7515225" cy="1562100"/>
    <xdr:pic>
      <xdr:nvPicPr>
        <xdr:cNvPr id="9" name="image8.png" title="Imag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141</xdr:row>
      <xdr:rowOff>0</xdr:rowOff>
    </xdr:from>
    <xdr:ext cx="7372350" cy="1962150"/>
    <xdr:pic>
      <xdr:nvPicPr>
        <xdr:cNvPr id="10" name="image12.png" title="Image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153</xdr:row>
      <xdr:rowOff>0</xdr:rowOff>
    </xdr:from>
    <xdr:ext cx="6010275" cy="1638300"/>
    <xdr:pic>
      <xdr:nvPicPr>
        <xdr:cNvPr id="11" name="image4.png" title="Imag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164</xdr:row>
      <xdr:rowOff>0</xdr:rowOff>
    </xdr:from>
    <xdr:ext cx="7381875" cy="1285875"/>
    <xdr:pic>
      <xdr:nvPicPr>
        <xdr:cNvPr id="12" name="image9.png" title="Image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175</xdr:row>
      <xdr:rowOff>0</xdr:rowOff>
    </xdr:from>
    <xdr:ext cx="8001000" cy="2219325"/>
    <xdr:pic>
      <xdr:nvPicPr>
        <xdr:cNvPr id="13" name="image11.png" title="Image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194</xdr:row>
      <xdr:rowOff>0</xdr:rowOff>
    </xdr:from>
    <xdr:ext cx="14382750" cy="628650"/>
    <xdr:pic>
      <xdr:nvPicPr>
        <xdr:cNvPr id="14" name="image14.png" title="Image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199</xdr:row>
      <xdr:rowOff>0</xdr:rowOff>
    </xdr:from>
    <xdr:ext cx="12963525" cy="3429000"/>
    <xdr:pic>
      <xdr:nvPicPr>
        <xdr:cNvPr id="15" name="image13.png" title="Image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601853" refreshedVersion="8" recordCount="19" xr:uid="{00000000-000A-0000-FFFF-FFFF07000000}">
  <cacheSource type="worksheet">
    <worksheetSource ref="A1:A1000" sheet="Taarini"/>
  </cacheSource>
  <cacheFields count="1">
    <cacheField name="Script" numFmtId="0">
      <sharedItems containsBlank="1" count="16">
        <m/>
        <s v="NSE:AEGISCHEM"/>
        <s v="NSE:CENTUM"/>
        <s v="NSE:DIXON"/>
        <s v="NSE:GET&amp;D"/>
        <s v="NSE:HFCL"/>
        <s v="NSE:ICIL"/>
        <s v="NSE:INDIANB"/>
        <s v="NSE:MARATHON"/>
        <s v="NSE:MIRCELECTR"/>
        <s v="NSE:PRSMJOHNSN"/>
        <s v="NSE:SANDHAR"/>
        <s v="NSE:SMLISUZU"/>
        <s v="NSE:SPLPETRO"/>
        <s v="NSE:SWARAJENG"/>
        <s v="NSE:ZENSAR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601853" refreshedVersion="8" recordCount="32" xr:uid="{00000000-000A-0000-FFFF-FFFF06000000}">
  <cacheSource type="worksheet">
    <worksheetSource ref="A1:A996" sheet="NikhilZ1"/>
  </cacheSource>
  <cacheFields count="1">
    <cacheField name="Script" numFmtId="0">
      <sharedItems containsBlank="1" count="28">
        <m/>
        <s v="NSE:AEGISCHEM"/>
        <s v="NSE:ALLSEC"/>
        <s v="NSE:BHARTIARTL"/>
        <s v="NSE:DIXON"/>
        <s v="NSE:GOLDBEES"/>
        <s v="NSE:HAVELLS"/>
        <s v="NSE:INDIANB"/>
        <s v="NSE:KEI"/>
        <s v="NSE:NLCINDIA"/>
        <s v="NSE:RICOAUTO"/>
        <s v="NSE:SANDHAR"/>
        <s v="NSE:SMLISUZU"/>
        <s v="NSE:SOLARINDS"/>
        <s v="NSE:TCS"/>
        <s v="NSE:DEEPINDS"/>
        <s v="NSE:MUTHOOTFIN"/>
        <s v="NSE:HINDCOPPER"/>
        <s v="NSE:HGINFRA"/>
        <s v="NSE:INDHOTEL"/>
        <s v="NSE:IMFA"/>
        <s v="NSE:JSWENERGY"/>
        <s v="NSE:KSB"/>
        <s v="NSE:SHRIRAMFIN"/>
        <s v="NSE:MOTILALOFS"/>
        <s v="NSE:PFOCUS"/>
        <s v="NSE:PETRONET"/>
        <s v="NSE:NAM-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601853" refreshedVersion="8" recordCount="32" xr:uid="{00000000-000A-0000-FFFF-FFFF05000000}">
  <cacheSource type="worksheet">
    <worksheetSource ref="A1:A996" sheet="Arushi Gupta"/>
  </cacheSource>
  <cacheFields count="1">
    <cacheField name="Script" numFmtId="0">
      <sharedItems containsBlank="1" count="27">
        <m/>
        <s v="NSE:AEGISCHEM"/>
        <s v="NSE:ALBERTDAVD"/>
        <s v="NSE:BALMLAWRIE"/>
        <s v="NSE:BANKINDIA"/>
        <s v="NSE:BLKASHYAP"/>
        <s v="NSE:CENTUM"/>
        <s v="NSE:DIXON"/>
        <s v="NSE:GOLDBEES"/>
        <s v="NSE:HFCL"/>
        <s v="NSE:HUDCO"/>
        <s v="NSE:INDIANB"/>
        <s v="NSE:JAYBARMARU"/>
        <s v="NSE:MIRCELECTR"/>
        <s v="NSE:PFOCUS"/>
        <s v="NSE:ROHLTD"/>
        <s v="NSE:SASKEN"/>
        <s v="NSE:SHREDIGCEM"/>
        <s v="NSE:SMLISUZU"/>
        <s v="NSE:SOLARINDS"/>
        <s v="NSE:SPCENET"/>
        <s v="NSE:SPLPETRO"/>
        <s v="NSE:STARCEMENT"/>
        <s v="NSE:SWARAJENG"/>
        <s v="NSE:TCS"/>
        <s v="NSE:TEXRAIL"/>
        <s v="NSE:ZENSAR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601853" refreshedVersion="8" recordCount="32" xr:uid="{00000000-000A-0000-FFFF-FFFF04000000}">
  <cacheSource type="worksheet">
    <worksheetSource ref="A1:A989" sheet="Tanvi Gupta"/>
  </cacheSource>
  <cacheFields count="1">
    <cacheField name="Script" numFmtId="0">
      <sharedItems containsBlank="1" count="30">
        <m/>
        <s v="NSE:AEGISCHEM"/>
        <s v="NSE:ALBERTDAVD"/>
        <s v="NSE:BALMLAWRIE"/>
        <s v="NSE:BANKINDIA"/>
        <s v="NSE:BLKASHYAP"/>
        <s v="NSE:CENTUM"/>
        <s v="NSE:CONFIPET"/>
        <s v="NSE:DIXON"/>
        <s v="NSE:GOLDBEES"/>
        <s v="NSE:HERITGFOOD"/>
        <s v="NSE:HFCL"/>
        <s v="NSE:HUDCO"/>
        <s v="NSE:ICIL"/>
        <s v="NSE:INDIANB"/>
        <s v="NSE:JAYBARMARU"/>
        <s v="NSE:KEI"/>
        <s v="NSE:MIRCELECTR"/>
        <s v="NSE:ORIENTCER"/>
        <s v="NSE:PFOCUS"/>
        <s v="NSE:ROHLTD"/>
        <s v="NSE:SASKEN"/>
        <s v="NSE:SOLARINDS"/>
        <s v="NSE:SPCENET"/>
        <s v="NSE:STARCEMENT"/>
        <s v="NSE:SWARAJENG"/>
        <s v="NSE:TCS"/>
        <s v="NSE:TEXRAIL"/>
        <s v="NSE:TIPSINDLTD"/>
        <s v="NSE:ZENSAR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717591" refreshedVersion="8" recordCount="32" xr:uid="{00000000-000A-0000-FFFF-FFFF03000000}">
  <cacheSource type="worksheet">
    <worksheetSource ref="A1:A1064" sheet="sheela maam"/>
  </cacheSource>
  <cacheFields count="1">
    <cacheField name="Script" numFmtId="0">
      <sharedItems containsBlank="1" count="26">
        <m/>
        <s v="NSE:AEGISCHEM"/>
        <s v="NSE:ALBERTDAVD"/>
        <s v="NSE:ARIHANTSUP"/>
        <s v="NSE:BANKINDIA"/>
        <s v="NSE:BLKASHYAP"/>
        <s v="NSE:CENTUM"/>
        <s v="NSE:DIXON"/>
        <s v="NSE:GOLDBEES"/>
        <s v="NSE:HAVELLS"/>
        <s v="NSE:HFCL"/>
        <s v="NSE:INDIANB"/>
        <s v="NSE:ITDCEM"/>
        <s v="NSE:JAYBARMARU"/>
        <s v="NSE:KEI"/>
        <s v="NSE:MARKSANS"/>
        <s v="NSE:PFOCUS"/>
        <s v="NSE:ROHLTD"/>
        <s v="NSE:SANDHAR"/>
        <s v="NSE:SMLISUZU"/>
        <s v="NSE:SOLARINDS"/>
        <s v="NSE:SPLPETRO"/>
        <s v="NSE:SWARAJENG"/>
        <s v="NSE:TCS"/>
        <s v="NSE:WINDLAS"/>
        <s v="NSE:ZENSAR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717591" refreshedVersion="8" recordCount="48" xr:uid="{00000000-000A-0000-FFFF-FFFF02000000}">
  <cacheSource type="worksheet">
    <worksheetSource ref="A1:A998" sheet="kredent-new"/>
  </cacheSource>
  <cacheFields count="1">
    <cacheField name="Script" numFmtId="0">
      <sharedItems containsBlank="1" count="39">
        <m/>
        <s v="NSE:BANKINDIA"/>
        <s v="NSE:ZENSARTECH"/>
        <s v="NSE:ARIHANTSUP"/>
        <s v="NSE:SASKEN"/>
        <s v="NSE:SHREDIGCEM"/>
        <s v="NSE:SHRIPISTON"/>
        <s v="NSE:INDOTECH"/>
        <s v="NSE:JAYBARMARU"/>
        <s v="NSE:TIPSINDLTD"/>
        <s v="NSE:CONFIPET"/>
        <s v="NSE:PFOCUS"/>
        <s v="NSE:GET&amp;D"/>
        <s v="NSE:PRSMJOHNSN"/>
        <s v="NSE:SMLISUZU"/>
        <s v="NSE:INDIANB"/>
        <s v="NSE:AEGISCHEM"/>
        <s v="NSE:ALLSEC"/>
        <s v="NSE:DIXON"/>
        <s v="NSE:GOLDBEES"/>
        <s v="NSE:SOLARINDS"/>
        <s v="NSE:DEEPINDS"/>
        <s v="NSE:HINDCOPPER"/>
        <s v="NSE:MUTHOOTFIN"/>
        <s v="NSE:HGINFRA"/>
        <s v="NSE:INDHOTEL"/>
        <s v="NSE:IMFA"/>
        <s v="NSE:JSWENERGY"/>
        <s v="NSE:LOKESHMACH"/>
        <s v="NSE:CAREERP"/>
        <s v="NSE:NCC"/>
        <s v="NSE:AJMERA"/>
        <s v="NSE:SAIL"/>
        <s v="NSE:NAM-INDIA"/>
        <s v="NSE:CAPACITE"/>
        <s v="NSE:PETRONET"/>
        <s v="NSE:GULFOILLUB"/>
        <s v="NSE:SHRIRAMFIN"/>
        <s v="NSE:MOTILALOF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717591" refreshedVersion="8" recordCount="192" xr:uid="{00000000-000A-0000-FFFF-FFFF01000000}">
  <cacheSource type="worksheet">
    <worksheetSource ref="A1:A998" sheet="Vikaas"/>
  </cacheSource>
  <cacheFields count="1">
    <cacheField name="Script" numFmtId="0">
      <sharedItems containsBlank="1" count="7">
        <m/>
        <s v="NSE:CONFIPET"/>
        <s v="NSE:BANKINDIA"/>
        <s v="NSE:BLKASHYAP"/>
        <s v="NSE:JAYBARMARU"/>
        <s v="NSE:PFOCUS"/>
        <s v="NSE:SANDH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630545717591" refreshedVersion="8" recordCount="64" xr:uid="{00000000-000A-0000-FFFF-FFFF00000000}">
  <cacheSource type="worksheet">
    <worksheetSource ref="A1:A1003" sheet="Rajesh sir"/>
  </cacheSource>
  <cacheFields count="1">
    <cacheField name="Script" numFmtId="0">
      <sharedItems containsBlank="1" count="48">
        <m/>
        <s v="NSE:EIHOTEL"/>
        <s v="NSE:BANKINDIA"/>
        <s v="NSE:ZENSARTECH"/>
        <s v="NSE:SNOWMAN"/>
        <s v="NSE:ARIHANTSUP"/>
        <s v="NSE:GIPCL"/>
        <s v="NSE:CYIENT"/>
        <s v="NSE:TEXRAIL"/>
        <s v="NSE:HUDCO"/>
        <s v="NSE:SASKEN"/>
        <s v="NSE:SHRIPISTON"/>
        <s v="NSE:INDOTECH"/>
        <s v="NSE:TIPSINDLTD"/>
        <s v="NSE:ALLSEC"/>
        <s v="NSE:CENTUM"/>
        <s v="NSE:DIXON"/>
        <s v="NSE:GOLDBEES"/>
        <s v="NSE:HAVELLS"/>
        <s v="NSE:ICIL"/>
        <s v="NSE:INDIANB"/>
        <s v="NSE:KEI"/>
        <s v="NSE:MARATHON"/>
        <s v="NSE:MIRCELECTR"/>
        <s v="NSE:RICOAUTO"/>
        <s v="NSE:ROHLTD"/>
        <s v="NSE:SANDHAR"/>
        <s v="NSE:SMLISUZU"/>
        <s v="NSE:SOLARINDS"/>
        <s v="NSE:SPLPETRO"/>
        <s v="NSE:SWARAJENG"/>
        <s v="NSE:TCS"/>
        <s v="NSE:AEGISCHEM"/>
        <s v="NSE:JAYBARMARU"/>
        <s v="NSE:KAMDHENU"/>
        <s v="NSE:MARKSANS"/>
        <s v="NSE:PFOCUS"/>
        <s v="NSE:CENTURYTEX"/>
        <s v="NSE:DEEPINDS"/>
        <s v="NSE:GULFOILLUB"/>
        <s v="NSE:HINDCOPPER"/>
        <s v="NSE:INDHOTEL"/>
        <s v="NSE:IMFA"/>
        <s v="NSE:JSWENERGY"/>
        <s v="NSE:LOKESHMACH"/>
        <s v="NSE:MUTHOOTFIN"/>
        <s v="NSE:SPCENET"/>
        <s v="NSE:N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11"/>
  </r>
  <r>
    <x v="12"/>
  </r>
  <r>
    <x v="13"/>
  </r>
  <r>
    <x v="0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0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0"/>
  </r>
  <r>
    <x v="0"/>
  </r>
  <r>
    <x v="1"/>
  </r>
  <r>
    <x v="2"/>
  </r>
  <r>
    <x v="3"/>
  </r>
  <r>
    <x v="4"/>
  </r>
  <r>
    <x v="1"/>
  </r>
  <r>
    <x v="5"/>
  </r>
  <r>
    <x v="6"/>
  </r>
  <r>
    <x v="7"/>
  </r>
  <r>
    <x v="8"/>
  </r>
  <r>
    <x v="9"/>
  </r>
  <r>
    <x v="10"/>
  </r>
  <r>
    <x v="11"/>
  </r>
  <r>
    <x v="10"/>
  </r>
  <r>
    <x v="12"/>
  </r>
  <r>
    <x v="13"/>
  </r>
  <r>
    <x v="14"/>
  </r>
  <r>
    <x v="15"/>
  </r>
  <r>
    <x v="11"/>
  </r>
  <r>
    <x v="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4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CLIENT SECTOR ALLOC 6" cacheId="19" applyNumberFormats="0" applyBorderFormats="0" applyFontFormats="0" applyPatternFormats="0" applyAlignmentFormats="0" applyWidthHeightFormats="0" dataCaption="" updatedVersion="8" compact="0" compactData="0">
  <location ref="U4:U32" firstHeaderRow="1" firstDataRow="1" firstDataCol="1"/>
  <pivotFields count="1">
    <pivotField name="Script" axis="axisRow" compact="0" outline="0" multipleItemSelectionAllowed="1" showAll="0" sortType="ascending">
      <items count="2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CLIENT SECTOR ALLOC" cacheId="39" applyNumberFormats="0" applyBorderFormats="0" applyFontFormats="0" applyPatternFormats="0" applyAlignmentFormats="0" applyWidthHeightFormats="0" dataCaption="" updatedVersion="8" compact="0" compactData="0">
  <location ref="A4:A53" firstHeaderRow="1" firstDataRow="1" firstDataCol="1"/>
  <pivotFields count="1">
    <pivotField name="Script" axis="axisRow" compact="0" outline="0" multipleItemSelectionAllowed="1" showAll="0" sortType="ascending">
      <items count="49">
        <item x="32"/>
        <item x="14"/>
        <item x="5"/>
        <item x="2"/>
        <item x="15"/>
        <item x="37"/>
        <item x="7"/>
        <item x="38"/>
        <item x="16"/>
        <item x="1"/>
        <item x="6"/>
        <item x="17"/>
        <item x="39"/>
        <item x="18"/>
        <item x="40"/>
        <item x="9"/>
        <item x="19"/>
        <item x="42"/>
        <item x="41"/>
        <item x="20"/>
        <item x="12"/>
        <item x="33"/>
        <item x="43"/>
        <item x="34"/>
        <item x="21"/>
        <item x="44"/>
        <item x="22"/>
        <item x="35"/>
        <item x="23"/>
        <item x="45"/>
        <item x="47"/>
        <item x="36"/>
        <item x="24"/>
        <item x="25"/>
        <item x="26"/>
        <item x="10"/>
        <item x="11"/>
        <item x="27"/>
        <item x="4"/>
        <item x="28"/>
        <item x="46"/>
        <item x="29"/>
        <item x="30"/>
        <item x="31"/>
        <item x="8"/>
        <item x="13"/>
        <item x="3"/>
        <item x="0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CLIENT SECTOR ALLOC 2" cacheId="35" applyNumberFormats="0" applyBorderFormats="0" applyFontFormats="0" applyPatternFormats="0" applyAlignmentFormats="0" applyWidthHeightFormats="0" dataCaption="" updatedVersion="8" compact="0" compactData="0">
  <location ref="E4:E12" firstHeaderRow="1" firstDataRow="1" firstDataCol="1"/>
  <pivotFields count="1">
    <pivotField name="Script" axis="axisRow" compact="0" outline="0" multipleItemSelectionAllowed="1" showAll="0" sortType="ascending">
      <items count="8">
        <item x="2"/>
        <item x="3"/>
        <item x="1"/>
        <item x="4"/>
        <item x="5"/>
        <item x="6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CLIENT SECTOR ALLOC 7" cacheId="15" applyNumberFormats="0" applyBorderFormats="0" applyFontFormats="0" applyPatternFormats="0" applyAlignmentFormats="0" applyWidthHeightFormats="0" dataCaption="" updatedVersion="8" compact="0" compactData="0">
  <location ref="Z4:Z33" firstHeaderRow="1" firstDataRow="1" firstDataCol="1"/>
  <pivotFields count="1">
    <pivotField name="Script" axis="axisRow" compact="0" outline="0" multipleItemSelectionAllowed="1" showAll="0" sortType="ascending">
      <items count="29">
        <item x="1"/>
        <item x="2"/>
        <item x="3"/>
        <item x="15"/>
        <item x="4"/>
        <item x="5"/>
        <item x="6"/>
        <item x="18"/>
        <item x="17"/>
        <item x="20"/>
        <item x="19"/>
        <item x="7"/>
        <item x="21"/>
        <item x="8"/>
        <item x="22"/>
        <item x="24"/>
        <item x="16"/>
        <item x="27"/>
        <item x="9"/>
        <item x="26"/>
        <item x="25"/>
        <item x="10"/>
        <item x="11"/>
        <item x="23"/>
        <item x="12"/>
        <item x="13"/>
        <item x="14"/>
        <item x="0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CLIENT SECTOR ALLOC 3" cacheId="31" applyNumberFormats="0" applyBorderFormats="0" applyFontFormats="0" applyPatternFormats="0" applyAlignmentFormats="0" applyWidthHeightFormats="0" dataCaption="" updatedVersion="8" compact="0" compactData="0">
  <location ref="I4:I44" firstHeaderRow="1" firstDataRow="1" firstDataCol="1"/>
  <pivotFields count="1">
    <pivotField name="Script" axis="axisRow" compact="0" outline="0" multipleItemSelectionAllowed="1" showAll="0" sortType="ascending">
      <items count="40">
        <item x="16"/>
        <item x="31"/>
        <item x="17"/>
        <item x="3"/>
        <item x="1"/>
        <item x="34"/>
        <item x="29"/>
        <item x="10"/>
        <item x="21"/>
        <item x="18"/>
        <item x="12"/>
        <item x="19"/>
        <item x="36"/>
        <item x="24"/>
        <item x="22"/>
        <item x="26"/>
        <item x="25"/>
        <item x="15"/>
        <item x="7"/>
        <item x="8"/>
        <item x="27"/>
        <item x="28"/>
        <item x="38"/>
        <item x="23"/>
        <item x="33"/>
        <item x="30"/>
        <item x="35"/>
        <item x="11"/>
        <item x="13"/>
        <item x="32"/>
        <item x="4"/>
        <item x="5"/>
        <item x="6"/>
        <item x="37"/>
        <item x="14"/>
        <item x="20"/>
        <item x="9"/>
        <item x="2"/>
        <item x="0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CLIENT SECTOR ALLOC 8" cacheId="11" applyNumberFormats="0" applyBorderFormats="0" applyFontFormats="0" applyPatternFormats="0" applyAlignmentFormats="0" applyWidthHeightFormats="0" dataCaption="" updatedVersion="8" compact="0" compactData="0">
  <location ref="AE4:AE21" firstHeaderRow="1" firstDataRow="1" firstDataCol="1"/>
  <pivotFields count="1">
    <pivotField name="Script" axis="axisRow" compact="0" outline="0" multipleItemSelectionAllowed="1" showAll="0" sortType="ascending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CLIENT SECTOR ALLOC 4" cacheId="27" applyNumberFormats="0" applyBorderFormats="0" applyFontFormats="0" applyPatternFormats="0" applyAlignmentFormats="0" applyWidthHeightFormats="0" dataCaption="" updatedVersion="8" compact="0" compactData="0">
  <location ref="M4:M31" firstHeaderRow="1" firstDataRow="1" firstDataCol="1"/>
  <pivotFields count="1">
    <pivotField name="Script" axis="axisRow" compact="0" outline="0" multipleItemSelectionAllowed="1" showAll="0" sortType="ascending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CLIENT SECTOR ALLOC 5" cacheId="23" applyNumberFormats="0" applyBorderFormats="0" applyFontFormats="0" applyPatternFormats="0" applyAlignmentFormats="0" applyWidthHeightFormats="0" dataCaption="" updatedVersion="8" compact="0" compactData="0">
  <location ref="Q4:Q35" firstHeaderRow="1" firstDataRow="1" firstDataCol="1"/>
  <pivotFields count="1">
    <pivotField name="Script" axis="axisRow" compact="0" outline="0" multipleItemSelectionAllowed="1" showAll="0" sortType="ascending">
      <items count="3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/>
  <sheetData>
    <row r="1" spans="1:34" ht="15" customHeight="1">
      <c r="D1" s="1"/>
      <c r="H1" s="1"/>
      <c r="L1" s="1"/>
      <c r="P1" s="1"/>
      <c r="T1" s="1"/>
      <c r="X1" s="1"/>
    </row>
    <row r="2" spans="1:34" ht="15" customHeight="1">
      <c r="A2" s="266" t="s">
        <v>0</v>
      </c>
      <c r="B2" s="267"/>
      <c r="C2" s="267"/>
      <c r="D2" s="1"/>
      <c r="E2" s="266" t="s">
        <v>1</v>
      </c>
      <c r="F2" s="267"/>
      <c r="G2" s="267"/>
      <c r="H2" s="1"/>
      <c r="I2" s="266" t="s">
        <v>2</v>
      </c>
      <c r="J2" s="267"/>
      <c r="K2" s="267"/>
      <c r="L2" s="1"/>
      <c r="M2" s="3" t="s">
        <v>3</v>
      </c>
      <c r="P2" s="1"/>
      <c r="Q2" s="3" t="s">
        <v>4</v>
      </c>
      <c r="T2" s="1"/>
      <c r="U2" s="3" t="s">
        <v>5</v>
      </c>
      <c r="X2" s="1"/>
      <c r="Z2" s="3" t="s">
        <v>6</v>
      </c>
      <c r="AE2" s="3" t="s">
        <v>7</v>
      </c>
    </row>
    <row r="3" spans="1:34" ht="15" customHeight="1">
      <c r="D3" s="1" t="s">
        <v>8</v>
      </c>
      <c r="H3" s="1" t="s">
        <v>8</v>
      </c>
      <c r="L3" s="1" t="s">
        <v>8</v>
      </c>
      <c r="P3" s="1" t="s">
        <v>8</v>
      </c>
      <c r="T3" s="1" t="s">
        <v>8</v>
      </c>
      <c r="X3" s="1" t="s">
        <v>8</v>
      </c>
      <c r="AC3" s="1" t="s">
        <v>8</v>
      </c>
      <c r="AH3" s="1" t="s">
        <v>8</v>
      </c>
    </row>
    <row r="4" spans="1:34" ht="15" customHeight="1">
      <c r="A4" s="268" t="s">
        <v>9</v>
      </c>
      <c r="D4" s="1">
        <f ca="1">AVERAGE(D6:D135)</f>
        <v>52001.278912936963</v>
      </c>
      <c r="E4" s="268" t="s">
        <v>9</v>
      </c>
      <c r="H4" s="1">
        <f ca="1">AVERAGE(H6:H135)</f>
        <v>12879.986154716667</v>
      </c>
      <c r="I4" s="268" t="s">
        <v>9</v>
      </c>
      <c r="L4" s="1">
        <f ca="1">AVERAGE(L6:L135)</f>
        <v>24008.512344021874</v>
      </c>
      <c r="M4" s="268" t="s">
        <v>9</v>
      </c>
      <c r="P4" s="1">
        <f ca="1">AVERAGE(P6:P135)</f>
        <v>80493.298910208337</v>
      </c>
      <c r="Q4" s="268" t="s">
        <v>9</v>
      </c>
      <c r="T4" s="1">
        <f ca="1">AVERAGE(T6:T135)</f>
        <v>67461.484397078573</v>
      </c>
      <c r="U4" s="268" t="s">
        <v>9</v>
      </c>
      <c r="X4" s="1">
        <f ca="1">AVERAGE(X6:X135)</f>
        <v>73992.956900707999</v>
      </c>
      <c r="Z4" s="268" t="s">
        <v>9</v>
      </c>
      <c r="AC4" s="1">
        <f ca="1">AVERAGE(AC6:AC135)</f>
        <v>118280.11350378463</v>
      </c>
      <c r="AE4" s="268" t="s">
        <v>9</v>
      </c>
      <c r="AH4" s="1">
        <f ca="1">AVERAGE(AH6:AH135)</f>
        <v>15224.122892746665</v>
      </c>
    </row>
    <row r="5" spans="1:34" ht="15" customHeight="1">
      <c r="A5" s="269" t="s">
        <v>10</v>
      </c>
      <c r="D5" s="1"/>
      <c r="E5" s="269" t="s">
        <v>11</v>
      </c>
      <c r="H5" s="1"/>
      <c r="I5" s="269" t="s">
        <v>10</v>
      </c>
      <c r="L5" s="1"/>
      <c r="M5" s="269" t="s">
        <v>10</v>
      </c>
      <c r="P5" s="1"/>
      <c r="Q5" s="269" t="s">
        <v>10</v>
      </c>
      <c r="T5" s="1"/>
      <c r="U5" s="269" t="s">
        <v>10</v>
      </c>
      <c r="X5" s="1"/>
      <c r="Z5" s="269" t="s">
        <v>10</v>
      </c>
      <c r="AE5" s="269" t="s">
        <v>10</v>
      </c>
    </row>
    <row r="6" spans="1:34" ht="15" customHeight="1">
      <c r="A6" s="270" t="s">
        <v>12</v>
      </c>
      <c r="C6" s="3" t="str">
        <f>VLOOKUP(A6,'all stocks &gt; 500 cr'!$B:$H,6,0)</f>
        <v>Software &amp; Services</v>
      </c>
      <c r="D6" s="4">
        <f ca="1">IFERROR(__xludf.DUMMYFUNCTION("GOOGLEFINANCE(A6,""marketcap"")/10000000"),16920.0347476)</f>
        <v>16920.034747599999</v>
      </c>
      <c r="E6" s="270" t="s">
        <v>13</v>
      </c>
      <c r="G6" s="3" t="str">
        <f>VLOOKUP(E6,'all stocks &gt; 500 cr'!$B:$H,6,0)</f>
        <v>Cement and Construction</v>
      </c>
      <c r="H6" s="4">
        <f ca="1">IFERROR(__xludf.DUMMYFUNCTION("GOOGLEFINANCE(E6,""marketcap"")/10000000"),65239.9065977)</f>
        <v>65239.906597699999</v>
      </c>
      <c r="I6" s="270" t="s">
        <v>14</v>
      </c>
      <c r="K6" s="3" t="str">
        <f>VLOOKUP(I6,'all stocks &gt; 500 cr'!$B:$H,6,0)</f>
        <v>Realty</v>
      </c>
      <c r="L6" s="4">
        <f ca="1">IFERROR(__xludf.DUMMYFUNCTION("GOOGLEFINANCE(I6,""marketcap"")/10000000"),16920.0347476)</f>
        <v>16920.034747599999</v>
      </c>
      <c r="M6" s="270" t="s">
        <v>15</v>
      </c>
      <c r="O6" s="3" t="str">
        <f>VLOOKUP(M6,'all stocks &gt; 500 cr'!$B:$H,6,0)</f>
        <v>Pharmaceuticals &amp; Biotechnology</v>
      </c>
      <c r="P6" s="4">
        <f ca="1">IFERROR(__xludf.DUMMYFUNCTION("GOOGLEFINANCE(M6,""marketcap"")/10000000"),16920.0347476)</f>
        <v>16920.034747599999</v>
      </c>
      <c r="Q6" s="270" t="s">
        <v>15</v>
      </c>
      <c r="S6" s="3" t="str">
        <f>VLOOKUP(Q6,'all stocks &gt; 500 cr'!$B:$H,6,0)</f>
        <v>Pharmaceuticals &amp; Biotechnology</v>
      </c>
      <c r="T6" s="4">
        <f ca="1">IFERROR(__xludf.DUMMYFUNCTION("GOOGLEFINANCE(Q6,""marketcap"")/10000000"),16920.0347476)</f>
        <v>16920.034747599999</v>
      </c>
      <c r="U6" s="270" t="s">
        <v>15</v>
      </c>
      <c r="W6" s="3" t="str">
        <f>VLOOKUP(U6,'all stocks &gt; 500 cr'!$B:$H,6,0)</f>
        <v>Pharmaceuticals &amp; Biotechnology</v>
      </c>
      <c r="X6" s="4">
        <f ca="1">IFERROR(__xludf.DUMMYFUNCTION("GOOGLEFINANCE(U6,""marketcap"")/10000000"),16920.0347476)</f>
        <v>16920.034747599999</v>
      </c>
      <c r="Z6" s="270" t="s">
        <v>12</v>
      </c>
      <c r="AB6" s="3" t="str">
        <f>VLOOKUP(Z6,'all stocks &gt; 500 cr'!$B:$H,6,0)</f>
        <v>Software &amp; Services</v>
      </c>
      <c r="AC6" s="1">
        <f>VLOOKUP(Z6,'all stocks &gt; 500 cr'!$B:$H,7,0)</f>
        <v>968.1</v>
      </c>
      <c r="AE6" s="270" t="s">
        <v>16</v>
      </c>
      <c r="AG6" s="3" t="str">
        <f>VLOOKUP(AE6,'all stocks &gt; 500 cr'!$B:$H,6,0)</f>
        <v>Commercial Services &amp; Supplies</v>
      </c>
      <c r="AH6" s="4">
        <f ca="1">IFERROR(__xludf.DUMMYFUNCTION("GOOGLEFINANCE(AE6,""marketcap"")/10000000"),16920.0347476)</f>
        <v>16920.034747599999</v>
      </c>
    </row>
    <row r="7" spans="1:34" ht="15" customHeight="1">
      <c r="A7" s="270" t="s">
        <v>17</v>
      </c>
      <c r="C7" s="3" t="str">
        <f>VLOOKUP(A7,'all stocks &gt; 500 cr'!B:H,6,0)</f>
        <v>Realty</v>
      </c>
      <c r="D7" s="4">
        <f ca="1">IFERROR(__xludf.DUMMYFUNCTION("GOOGLEFINANCE(A7,""marketcap"")/10000000"),1086.797)</f>
        <v>1086.797</v>
      </c>
      <c r="E7" s="270" t="s">
        <v>18</v>
      </c>
      <c r="G7" s="3" t="str">
        <f>VLOOKUP(E7,'all stocks &gt; 500 cr'!$B:$H,6,0)</f>
        <v>Oil &amp; Gas</v>
      </c>
      <c r="H7" s="4">
        <f ca="1">IFERROR(__xludf.DUMMYFUNCTION("GOOGLEFINANCE(E7,""marketcap"")/10000000"),1531.8640517)</f>
        <v>1531.8640516999999</v>
      </c>
      <c r="I7" s="270" t="s">
        <v>12</v>
      </c>
      <c r="K7" s="3" t="str">
        <f>VLOOKUP(I7,'all stocks &gt; 500 cr'!$B:$H,6,0)</f>
        <v>Software &amp; Services</v>
      </c>
      <c r="L7" s="4">
        <f ca="1">IFERROR(__xludf.DUMMYFUNCTION("GOOGLEFINANCE(I7,""marketcap"")/10000000"),2906.566)</f>
        <v>2906.5659999999998</v>
      </c>
      <c r="M7" s="270" t="s">
        <v>17</v>
      </c>
      <c r="O7" s="3" t="str">
        <f>VLOOKUP(M7,'all stocks &gt; 500 cr'!$B:$H,6,0)</f>
        <v>Realty</v>
      </c>
      <c r="P7" s="4">
        <f ca="1">IFERROR(__xludf.DUMMYFUNCTION("GOOGLEFINANCE(M7,""marketcap"")/10000000"),670.7057)</f>
        <v>670.70569999999998</v>
      </c>
      <c r="Q7" s="270" t="s">
        <v>19</v>
      </c>
      <c r="S7" s="3" t="str">
        <f>VLOOKUP(Q7,'all stocks &gt; 500 cr'!$B:$H,6,0)</f>
        <v>Commercial Services &amp; Supplies</v>
      </c>
      <c r="T7" s="4">
        <f ca="1">IFERROR(__xludf.DUMMYFUNCTION("GOOGLEFINANCE(Q7,""marketcap"")/10000000"),670.7057)</f>
        <v>670.70569999999998</v>
      </c>
      <c r="U7" s="270" t="s">
        <v>19</v>
      </c>
      <c r="W7" s="3" t="str">
        <f>VLOOKUP(U7,'all stocks &gt; 500 cr'!$B:$H,6,0)</f>
        <v>Commercial Services &amp; Supplies</v>
      </c>
      <c r="X7" s="4">
        <f ca="1">IFERROR(__xludf.DUMMYFUNCTION("GOOGLEFINANCE(U7,""marketcap"")/10000000"),670.7057)</f>
        <v>670.70569999999998</v>
      </c>
      <c r="Z7" s="270" t="s">
        <v>20</v>
      </c>
      <c r="AB7" s="3" t="str">
        <f>VLOOKUP(Z7,'all stocks &gt; 500 cr'!$B:$H,6,0)</f>
        <v>Telecom Services</v>
      </c>
      <c r="AC7" s="4">
        <f ca="1">IFERROR(__xludf.DUMMYFUNCTION("GOOGLEFINANCE(Z7,""marketcap"")/10000000"),1086.797)</f>
        <v>1086.797</v>
      </c>
      <c r="AE7" s="270" t="s">
        <v>21</v>
      </c>
      <c r="AG7" s="3" t="str">
        <f>VLOOKUP(AE7,'all stocks &gt; 500 cr'!$B:$H,6,0)</f>
        <v>Consumer Durables</v>
      </c>
      <c r="AH7" s="4">
        <f ca="1">IFERROR(__xludf.DUMMYFUNCTION("GOOGLEFINANCE(AE7,""marketcap"")/10000000"),2217.197)</f>
        <v>2217.1970000000001</v>
      </c>
    </row>
    <row r="8" spans="1:34" ht="15" customHeight="1">
      <c r="A8" s="270" t="s">
        <v>11</v>
      </c>
      <c r="C8" s="3" t="str">
        <f>VLOOKUP(A8,'all stocks &gt; 500 cr'!B:H,6,0)</f>
        <v>Banking and Finance</v>
      </c>
      <c r="D8" s="4">
        <f ca="1">IFERROR(__xludf.DUMMYFUNCTION("GOOGLEFINANCE(A8,""marketcap"")/10000000"),1514.382138)</f>
        <v>1514.3821379999999</v>
      </c>
      <c r="E8" s="270" t="s">
        <v>22</v>
      </c>
      <c r="G8" s="3" t="str">
        <f>VLOOKUP(E8,'all stocks &gt; 500 cr'!$B:$H,6,0)</f>
        <v>Automobiles &amp; Auto Components</v>
      </c>
      <c r="H8" s="4">
        <f ca="1">IFERROR(__xludf.DUMMYFUNCTION("GOOGLEFINANCE(E8,""marketcap"")/10000000"),2947.8000405)</f>
        <v>2947.8000404999998</v>
      </c>
      <c r="I8" s="270" t="s">
        <v>17</v>
      </c>
      <c r="K8" s="3" t="str">
        <f>VLOOKUP(I8,'all stocks &gt; 500 cr'!$B:$H,6,0)</f>
        <v>Realty</v>
      </c>
      <c r="L8" s="4">
        <f ca="1">IFERROR(__xludf.DUMMYFUNCTION("GOOGLEFINANCE(I8,""marketcap"")/10000000"),1086.797)</f>
        <v>1086.797</v>
      </c>
      <c r="M8" s="270" t="s">
        <v>11</v>
      </c>
      <c r="O8" s="3" t="str">
        <f>VLOOKUP(M8,'all stocks &gt; 500 cr'!$B:$H,6,0)</f>
        <v>Banking and Finance</v>
      </c>
      <c r="P8" s="4">
        <f ca="1">IFERROR(__xludf.DUMMYFUNCTION("GOOGLEFINANCE(M8,""marketcap"")/10000000"),1514.382138)</f>
        <v>1514.3821379999999</v>
      </c>
      <c r="Q8" s="270" t="s">
        <v>11</v>
      </c>
      <c r="S8" s="3" t="str">
        <f>VLOOKUP(Q8,'all stocks &gt; 500 cr'!$B:$H,6,0)</f>
        <v>Banking and Finance</v>
      </c>
      <c r="T8" s="4">
        <f ca="1">IFERROR(__xludf.DUMMYFUNCTION("GOOGLEFINANCE(Q8,""marketcap"")/10000000"),4399.929)</f>
        <v>4399.9290000000001</v>
      </c>
      <c r="U8" s="270" t="s">
        <v>11</v>
      </c>
      <c r="W8" s="3" t="str">
        <f>VLOOKUP(U8,'all stocks &gt; 500 cr'!$B:$H,6,0)</f>
        <v>Banking and Finance</v>
      </c>
      <c r="X8" s="4">
        <f ca="1">IFERROR(__xludf.DUMMYFUNCTION("GOOGLEFINANCE(U8,""marketcap"")/10000000"),4399.929)</f>
        <v>4399.9290000000001</v>
      </c>
      <c r="Z8" s="270" t="s">
        <v>23</v>
      </c>
      <c r="AB8" s="3" t="str">
        <f>VLOOKUP(Z8,'all stocks &gt; 500 cr'!$B:$H,6,0)</f>
        <v>Oil &amp; Gas</v>
      </c>
      <c r="AC8" s="4">
        <f ca="1">IFERROR(__xludf.DUMMYFUNCTION("GOOGLEFINANCE(Z8,""marketcap"")/10000000"),726471.5292877)</f>
        <v>726471.52928769996</v>
      </c>
      <c r="AE8" s="270" t="s">
        <v>24</v>
      </c>
      <c r="AG8" s="3" t="str">
        <f>VLOOKUP(AE8,'all stocks &gt; 500 cr'!$B:$H,6,0)</f>
        <v>General Industrials</v>
      </c>
      <c r="AH8" s="4">
        <f ca="1">IFERROR(__xludf.DUMMYFUNCTION("GOOGLEFINANCE(AE8,""marketcap"")/10000000"),46840.0070304)</f>
        <v>46840.007030399996</v>
      </c>
    </row>
    <row r="9" spans="1:34" ht="15" customHeight="1">
      <c r="A9" s="270" t="s">
        <v>16</v>
      </c>
      <c r="C9" s="3" t="str">
        <f>VLOOKUP(A9,'all stocks &gt; 500 cr'!B:H,6,0)</f>
        <v>Commercial Services &amp; Supplies</v>
      </c>
      <c r="D9" s="4">
        <f ca="1">IFERROR(__xludf.DUMMYFUNCTION("GOOGLEFINANCE(A9,""marketcap"")/10000000"),65239.9065977)</f>
        <v>65239.906597699999</v>
      </c>
      <c r="E9" s="270" t="s">
        <v>25</v>
      </c>
      <c r="G9" s="3" t="str">
        <f>VLOOKUP(E9,'all stocks &gt; 500 cr'!$B:$H,6,0)</f>
        <v>Media</v>
      </c>
      <c r="H9" s="4">
        <f ca="1">IFERROR(__xludf.DUMMYFUNCTION("GOOGLEFINANCE(E9,""marketcap"")/10000000"),1315.82124)</f>
        <v>1315.82124</v>
      </c>
      <c r="I9" s="270" t="s">
        <v>11</v>
      </c>
      <c r="K9" s="3" t="str">
        <f>VLOOKUP(I9,'all stocks &gt; 500 cr'!$B:$H,6,0)</f>
        <v>Banking and Finance</v>
      </c>
      <c r="L9" s="4">
        <f ca="1">IFERROR(__xludf.DUMMYFUNCTION("GOOGLEFINANCE(I9,""marketcap"")/10000000"),1514.382138)</f>
        <v>1514.3821379999999</v>
      </c>
      <c r="M9" s="270" t="s">
        <v>13</v>
      </c>
      <c r="O9" s="3" t="str">
        <f>VLOOKUP(M9,'all stocks &gt; 500 cr'!$B:$H,6,0)</f>
        <v>Cement and Construction</v>
      </c>
      <c r="P9" s="4">
        <f ca="1">IFERROR(__xludf.DUMMYFUNCTION("GOOGLEFINANCE(M9,""marketcap"")/10000000"),65239.9065977)</f>
        <v>65239.906597699999</v>
      </c>
      <c r="Q9" s="270" t="s">
        <v>13</v>
      </c>
      <c r="S9" s="3" t="str">
        <f>VLOOKUP(Q9,'all stocks &gt; 500 cr'!$B:$H,6,0)</f>
        <v>Cement and Construction</v>
      </c>
      <c r="T9" s="4">
        <f ca="1">IFERROR(__xludf.DUMMYFUNCTION("GOOGLEFINANCE(Q9,""marketcap"")/10000000"),65239.9065977)</f>
        <v>65239.906597699999</v>
      </c>
      <c r="U9" s="270" t="s">
        <v>13</v>
      </c>
      <c r="W9" s="3" t="str">
        <f>VLOOKUP(U9,'all stocks &gt; 500 cr'!$B:$H,6,0)</f>
        <v>Cement and Construction</v>
      </c>
      <c r="X9" s="4">
        <f ca="1">IFERROR(__xludf.DUMMYFUNCTION("GOOGLEFINANCE(U9,""marketcap"")/10000000"),65239.9065977)</f>
        <v>65239.906597699999</v>
      </c>
      <c r="Z9" s="270" t="s">
        <v>21</v>
      </c>
      <c r="AB9" s="3" t="str">
        <f>VLOOKUP(Z9,'all stocks &gt; 500 cr'!$B:$H,6,0)</f>
        <v>Consumer Durables</v>
      </c>
      <c r="AC9" s="4">
        <f ca="1">IFERROR(__xludf.DUMMYFUNCTION("GOOGLEFINANCE(Z9,""marketcap"")/10000000"),1958.4263175)</f>
        <v>1958.4263175000001</v>
      </c>
      <c r="AE9" s="270" t="s">
        <v>26</v>
      </c>
      <c r="AG9" s="3" t="str">
        <f>VLOOKUP(AE9,'all stocks &gt; 500 cr'!$B:$H,6,0)</f>
        <v>Telecommunications Equipment</v>
      </c>
      <c r="AH9" s="4">
        <f ca="1">IFERROR(__xludf.DUMMYFUNCTION("GOOGLEFINANCE(AE9,""marketcap"")/10000000"),22941.7664)</f>
        <v>22941.7664</v>
      </c>
    </row>
    <row r="10" spans="1:34" ht="15" customHeight="1">
      <c r="A10" s="270" t="s">
        <v>27</v>
      </c>
      <c r="C10" s="3" t="str">
        <f>VLOOKUP(A10,'all stocks &gt; 500 cr'!B:H,6,0)</f>
        <v>Commercial Services &amp; Supplies</v>
      </c>
      <c r="D10" s="4">
        <f ca="1">IFERROR(__xludf.DUMMYFUNCTION("GOOGLEFINANCE(A10,""marketcap"")/10000000"),2217.197)</f>
        <v>2217.1970000000001</v>
      </c>
      <c r="E10" s="270" t="s">
        <v>28</v>
      </c>
      <c r="G10" s="3" t="str">
        <f>VLOOKUP(E10,'all stocks &gt; 500 cr'!$B:$H,6,0)</f>
        <v>Automobiles &amp; Auto Components</v>
      </c>
      <c r="H10" s="4">
        <f ca="1">IFERROR(__xludf.DUMMYFUNCTION("GOOGLEFINANCE(E10,""marketcap"")/10000000"),3132.1378704)</f>
        <v>3132.1378703999999</v>
      </c>
      <c r="I10" s="270" t="s">
        <v>29</v>
      </c>
      <c r="K10" s="3" t="str">
        <f>VLOOKUP(I10,'all stocks &gt; 500 cr'!$B:$H,6,0)</f>
        <v>Cement and Construction</v>
      </c>
      <c r="L10" s="4">
        <f ca="1">IFERROR(__xludf.DUMMYFUNCTION("GOOGLEFINANCE(I10,""marketcap"")/10000000"),65239.9065977)</f>
        <v>65239.906597699999</v>
      </c>
      <c r="M10" s="270" t="s">
        <v>16</v>
      </c>
      <c r="O10" s="3" t="str">
        <f>VLOOKUP(M10,'all stocks &gt; 500 cr'!$B:$H,6,0)</f>
        <v>Commercial Services &amp; Supplies</v>
      </c>
      <c r="P10" s="4">
        <f ca="1">IFERROR(__xludf.DUMMYFUNCTION("GOOGLEFINANCE(M10,""marketcap"")/10000000"),1531.8640517)</f>
        <v>1531.8640516999999</v>
      </c>
      <c r="Q10" s="270" t="s">
        <v>16</v>
      </c>
      <c r="S10" s="3" t="str">
        <f>VLOOKUP(Q10,'all stocks &gt; 500 cr'!$B:$H,6,0)</f>
        <v>Commercial Services &amp; Supplies</v>
      </c>
      <c r="T10" s="4">
        <f ca="1">IFERROR(__xludf.DUMMYFUNCTION("GOOGLEFINANCE(Q10,""marketcap"")/10000000"),1531.8640517)</f>
        <v>1531.8640516999999</v>
      </c>
      <c r="U10" s="270" t="s">
        <v>16</v>
      </c>
      <c r="W10" s="3" t="str">
        <f>VLOOKUP(U10,'all stocks &gt; 500 cr'!$B:$H,6,0)</f>
        <v>Commercial Services &amp; Supplies</v>
      </c>
      <c r="X10" s="4">
        <f ca="1">IFERROR(__xludf.DUMMYFUNCTION("GOOGLEFINANCE(U10,""marketcap"")/10000000"),1531.8640517)</f>
        <v>1531.8640516999999</v>
      </c>
      <c r="Z10" s="270" t="s">
        <v>30</v>
      </c>
      <c r="AB10" s="3" t="e">
        <f>VLOOKUP(Z10,'all stocks &gt; 500 cr'!$B:$H,6,0)</f>
        <v>#N/A</v>
      </c>
      <c r="AC10" s="4">
        <f ca="1">IFERROR(__xludf.DUMMYFUNCTION("GOOGLEFINANCE(Z10,""marketcap"")/10000000"),46840.0070304)</f>
        <v>46840.007030399996</v>
      </c>
      <c r="AE10" s="270" t="s">
        <v>31</v>
      </c>
      <c r="AG10" s="3" t="str">
        <f>VLOOKUP(AE10,'all stocks &gt; 500 cr'!$B:$H,6,0)</f>
        <v>Textiles Apparels &amp; Accessories</v>
      </c>
      <c r="AH10" s="4">
        <f ca="1">IFERROR(__xludf.DUMMYFUNCTION("GOOGLEFINANCE(AE10,""marketcap"")/10000000"),14259.2998152)</f>
        <v>14259.2998152</v>
      </c>
    </row>
    <row r="11" spans="1:34" ht="15" customHeight="1">
      <c r="A11" s="270" t="s">
        <v>32</v>
      </c>
      <c r="C11" s="3" t="str">
        <f>VLOOKUP(A11,'all stocks &gt; 500 cr'!B:H,6,0)</f>
        <v>Software &amp; Services</v>
      </c>
      <c r="D11" s="4">
        <f ca="1">IFERROR(__xludf.DUMMYFUNCTION("GOOGLEFINANCE(A11,""marketcap"")/10000000"),19853.82)</f>
        <v>19853.82</v>
      </c>
      <c r="E11" s="270" t="s">
        <v>6169</v>
      </c>
      <c r="G11" s="3" t="e">
        <f>VLOOKUP(E11,'all stocks &gt; 500 cr'!$B:$H,6,0)</f>
        <v>#N/A</v>
      </c>
      <c r="H11" s="4">
        <f ca="1">IFERROR(__xludf.DUMMYFUNCTION("GOOGLEFINANCE(E11,""marketcap"")/10000000"),3112.387128)</f>
        <v>3112.3871279999998</v>
      </c>
      <c r="I11" s="270" t="s">
        <v>34</v>
      </c>
      <c r="K11" s="3" t="e">
        <f>VLOOKUP(I11,'all stocks &gt; 500 cr'!$B:$H,6,0)</f>
        <v>#N/A</v>
      </c>
      <c r="L11" s="4">
        <f ca="1">IFERROR(__xludf.DUMMYFUNCTION("GOOGLEFINANCE(I11,""marketcap"")/10000000"),2498.357)</f>
        <v>2498.357</v>
      </c>
      <c r="M11" s="270" t="s">
        <v>21</v>
      </c>
      <c r="O11" s="3" t="str">
        <f>VLOOKUP(M11,'all stocks &gt; 500 cr'!$B:$H,6,0)</f>
        <v>Consumer Durables</v>
      </c>
      <c r="P11" s="4">
        <f ca="1">IFERROR(__xludf.DUMMYFUNCTION("GOOGLEFINANCE(M11,""marketcap"")/10000000"),2217.197)</f>
        <v>2217.1970000000001</v>
      </c>
      <c r="Q11" s="270" t="s">
        <v>18</v>
      </c>
      <c r="S11" s="3" t="str">
        <f>VLOOKUP(Q11,'all stocks &gt; 500 cr'!$B:$H,6,0)</f>
        <v>Oil &amp; Gas</v>
      </c>
      <c r="T11" s="4">
        <f ca="1">IFERROR(__xludf.DUMMYFUNCTION("GOOGLEFINANCE(Q11,""marketcap"")/10000000"),2217.197)</f>
        <v>2217.1970000000001</v>
      </c>
      <c r="U11" s="270" t="s">
        <v>21</v>
      </c>
      <c r="W11" s="3" t="str">
        <f>VLOOKUP(U11,'all stocks &gt; 500 cr'!$B:$H,6,0)</f>
        <v>Consumer Durables</v>
      </c>
      <c r="X11" s="4">
        <f ca="1">IFERROR(__xludf.DUMMYFUNCTION("GOOGLEFINANCE(U11,""marketcap"")/10000000"),2217.197)</f>
        <v>2217.1970000000001</v>
      </c>
      <c r="Z11" s="270" t="s">
        <v>35</v>
      </c>
      <c r="AB11" s="3" t="str">
        <f>VLOOKUP(Z11,'all stocks &gt; 500 cr'!$B:$H,6,0)</f>
        <v>Consumer Durables</v>
      </c>
      <c r="AC11" s="4" t="str">
        <f ca="1">IFERROR(__xludf.DUMMYFUNCTION("GOOGLEFINANCE(Z11,""marketcap"")/10000000"),"#N/A")</f>
        <v>#N/A</v>
      </c>
      <c r="AE11" s="270" t="s">
        <v>36</v>
      </c>
      <c r="AG11" s="3" t="str">
        <f>VLOOKUP(AE11,'all stocks &gt; 500 cr'!$B:$H,6,0)</f>
        <v>Banking and Finance</v>
      </c>
      <c r="AH11" s="4">
        <f ca="1">IFERROR(__xludf.DUMMYFUNCTION("GOOGLEFINANCE(AE11,""marketcap"")/10000000"),7624.1011)</f>
        <v>7624.1010999999999</v>
      </c>
    </row>
    <row r="12" spans="1:34" ht="15" customHeight="1">
      <c r="A12" s="270" t="s">
        <v>23</v>
      </c>
      <c r="C12" s="3" t="str">
        <f>VLOOKUP(A12,'all stocks &gt; 500 cr'!B:H,6,0)</f>
        <v>Oil &amp; Gas</v>
      </c>
      <c r="D12" s="4">
        <f ca="1">IFERROR(__xludf.DUMMYFUNCTION("GOOGLEFINANCE(A12,""marketcap"")/10000000"),22958.8898321)</f>
        <v>22958.889832100002</v>
      </c>
      <c r="E12" s="271" t="s">
        <v>33</v>
      </c>
      <c r="G12" s="3" t="e">
        <f>VLOOKUP(E12,'all stocks &gt; 500 cr'!$B:$H,6,0)</f>
        <v>#N/A</v>
      </c>
      <c r="H12" s="4" t="str">
        <f ca="1">IFERROR(__xludf.DUMMYFUNCTION("GOOGLEFINANCE(E12,""marketcap"")/10000000"),"#N/A")</f>
        <v>#N/A</v>
      </c>
      <c r="I12" s="270" t="s">
        <v>18</v>
      </c>
      <c r="K12" s="3" t="str">
        <f>VLOOKUP(I12,'all stocks &gt; 500 cr'!$B:$H,6,0)</f>
        <v>Oil &amp; Gas</v>
      </c>
      <c r="L12" s="4">
        <f ca="1">IFERROR(__xludf.DUMMYFUNCTION("GOOGLEFINANCE(I12,""marketcap"")/10000000"),598.456107)</f>
        <v>598.45610699999997</v>
      </c>
      <c r="M12" s="270" t="s">
        <v>30</v>
      </c>
      <c r="O12" s="3" t="e">
        <f>VLOOKUP(M12,'all stocks &gt; 500 cr'!$B:$H,6,0)</f>
        <v>#N/A</v>
      </c>
      <c r="P12" s="4">
        <f ca="1">IFERROR(__xludf.DUMMYFUNCTION("GOOGLEFINANCE(M12,""marketcap"")/10000000"),46840.0070304)</f>
        <v>46840.007030399996</v>
      </c>
      <c r="Q12" s="270" t="s">
        <v>21</v>
      </c>
      <c r="S12" s="3" t="str">
        <f>VLOOKUP(Q12,'all stocks &gt; 500 cr'!$B:$H,6,0)</f>
        <v>Consumer Durables</v>
      </c>
      <c r="T12" s="4">
        <f ca="1">IFERROR(__xludf.DUMMYFUNCTION("GOOGLEFINANCE(Q12,""marketcap"")/10000000"),2947.8000405)</f>
        <v>2947.8000404999998</v>
      </c>
      <c r="U12" s="270" t="s">
        <v>30</v>
      </c>
      <c r="W12" s="3" t="e">
        <f>VLOOKUP(U12,'all stocks &gt; 500 cr'!$B:$H,6,0)</f>
        <v>#N/A</v>
      </c>
      <c r="X12" s="4">
        <f ca="1">IFERROR(__xludf.DUMMYFUNCTION("GOOGLEFINANCE(U12,""marketcap"")/10000000"),46840.0070304)</f>
        <v>46840.007030399996</v>
      </c>
      <c r="Z12" s="270" t="s">
        <v>37</v>
      </c>
      <c r="AB12" s="3" t="str">
        <f>VLOOKUP(Z12,'all stocks &gt; 500 cr'!$B:$H,6,0)</f>
        <v>Cement and Construction</v>
      </c>
      <c r="AC12" s="4">
        <f ca="1">IFERROR(__xludf.DUMMYFUNCTION("GOOGLEFINANCE(Z12,""marketcap"")/10000000"),94669.88)</f>
        <v>94669.88</v>
      </c>
      <c r="AE12" s="270" t="s">
        <v>38</v>
      </c>
      <c r="AG12" s="3" t="str">
        <f>VLOOKUP(AE12,'all stocks &gt; 500 cr'!$B:$H,6,0)</f>
        <v>Realty</v>
      </c>
      <c r="AH12" s="4">
        <f ca="1">IFERROR(__xludf.DUMMYFUNCTION("GOOGLEFINANCE(AE12,""marketcap"")/10000000"),70661.7281515)</f>
        <v>70661.728151500007</v>
      </c>
    </row>
    <row r="13" spans="1:34" ht="15" customHeight="1">
      <c r="A13" s="270" t="s">
        <v>21</v>
      </c>
      <c r="C13" s="3" t="str">
        <f>VLOOKUP(A13,'all stocks &gt; 500 cr'!B:H,6,0)</f>
        <v>Consumer Durables</v>
      </c>
      <c r="D13" s="4">
        <f ca="1">IFERROR(__xludf.DUMMYFUNCTION("GOOGLEFINANCE(A13,""marketcap"")/10000000"),1958.4263175)</f>
        <v>1958.4263175000001</v>
      </c>
      <c r="G13" s="3" t="e">
        <f>VLOOKUP(E13,'all stocks &gt; 500 cr'!$B:$H,6,0)</f>
        <v>#N/A</v>
      </c>
      <c r="H13" s="4" t="str">
        <f ca="1">IFERROR(__xludf.DUMMYFUNCTION("GOOGLEFINANCE(E13,""marketcap"")/10000000"),"#N/A")</f>
        <v>#N/A</v>
      </c>
      <c r="I13" s="270" t="s">
        <v>23</v>
      </c>
      <c r="K13" s="3" t="str">
        <f>VLOOKUP(I13,'all stocks &gt; 500 cr'!$B:$H,6,0)</f>
        <v>Oil &amp; Gas</v>
      </c>
      <c r="L13" s="4">
        <f ca="1">IFERROR(__xludf.DUMMYFUNCTION("GOOGLEFINANCE(I13,""marketcap"")/10000000"),2947.8000405)</f>
        <v>2947.8000404999998</v>
      </c>
      <c r="M13" s="270" t="s">
        <v>35</v>
      </c>
      <c r="O13" s="3" t="str">
        <f>VLOOKUP(M13,'all stocks &gt; 500 cr'!$B:$H,6,0)</f>
        <v>Consumer Durables</v>
      </c>
      <c r="P13" s="4" t="str">
        <f ca="1">IFERROR(__xludf.DUMMYFUNCTION("GOOGLEFINANCE(M13,""marketcap"")/10000000"),"#N/A")</f>
        <v>#N/A</v>
      </c>
      <c r="Q13" s="270" t="s">
        <v>30</v>
      </c>
      <c r="S13" s="3" t="e">
        <f>VLOOKUP(Q13,'all stocks &gt; 500 cr'!$B:$H,6,0)</f>
        <v>#N/A</v>
      </c>
      <c r="T13" s="4">
        <f ca="1">IFERROR(__xludf.DUMMYFUNCTION("GOOGLEFINANCE(Q13,""marketcap"")/10000000"),46840.0070304)</f>
        <v>46840.007030399996</v>
      </c>
      <c r="U13" s="270" t="s">
        <v>26</v>
      </c>
      <c r="W13" s="3" t="str">
        <f>VLOOKUP(U13,'all stocks &gt; 500 cr'!$B:$H,6,0)</f>
        <v>Telecommunications Equipment</v>
      </c>
      <c r="X13" s="4" t="str">
        <f ca="1">IFERROR(__xludf.DUMMYFUNCTION("GOOGLEFINANCE(U13,""marketcap"")/10000000"),"#N/A")</f>
        <v>#N/A</v>
      </c>
      <c r="Z13" s="270" t="s">
        <v>39</v>
      </c>
      <c r="AC13" s="4">
        <f ca="1">IFERROR(__xludf.DUMMYFUNCTION("GOOGLEFINANCE(Z13,""marketcap"")/10000000"),6921.171882)</f>
        <v>6921.1718819999996</v>
      </c>
      <c r="AE13" s="270" t="s">
        <v>40</v>
      </c>
      <c r="AG13" s="3" t="e">
        <f>VLOOKUP(AE13,'all stocks &gt; 500 cr'!$B:$H,6,0)</f>
        <v>#N/A</v>
      </c>
      <c r="AH13" s="4">
        <f ca="1">IFERROR(__xludf.DUMMYFUNCTION("GOOGLEFINANCE(AE13,""marketcap"")/10000000"),2358.99693)</f>
        <v>2358.9969299999998</v>
      </c>
    </row>
    <row r="14" spans="1:34" ht="15" customHeight="1">
      <c r="A14" s="270" t="s">
        <v>41</v>
      </c>
      <c r="C14" s="3" t="str">
        <f>VLOOKUP(A14,'all stocks &gt; 500 cr'!B:H,6,0)</f>
        <v>Hotels Restaurants &amp; Tourism</v>
      </c>
      <c r="D14" s="4">
        <f ca="1">IFERROR(__xludf.DUMMYFUNCTION("GOOGLEFINANCE(A14,""marketcap"")/10000000"),46840.0070304)</f>
        <v>46840.007030399996</v>
      </c>
      <c r="H14" s="1"/>
      <c r="I14" s="270" t="s">
        <v>21</v>
      </c>
      <c r="K14" s="3" t="str">
        <f>VLOOKUP(I14,'all stocks &gt; 500 cr'!$B:$H,6,0)</f>
        <v>Consumer Durables</v>
      </c>
      <c r="L14" s="4">
        <f ca="1">IFERROR(__xludf.DUMMYFUNCTION("GOOGLEFINANCE(I14,""marketcap"")/10000000"),1958.4263175)</f>
        <v>1958.4263175000001</v>
      </c>
      <c r="M14" s="270" t="s">
        <v>26</v>
      </c>
      <c r="O14" s="3" t="str">
        <f>VLOOKUP(M14,'all stocks &gt; 500 cr'!$B:$H,6,0)</f>
        <v>Telecommunications Equipment</v>
      </c>
      <c r="P14" s="4">
        <f ca="1">IFERROR(__xludf.DUMMYFUNCTION("GOOGLEFINANCE(M14,""marketcap"")/10000000"),94669.88)</f>
        <v>94669.88</v>
      </c>
      <c r="Q14" s="270" t="s">
        <v>42</v>
      </c>
      <c r="S14" s="3" t="str">
        <f>VLOOKUP(Q14,'all stocks &gt; 500 cr'!$B:$H,6,0)</f>
        <v>FMCG</v>
      </c>
      <c r="T14" s="4" t="str">
        <f ca="1">IFERROR(__xludf.DUMMYFUNCTION("GOOGLEFINANCE(Q14,""marketcap"")/10000000"),"#N/A")</f>
        <v>#N/A</v>
      </c>
      <c r="U14" s="270" t="s">
        <v>43</v>
      </c>
      <c r="W14" s="3" t="str">
        <f>VLOOKUP(U14,'all stocks &gt; 500 cr'!$B:$H,6,0)</f>
        <v>Banking and Finance</v>
      </c>
      <c r="X14" s="4">
        <f ca="1">IFERROR(__xludf.DUMMYFUNCTION("GOOGLEFINANCE(U14,""marketcap"")/10000000"),14259.2998152)</f>
        <v>14259.2998152</v>
      </c>
      <c r="Z14" s="270" t="s">
        <v>44</v>
      </c>
      <c r="AB14" s="3" t="str">
        <f>VLOOKUP(Z14,'all stocks &gt; 500 cr'!$B:$H,6,0)</f>
        <v>Metals &amp; Mining</v>
      </c>
      <c r="AC14" s="4">
        <f ca="1">IFERROR(__xludf.DUMMYFUNCTION("GOOGLEFINANCE(Z14,""marketcap"")/10000000"),35084.2277199)</f>
        <v>35084.227719900002</v>
      </c>
      <c r="AE14" s="270" t="s">
        <v>45</v>
      </c>
      <c r="AG14" s="3" t="str">
        <f>VLOOKUP(AE14,'all stocks &gt; 500 cr'!$B:$H,6,0)</f>
        <v>Cement and Construction</v>
      </c>
      <c r="AH14" s="4">
        <f ca="1">IFERROR(__xludf.DUMMYFUNCTION("GOOGLEFINANCE(AE14,""marketcap"")/10000000"),481.4157334)</f>
        <v>481.41573340000002</v>
      </c>
    </row>
    <row r="15" spans="1:34" ht="15" customHeight="1">
      <c r="A15" s="270" t="s">
        <v>46</v>
      </c>
      <c r="C15" s="3" t="str">
        <f>VLOOKUP(A15,'all stocks &gt; 500 cr'!B:H,6,0)</f>
        <v>Utilities</v>
      </c>
      <c r="D15" s="4">
        <f ca="1">IFERROR(__xludf.DUMMYFUNCTION("GOOGLEFINANCE(A15,""marketcap"")/10000000"),29548.5810153)</f>
        <v>29548.581015299998</v>
      </c>
      <c r="H15" s="1"/>
      <c r="I15" s="270" t="s">
        <v>24</v>
      </c>
      <c r="K15" s="3" t="str">
        <f>VLOOKUP(I15,'all stocks &gt; 500 cr'!$B:$H,6,0)</f>
        <v>General Industrials</v>
      </c>
      <c r="L15" s="4">
        <f ca="1">IFERROR(__xludf.DUMMYFUNCTION("GOOGLEFINANCE(I15,""marketcap"")/10000000"),46840.0070304)</f>
        <v>46840.007030399996</v>
      </c>
      <c r="M15" s="270" t="s">
        <v>36</v>
      </c>
      <c r="O15" s="3" t="str">
        <f>VLOOKUP(M15,'all stocks &gt; 500 cr'!$B:$H,6,0)</f>
        <v>Banking and Finance</v>
      </c>
      <c r="P15" s="4">
        <f ca="1">IFERROR(__xludf.DUMMYFUNCTION("GOOGLEFINANCE(M15,""marketcap"")/10000000"),14259.2998152)</f>
        <v>14259.2998152</v>
      </c>
      <c r="Q15" s="270" t="s">
        <v>26</v>
      </c>
      <c r="S15" s="3" t="str">
        <f>VLOOKUP(Q15,'all stocks &gt; 500 cr'!$B:$H,6,0)</f>
        <v>Telecommunications Equipment</v>
      </c>
      <c r="T15" s="4">
        <f ca="1">IFERROR(__xludf.DUMMYFUNCTION("GOOGLEFINANCE(Q15,""marketcap"")/10000000"),2857.6523173)</f>
        <v>2857.6523173</v>
      </c>
      <c r="U15" s="270" t="s">
        <v>36</v>
      </c>
      <c r="W15" s="3" t="str">
        <f>VLOOKUP(U15,'all stocks &gt; 500 cr'!$B:$H,6,0)</f>
        <v>Banking and Finance</v>
      </c>
      <c r="X15" s="4">
        <f ca="1">IFERROR(__xludf.DUMMYFUNCTION("GOOGLEFINANCE(U15,""marketcap"")/10000000"),40918.8143381)</f>
        <v>40918.814338099997</v>
      </c>
      <c r="Z15" s="270" t="s">
        <v>47</v>
      </c>
      <c r="AB15" s="3" t="str">
        <f>VLOOKUP(Z15,'all stocks &gt; 500 cr'!$B:$H,6,0)</f>
        <v>Hotels Restaurants &amp; Tourism</v>
      </c>
      <c r="AC15" s="4">
        <f ca="1">IFERROR(__xludf.DUMMYFUNCTION("GOOGLEFINANCE(Z15,""marketcap"")/10000000"),3896.835)</f>
        <v>3896.835</v>
      </c>
      <c r="AE15" s="270" t="s">
        <v>28</v>
      </c>
      <c r="AG15" s="3" t="str">
        <f>VLOOKUP(AE15,'all stocks &gt; 500 cr'!$B:$H,6,0)</f>
        <v>Automobiles &amp; Auto Components</v>
      </c>
      <c r="AH15" s="4">
        <f ca="1">IFERROR(__xludf.DUMMYFUNCTION("GOOGLEFINANCE(AE15,""marketcap"")/10000000"),8871.4931763)</f>
        <v>8871.4931763000004</v>
      </c>
    </row>
    <row r="16" spans="1:34" ht="15" customHeight="1">
      <c r="A16" s="270" t="s">
        <v>30</v>
      </c>
      <c r="C16" s="3" t="e">
        <f>VLOOKUP(A16,'all stocks &gt; 500 cr'!B:H,6,0)</f>
        <v>#N/A</v>
      </c>
      <c r="D16" s="4">
        <f ca="1">IFERROR(__xludf.DUMMYFUNCTION("GOOGLEFINANCE(A16,""marketcap"")/10000000"),2798.14535)</f>
        <v>2798.1453499999998</v>
      </c>
      <c r="H16" s="1"/>
      <c r="I16" s="270" t="s">
        <v>30</v>
      </c>
      <c r="K16" s="3" t="e">
        <f>VLOOKUP(I16,'all stocks &gt; 500 cr'!$B:$H,6,0)</f>
        <v>#N/A</v>
      </c>
      <c r="L16" s="4">
        <f ca="1">IFERROR(__xludf.DUMMYFUNCTION("GOOGLEFINANCE(I16,""marketcap"")/10000000"),22941.7664)</f>
        <v>22941.7664</v>
      </c>
      <c r="M16" s="270" t="s">
        <v>48</v>
      </c>
      <c r="O16" s="3" t="str">
        <f>VLOOKUP(M16,'all stocks &gt; 500 cr'!$B:$H,6,0)</f>
        <v>Cement and Construction</v>
      </c>
      <c r="P16" s="4">
        <f ca="1">IFERROR(__xludf.DUMMYFUNCTION("GOOGLEFINANCE(M16,""marketcap"")/10000000"),70661.7281515)</f>
        <v>70661.728151500007</v>
      </c>
      <c r="Q16" s="270" t="s">
        <v>43</v>
      </c>
      <c r="S16" s="3" t="str">
        <f>VLOOKUP(Q16,'all stocks &gt; 500 cr'!$B:$H,6,0)</f>
        <v>Banking and Finance</v>
      </c>
      <c r="T16" s="4">
        <f ca="1">IFERROR(__xludf.DUMMYFUNCTION("GOOGLEFINANCE(Q16,""marketcap"")/10000000"),14259.2998152)</f>
        <v>14259.2998152</v>
      </c>
      <c r="U16" s="270" t="s">
        <v>22</v>
      </c>
      <c r="W16" s="3" t="str">
        <f>VLOOKUP(U16,'all stocks &gt; 500 cr'!$B:$H,6,0)</f>
        <v>Automobiles &amp; Auto Components</v>
      </c>
      <c r="X16" s="4">
        <f ca="1">IFERROR(__xludf.DUMMYFUNCTION("GOOGLEFINANCE(U16,""marketcap"")/10000000"),70661.7281515)</f>
        <v>70661.728151500007</v>
      </c>
      <c r="Z16" s="270" t="s">
        <v>36</v>
      </c>
      <c r="AB16" s="3" t="str">
        <f>VLOOKUP(Z16,'all stocks &gt; 500 cr'!$B:$H,6,0)</f>
        <v>Banking and Finance</v>
      </c>
      <c r="AC16" s="4">
        <f ca="1">IFERROR(__xludf.DUMMYFUNCTION("GOOGLEFINANCE(Z16,""marketcap"")/10000000"),86466.39)</f>
        <v>86466.39</v>
      </c>
      <c r="AE16" s="270" t="s">
        <v>49</v>
      </c>
      <c r="AG16" s="3" t="str">
        <f>VLOOKUP(AE16,'all stocks &gt; 500 cr'!$B:$H,6,0)</f>
        <v>Automobiles &amp; Auto Components</v>
      </c>
      <c r="AH16" s="4">
        <f ca="1">IFERROR(__xludf.DUMMYFUNCTION("GOOGLEFINANCE(AE16,""marketcap"")/10000000"),3112.387128)</f>
        <v>3112.3871279999998</v>
      </c>
    </row>
    <row r="17" spans="1:34" ht="15" customHeight="1">
      <c r="A17" s="270" t="s">
        <v>50</v>
      </c>
      <c r="C17" s="3" t="str">
        <f>VLOOKUP(A17,'all stocks &gt; 500 cr'!B:H,6,0)</f>
        <v>Oil &amp; Gas</v>
      </c>
      <c r="D17" s="4" t="str">
        <f ca="1">IFERROR(__xludf.DUMMYFUNCTION("GOOGLEFINANCE(A17,""marketcap"")/10000000"),"#N/A")</f>
        <v>#N/A</v>
      </c>
      <c r="H17" s="1"/>
      <c r="I17" s="270" t="s">
        <v>50</v>
      </c>
      <c r="K17" s="3" t="str">
        <f>VLOOKUP(I17,'all stocks &gt; 500 cr'!$B:$H,6,0)</f>
        <v>Oil &amp; Gas</v>
      </c>
      <c r="L17" s="4" t="str">
        <f ca="1">IFERROR(__xludf.DUMMYFUNCTION("GOOGLEFINANCE(I17,""marketcap"")/10000000"),"#N/A")</f>
        <v>#N/A</v>
      </c>
      <c r="M17" s="270" t="s">
        <v>22</v>
      </c>
      <c r="O17" s="3" t="str">
        <f>VLOOKUP(M17,'all stocks &gt; 500 cr'!$B:$H,6,0)</f>
        <v>Automobiles &amp; Auto Components</v>
      </c>
      <c r="P17" s="4">
        <f ca="1">IFERROR(__xludf.DUMMYFUNCTION("GOOGLEFINANCE(M17,""marketcap"")/10000000"),5774.6418972)</f>
        <v>5774.6418972000001</v>
      </c>
      <c r="Q17" s="270" t="s">
        <v>31</v>
      </c>
      <c r="S17" s="3" t="str">
        <f>VLOOKUP(Q17,'all stocks &gt; 500 cr'!$B:$H,6,0)</f>
        <v>Textiles Apparels &amp; Accessories</v>
      </c>
      <c r="T17" s="4">
        <f ca="1">IFERROR(__xludf.DUMMYFUNCTION("GOOGLEFINANCE(Q17,""marketcap"")/10000000"),40918.8143381)</f>
        <v>40918.814338099997</v>
      </c>
      <c r="U17" s="270" t="s">
        <v>40</v>
      </c>
      <c r="W17" s="3" t="e">
        <f>VLOOKUP(U17,'all stocks &gt; 500 cr'!$B:$H,6,0)</f>
        <v>#N/A</v>
      </c>
      <c r="X17" s="4">
        <f ca="1">IFERROR(__xludf.DUMMYFUNCTION("GOOGLEFINANCE(U17,""marketcap"")/10000000"),1315.82124)</f>
        <v>1315.82124</v>
      </c>
      <c r="Z17" s="270" t="s">
        <v>51</v>
      </c>
      <c r="AB17" s="3" t="str">
        <f>VLOOKUP(Z17,'all stocks &gt; 500 cr'!$B:$H,6,0)</f>
        <v>Utilities</v>
      </c>
      <c r="AC17" s="4">
        <f ca="1">IFERROR(__xludf.DUMMYFUNCTION("GOOGLEFINANCE(Z17,""marketcap"")/10000000"),70661.7281515)</f>
        <v>70661.728151500007</v>
      </c>
      <c r="AE17" s="270" t="s">
        <v>52</v>
      </c>
      <c r="AG17" s="3" t="str">
        <f>VLOOKUP(AE17,'all stocks &gt; 500 cr'!$B:$H,6,0)</f>
        <v>Chemicals &amp; Petrochemicals</v>
      </c>
      <c r="AH17" s="4">
        <f ca="1">IFERROR(__xludf.DUMMYFUNCTION("GOOGLEFINANCE(AE17,""marketcap"")/10000000"),2937.74292)</f>
        <v>2937.7429200000001</v>
      </c>
    </row>
    <row r="18" spans="1:34" ht="15" customHeight="1">
      <c r="A18" s="270" t="s">
        <v>35</v>
      </c>
      <c r="C18" s="3" t="str">
        <f>VLOOKUP(A18,'all stocks &gt; 500 cr'!B:H,6,0)</f>
        <v>Consumer Durables</v>
      </c>
      <c r="D18" s="4">
        <f ca="1">IFERROR(__xludf.DUMMYFUNCTION("GOOGLEFINANCE(A18,""marketcap"")/10000000"),5221.196)</f>
        <v>5221.1959999999999</v>
      </c>
      <c r="H18" s="1"/>
      <c r="I18" s="270" t="s">
        <v>37</v>
      </c>
      <c r="K18" s="3" t="str">
        <f>VLOOKUP(I18,'all stocks &gt; 500 cr'!$B:$H,6,0)</f>
        <v>Cement and Construction</v>
      </c>
      <c r="L18" s="4">
        <f ca="1">IFERROR(__xludf.DUMMYFUNCTION("GOOGLEFINANCE(I18,""marketcap"")/10000000"),5221.196)</f>
        <v>5221.1959999999999</v>
      </c>
      <c r="M18" s="270" t="s">
        <v>53</v>
      </c>
      <c r="O18" s="3" t="str">
        <f>VLOOKUP(M18,'all stocks &gt; 500 cr'!$B:$H,6,0)</f>
        <v>Consumer Durables</v>
      </c>
      <c r="P18" s="4">
        <f ca="1">IFERROR(__xludf.DUMMYFUNCTION("GOOGLEFINANCE(M18,""marketcap"")/10000000"),1315.82124)</f>
        <v>1315.82124</v>
      </c>
      <c r="Q18" s="270" t="s">
        <v>36</v>
      </c>
      <c r="S18" s="3" t="str">
        <f>VLOOKUP(Q18,'all stocks &gt; 500 cr'!$B:$H,6,0)</f>
        <v>Banking and Finance</v>
      </c>
      <c r="T18" s="4">
        <f ca="1">IFERROR(__xludf.DUMMYFUNCTION("GOOGLEFINANCE(Q18,""marketcap"")/10000000"),7624.1011)</f>
        <v>7624.1010999999999</v>
      </c>
      <c r="U18" s="270" t="s">
        <v>25</v>
      </c>
      <c r="W18" s="3" t="str">
        <f>VLOOKUP(U18,'all stocks &gt; 500 cr'!$B:$H,6,0)</f>
        <v>Media</v>
      </c>
      <c r="X18" s="4">
        <f ca="1">IFERROR(__xludf.DUMMYFUNCTION("GOOGLEFINANCE(U18,""marketcap"")/10000000"),481.4157334)</f>
        <v>481.41573340000002</v>
      </c>
      <c r="Z18" s="270" t="s">
        <v>53</v>
      </c>
      <c r="AB18" s="3" t="str">
        <f>VLOOKUP(Z18,'all stocks &gt; 500 cr'!$B:$H,6,0)</f>
        <v>Consumer Durables</v>
      </c>
      <c r="AC18" s="4">
        <f ca="1">IFERROR(__xludf.DUMMYFUNCTION("GOOGLEFINANCE(Z18,""marketcap"")/10000000"),107484.0598573)</f>
        <v>107484.0598573</v>
      </c>
      <c r="AE18" s="270" t="s">
        <v>54</v>
      </c>
      <c r="AG18" s="3" t="str">
        <f>VLOOKUP(AE18,'all stocks &gt; 500 cr'!$B:$H,6,0)</f>
        <v>Automobiles &amp; Auto Components</v>
      </c>
      <c r="AH18" s="4">
        <f ca="1">IFERROR(__xludf.DUMMYFUNCTION("GOOGLEFINANCE(AE18,""marketcap"")/10000000"),12373.11096)</f>
        <v>12373.11096</v>
      </c>
    </row>
    <row r="19" spans="1:34" ht="15" customHeight="1">
      <c r="A19" s="270" t="s">
        <v>39</v>
      </c>
      <c r="C19" s="3" t="str">
        <f>VLOOKUP(A19,'all stocks &gt; 500 cr'!B:H,6,0)</f>
        <v>Metals &amp; Mining</v>
      </c>
      <c r="D19" s="4">
        <f ca="1">IFERROR(__xludf.DUMMYFUNCTION("GOOGLEFINANCE(A19,""marketcap"")/10000000"),94669.88)</f>
        <v>94669.88</v>
      </c>
      <c r="H19" s="1"/>
      <c r="I19" s="270" t="s">
        <v>39</v>
      </c>
      <c r="K19" s="3" t="str">
        <f>VLOOKUP(I19,'all stocks &gt; 500 cr'!$B:$H,6,0)</f>
        <v>Metals &amp; Mining</v>
      </c>
      <c r="L19" s="4">
        <f ca="1">IFERROR(__xludf.DUMMYFUNCTION("GOOGLEFINANCE(I19,""marketcap"")/10000000"),6921.171882)</f>
        <v>6921.1718819999996</v>
      </c>
      <c r="M19" s="270" t="s">
        <v>55</v>
      </c>
      <c r="O19" s="3" t="str">
        <f>VLOOKUP(M19,'all stocks &gt; 500 cr'!$B:$H,6,0)</f>
        <v>Pharmaceuticals &amp; Biotechnology</v>
      </c>
      <c r="P19" s="4">
        <f ca="1">IFERROR(__xludf.DUMMYFUNCTION("GOOGLEFINANCE(M19,""marketcap"")/10000000"),36029.35)</f>
        <v>36029.35</v>
      </c>
      <c r="Q19" s="270" t="s">
        <v>22</v>
      </c>
      <c r="S19" s="3" t="str">
        <f>VLOOKUP(Q19,'all stocks &gt; 500 cr'!$B:$H,6,0)</f>
        <v>Automobiles &amp; Auto Components</v>
      </c>
      <c r="T19" s="4">
        <f ca="1">IFERROR(__xludf.DUMMYFUNCTION("GOOGLEFINANCE(Q19,""marketcap"")/10000000"),70661.7281515)</f>
        <v>70661.728151500007</v>
      </c>
      <c r="U19" s="270" t="s">
        <v>56</v>
      </c>
      <c r="W19" s="3" t="str">
        <f>VLOOKUP(U19,'all stocks &gt; 500 cr'!$B:$H,6,0)</f>
        <v>Hotels Restaurants &amp; Tourism</v>
      </c>
      <c r="X19" s="4">
        <f ca="1">IFERROR(__xludf.DUMMYFUNCTION("GOOGLEFINANCE(U19,""marketcap"")/10000000"),3132.1378704)</f>
        <v>3132.1378703999999</v>
      </c>
      <c r="Z19" s="270" t="s">
        <v>57</v>
      </c>
      <c r="AB19" s="3" t="str">
        <f>VLOOKUP(Z19,'all stocks &gt; 500 cr'!$B:$H,6,0)</f>
        <v>General Industrials</v>
      </c>
      <c r="AC19" s="4">
        <f ca="1">IFERROR(__xludf.DUMMYFUNCTION("GOOGLEFINANCE(Z19,""marketcap"")/10000000"),36029.35)</f>
        <v>36029.35</v>
      </c>
      <c r="AE19" s="270" t="s">
        <v>58</v>
      </c>
      <c r="AG19" s="3" t="str">
        <f>VLOOKUP(AE19,'all stocks &gt; 500 cr'!$B:$H,6,0)</f>
        <v>Software &amp; Services</v>
      </c>
      <c r="AH19" s="4">
        <f ca="1">IFERROR(__xludf.DUMMYFUNCTION("GOOGLEFINANCE(AE19,""marketcap"")/10000000"),2930.039)</f>
        <v>2930.0390000000002</v>
      </c>
    </row>
    <row r="20" spans="1:34" ht="15" customHeight="1">
      <c r="A20" s="270" t="s">
        <v>43</v>
      </c>
      <c r="C20" s="3" t="str">
        <f>VLOOKUP(A20,'all stocks &gt; 500 cr'!B:H,6,0)</f>
        <v>Banking and Finance</v>
      </c>
      <c r="D20" s="4">
        <f ca="1">IFERROR(__xludf.DUMMYFUNCTION("GOOGLEFINANCE(A20,""marketcap"")/10000000"),35084.2277199)</f>
        <v>35084.227719900002</v>
      </c>
      <c r="H20" s="1"/>
      <c r="I20" s="270" t="s">
        <v>44</v>
      </c>
      <c r="K20" s="3" t="str">
        <f>VLOOKUP(I20,'all stocks &gt; 500 cr'!$B:$H,6,0)</f>
        <v>Metals &amp; Mining</v>
      </c>
      <c r="L20" s="4">
        <f ca="1">IFERROR(__xludf.DUMMYFUNCTION("GOOGLEFINANCE(I20,""marketcap"")/10000000"),35084.2277199)</f>
        <v>35084.227719900002</v>
      </c>
      <c r="M20" s="270" t="s">
        <v>25</v>
      </c>
      <c r="O20" s="3" t="str">
        <f>VLOOKUP(M20,'all stocks &gt; 500 cr'!$B:$H,6,0)</f>
        <v>Media</v>
      </c>
      <c r="P20" s="4">
        <f ca="1">IFERROR(__xludf.DUMMYFUNCTION("GOOGLEFINANCE(M20,""marketcap"")/10000000"),7391.0566305)</f>
        <v>7391.0566305000002</v>
      </c>
      <c r="Q20" s="270" t="s">
        <v>53</v>
      </c>
      <c r="S20" s="3" t="str">
        <f>VLOOKUP(Q20,'all stocks &gt; 500 cr'!$B:$H,6,0)</f>
        <v>Consumer Durables</v>
      </c>
      <c r="T20" s="4">
        <f ca="1">IFERROR(__xludf.DUMMYFUNCTION("GOOGLEFINANCE(Q20,""marketcap"")/10000000"),1315.82124)</f>
        <v>1315.82124</v>
      </c>
      <c r="U20" s="270" t="s">
        <v>59</v>
      </c>
      <c r="W20" s="3" t="str">
        <f>VLOOKUP(U20,'all stocks &gt; 500 cr'!$B:$H,6,0)</f>
        <v>Software &amp; Services</v>
      </c>
      <c r="X20" s="4">
        <f ca="1">IFERROR(__xludf.DUMMYFUNCTION("GOOGLEFINANCE(U20,""marketcap"")/10000000"),1095.991494)</f>
        <v>1095.9914940000001</v>
      </c>
      <c r="Z20" s="270" t="s">
        <v>60</v>
      </c>
      <c r="AB20" s="3" t="str">
        <f>VLOOKUP(Z20,'all stocks &gt; 500 cr'!$B:$H,6,0)</f>
        <v>Banking and Finance</v>
      </c>
      <c r="AC20" s="4">
        <f ca="1">IFERROR(__xludf.DUMMYFUNCTION("GOOGLEFINANCE(Z20,""marketcap"")/10000000"),15285.9101758)</f>
        <v>15285.9101758</v>
      </c>
      <c r="AE20" s="270" t="s">
        <v>6169</v>
      </c>
      <c r="AG20" s="3" t="e">
        <f>VLOOKUP(AE20,'all stocks &gt; 500 cr'!$B:$H,6,0)</f>
        <v>#N/A</v>
      </c>
      <c r="AH20" s="4">
        <f ca="1">IFERROR(__xludf.DUMMYFUNCTION("GOOGLEFINANCE(AE20,""marketcap"")/10000000"),13832.5232988)</f>
        <v>13832.523298800001</v>
      </c>
    </row>
    <row r="21" spans="1:34" ht="15" customHeight="1">
      <c r="A21" s="270" t="s">
        <v>31</v>
      </c>
      <c r="C21" s="3" t="str">
        <f>VLOOKUP(A21,'all stocks &gt; 500 cr'!B:H,6,0)</f>
        <v>Textiles Apparels &amp; Accessories</v>
      </c>
      <c r="D21" s="4">
        <f ca="1">IFERROR(__xludf.DUMMYFUNCTION("GOOGLEFINANCE(A21,""marketcap"")/10000000"),40918.8143381)</f>
        <v>40918.814338099997</v>
      </c>
      <c r="H21" s="1"/>
      <c r="I21" s="270" t="s">
        <v>47</v>
      </c>
      <c r="K21" s="3" t="str">
        <f>VLOOKUP(I21,'all stocks &gt; 500 cr'!$B:$H,6,0)</f>
        <v>Hotels Restaurants &amp; Tourism</v>
      </c>
      <c r="L21" s="4">
        <f ca="1">IFERROR(__xludf.DUMMYFUNCTION("GOOGLEFINANCE(I21,""marketcap"")/10000000"),3896.835)</f>
        <v>3896.835</v>
      </c>
      <c r="M21" s="270" t="s">
        <v>56</v>
      </c>
      <c r="O21" s="3" t="str">
        <f>VLOOKUP(M21,'all stocks &gt; 500 cr'!$B:$H,6,0)</f>
        <v>Hotels Restaurants &amp; Tourism</v>
      </c>
      <c r="P21" s="4">
        <f ca="1">IFERROR(__xludf.DUMMYFUNCTION("GOOGLEFINANCE(M21,""marketcap"")/10000000"),3132.1378704)</f>
        <v>3132.1378703999999</v>
      </c>
      <c r="Q21" s="270" t="s">
        <v>40</v>
      </c>
      <c r="S21" s="3" t="e">
        <f>VLOOKUP(Q21,'all stocks &gt; 500 cr'!$B:$H,6,0)</f>
        <v>#N/A</v>
      </c>
      <c r="T21" s="4">
        <f ca="1">IFERROR(__xludf.DUMMYFUNCTION("GOOGLEFINANCE(Q21,""marketcap"")/10000000"),36029.35)</f>
        <v>36029.35</v>
      </c>
      <c r="U21" s="270" t="s">
        <v>61</v>
      </c>
      <c r="W21" s="3" t="str">
        <f>VLOOKUP(U21,'all stocks &gt; 500 cr'!$B:$H,6,0)</f>
        <v>Cement and Construction</v>
      </c>
      <c r="X21" s="4">
        <f ca="1">IFERROR(__xludf.DUMMYFUNCTION("GOOGLEFINANCE(U21,""marketcap"")/10000000"),2458.1363634)</f>
        <v>2458.1363633999999</v>
      </c>
      <c r="Z21" s="270" t="s">
        <v>62</v>
      </c>
      <c r="AB21" s="3" t="str">
        <f>VLOOKUP(Z21,'all stocks &gt; 500 cr'!$B:$H,6,0)</f>
        <v>Banking and Finance</v>
      </c>
      <c r="AC21" s="4">
        <f ca="1">IFERROR(__xludf.DUMMYFUNCTION("GOOGLEFINANCE(Z21,""marketcap"")/10000000"),30969.6116135)</f>
        <v>30969.611613500001</v>
      </c>
      <c r="AE21" s="271" t="s">
        <v>33</v>
      </c>
      <c r="AG21" s="3" t="e">
        <f>VLOOKUP(AE21,'all stocks &gt; 500 cr'!$B:$H,6,0)</f>
        <v>#N/A</v>
      </c>
      <c r="AH21" s="4" t="str">
        <f ca="1">IFERROR(__xludf.DUMMYFUNCTION("GOOGLEFINANCE(AE21,""marketcap"")/10000000"),"#N/A")</f>
        <v>#N/A</v>
      </c>
    </row>
    <row r="22" spans="1:34" ht="15" customHeight="1">
      <c r="A22" s="270" t="s">
        <v>44</v>
      </c>
      <c r="C22" s="3" t="str">
        <f>VLOOKUP(A22,'all stocks &gt; 500 cr'!B:H,6,0)</f>
        <v>Metals &amp; Mining</v>
      </c>
      <c r="D22" s="4">
        <f ca="1">IFERROR(__xludf.DUMMYFUNCTION("GOOGLEFINANCE(A22,""marketcap"")/10000000"),7624.1011)</f>
        <v>7624.1010999999999</v>
      </c>
      <c r="H22" s="1"/>
      <c r="I22" s="270" t="s">
        <v>36</v>
      </c>
      <c r="K22" s="3" t="str">
        <f>VLOOKUP(I22,'all stocks &gt; 500 cr'!$B:$H,6,0)</f>
        <v>Banking and Finance</v>
      </c>
      <c r="L22" s="4">
        <f ca="1">IFERROR(__xludf.DUMMYFUNCTION("GOOGLEFINANCE(I22,""marketcap"")/10000000"),86466.39)</f>
        <v>86466.39</v>
      </c>
      <c r="M22" s="270" t="s">
        <v>28</v>
      </c>
      <c r="O22" s="3" t="str">
        <f>VLOOKUP(M22,'all stocks &gt; 500 cr'!$B:$H,6,0)</f>
        <v>Automobiles &amp; Auto Components</v>
      </c>
      <c r="P22" s="4">
        <f ca="1">IFERROR(__xludf.DUMMYFUNCTION("GOOGLEFINANCE(M22,""marketcap"")/10000000"),1095.991494)</f>
        <v>1095.9914940000001</v>
      </c>
      <c r="Q22" s="270" t="s">
        <v>63</v>
      </c>
      <c r="S22" s="3" t="str">
        <f>VLOOKUP(Q22,'all stocks &gt; 500 cr'!$B:$H,6,0)</f>
        <v>General Industrials</v>
      </c>
      <c r="T22" s="4">
        <f ca="1">IFERROR(__xludf.DUMMYFUNCTION("GOOGLEFINANCE(Q22,""marketcap"")/10000000"),481.4157334)</f>
        <v>481.41573340000002</v>
      </c>
      <c r="U22" s="270" t="s">
        <v>49</v>
      </c>
      <c r="W22" s="3" t="str">
        <f>VLOOKUP(U22,'all stocks &gt; 500 cr'!$B:$H,6,0)</f>
        <v>Automobiles &amp; Auto Components</v>
      </c>
      <c r="X22" s="4">
        <f ca="1">IFERROR(__xludf.DUMMYFUNCTION("GOOGLEFINANCE(U22,""marketcap"")/10000000"),1709.9259998)</f>
        <v>1709.9259998</v>
      </c>
      <c r="Z22" s="270" t="s">
        <v>64</v>
      </c>
      <c r="AB22" s="3" t="str">
        <f>VLOOKUP(Z22,'all stocks &gt; 500 cr'!$B:$H,6,0)</f>
        <v>Banking and Finance</v>
      </c>
      <c r="AC22" s="4">
        <f ca="1">IFERROR(__xludf.DUMMYFUNCTION("GOOGLEFINANCE(Z22,""marketcap"")/10000000"),66663.0863559)</f>
        <v>66663.086355899999</v>
      </c>
      <c r="AG22" s="3" t="e">
        <f>VLOOKUP(AE22,'all stocks &gt; 500 cr'!$B:$H,6,0)</f>
        <v>#N/A</v>
      </c>
      <c r="AH22" s="4" t="str">
        <f ca="1">IFERROR(__xludf.DUMMYFUNCTION("GOOGLEFINANCE(AE22,""marketcap"")/10000000"),"#N/A")</f>
        <v>#N/A</v>
      </c>
    </row>
    <row r="23" spans="1:34" ht="15" customHeight="1">
      <c r="A23" s="270" t="s">
        <v>47</v>
      </c>
      <c r="C23" s="3" t="str">
        <f>VLOOKUP(A23,'all stocks &gt; 500 cr'!B:H,6,0)</f>
        <v>Hotels Restaurants &amp; Tourism</v>
      </c>
      <c r="D23" s="4">
        <f ca="1">IFERROR(__xludf.DUMMYFUNCTION("GOOGLEFINANCE(A23,""marketcap"")/10000000"),3896.835)</f>
        <v>3896.835</v>
      </c>
      <c r="H23" s="1"/>
      <c r="I23" s="270" t="s">
        <v>65</v>
      </c>
      <c r="K23" s="3" t="str">
        <f>VLOOKUP(I23,'all stocks &gt; 500 cr'!$B:$H,6,0)</f>
        <v>General Industrials</v>
      </c>
      <c r="L23" s="4">
        <f ca="1">IFERROR(__xludf.DUMMYFUNCTION("GOOGLEFINANCE(I23,""marketcap"")/10000000"),70661.7281515)</f>
        <v>70661.728151500007</v>
      </c>
      <c r="M23" s="270" t="s">
        <v>49</v>
      </c>
      <c r="O23" s="3" t="str">
        <f>VLOOKUP(M23,'all stocks &gt; 500 cr'!$B:$H,6,0)</f>
        <v>Automobiles &amp; Auto Components</v>
      </c>
      <c r="P23" s="4">
        <f ca="1">IFERROR(__xludf.DUMMYFUNCTION("GOOGLEFINANCE(M23,""marketcap"")/10000000"),3112.387128)</f>
        <v>3112.3871279999998</v>
      </c>
      <c r="Q23" s="270" t="s">
        <v>25</v>
      </c>
      <c r="S23" s="3" t="str">
        <f>VLOOKUP(Q23,'all stocks &gt; 500 cr'!$B:$H,6,0)</f>
        <v>Media</v>
      </c>
      <c r="T23" s="4">
        <f ca="1">IFERROR(__xludf.DUMMYFUNCTION("GOOGLEFINANCE(Q23,""marketcap"")/10000000"),630.4986)</f>
        <v>630.49860000000001</v>
      </c>
      <c r="U23" s="270" t="s">
        <v>66</v>
      </c>
      <c r="W23" s="3" t="str">
        <f>VLOOKUP(U23,'all stocks &gt; 500 cr'!$B:$H,6,0)</f>
        <v>General Industrials</v>
      </c>
      <c r="X23" s="4">
        <f ca="1">IFERROR(__xludf.DUMMYFUNCTION("GOOGLEFINANCE(U23,""marketcap"")/10000000"),2937.74292)</f>
        <v>2937.7429200000001</v>
      </c>
      <c r="Z23" s="270" t="s">
        <v>67</v>
      </c>
      <c r="AB23" s="3" t="str">
        <f>VLOOKUP(Z23,'all stocks &gt; 500 cr'!$B:$H,6,0)</f>
        <v>Utilities</v>
      </c>
      <c r="AC23" s="4">
        <f ca="1">IFERROR(__xludf.DUMMYFUNCTION("GOOGLEFINANCE(Z23,""marketcap"")/10000000"),34233.88026)</f>
        <v>34233.880259999998</v>
      </c>
      <c r="AG23" s="3" t="e">
        <f>VLOOKUP(AE23,'all stocks &gt; 500 cr'!$B:$H,6,0)</f>
        <v>#N/A</v>
      </c>
      <c r="AH23" s="4" t="str">
        <f ca="1">IFERROR(__xludf.DUMMYFUNCTION("GOOGLEFINANCE(AE23,""marketcap"")/10000000"),"#N/A")</f>
        <v>#N/A</v>
      </c>
    </row>
    <row r="24" spans="1:34" ht="15" customHeight="1">
      <c r="A24" s="270" t="s">
        <v>36</v>
      </c>
      <c r="C24" s="3" t="str">
        <f>VLOOKUP(A24,'all stocks &gt; 500 cr'!B:H,6,0)</f>
        <v>Banking and Finance</v>
      </c>
      <c r="D24" s="4">
        <f ca="1">IFERROR(__xludf.DUMMYFUNCTION("GOOGLEFINANCE(A24,""marketcap"")/10000000"),86466.39)</f>
        <v>86466.39</v>
      </c>
      <c r="H24" s="1"/>
      <c r="I24" s="270" t="s">
        <v>22</v>
      </c>
      <c r="K24" s="3" t="str">
        <f>VLOOKUP(I24,'all stocks &gt; 500 cr'!$B:$H,6,0)</f>
        <v>Automobiles &amp; Auto Components</v>
      </c>
      <c r="L24" s="4">
        <f ca="1">IFERROR(__xludf.DUMMYFUNCTION("GOOGLEFINANCE(I24,""marketcap"")/10000000"),1418.390701)</f>
        <v>1418.390701</v>
      </c>
      <c r="M24" s="270" t="s">
        <v>66</v>
      </c>
      <c r="O24" s="3" t="str">
        <f>VLOOKUP(M24,'all stocks &gt; 500 cr'!$B:$H,6,0)</f>
        <v>General Industrials</v>
      </c>
      <c r="P24" s="4">
        <f ca="1">IFERROR(__xludf.DUMMYFUNCTION("GOOGLEFINANCE(M24,""marketcap"")/10000000"),2937.74292)</f>
        <v>2937.7429200000001</v>
      </c>
      <c r="Q24" s="270" t="s">
        <v>56</v>
      </c>
      <c r="S24" s="3" t="str">
        <f>VLOOKUP(Q24,'all stocks &gt; 500 cr'!$B:$H,6,0)</f>
        <v>Hotels Restaurants &amp; Tourism</v>
      </c>
      <c r="T24" s="4">
        <f ca="1">IFERROR(__xludf.DUMMYFUNCTION("GOOGLEFINANCE(Q24,""marketcap"")/10000000"),3132.1378704)</f>
        <v>3132.1378703999999</v>
      </c>
      <c r="U24" s="270" t="s">
        <v>68</v>
      </c>
      <c r="W24" s="3" t="str">
        <f>VLOOKUP(U24,'all stocks &gt; 500 cr'!$B:$H,6,0)</f>
        <v>Software &amp; Services</v>
      </c>
      <c r="X24" s="4">
        <f ca="1">IFERROR(__xludf.DUMMYFUNCTION("GOOGLEFINANCE(U24,""marketcap"")/10000000"),76747.8148987)</f>
        <v>76747.814898700002</v>
      </c>
      <c r="Z24" s="270" t="s">
        <v>69</v>
      </c>
      <c r="AB24" s="3" t="str">
        <f>VLOOKUP(Z24,'all stocks &gt; 500 cr'!$B:$H,6,0)</f>
        <v>Oil &amp; Gas</v>
      </c>
      <c r="AC24" s="4">
        <f ca="1">IFERROR(__xludf.DUMMYFUNCTION("GOOGLEFINANCE(Z24,""marketcap"")/10000000"),32683.0100968)</f>
        <v>32683.010096800001</v>
      </c>
      <c r="AH24" s="1"/>
    </row>
    <row r="25" spans="1:34" ht="15" customHeight="1">
      <c r="A25" s="270" t="s">
        <v>65</v>
      </c>
      <c r="C25" s="3" t="str">
        <f>VLOOKUP(A25,'all stocks &gt; 500 cr'!B:H,6,0)</f>
        <v>General Industrials</v>
      </c>
      <c r="D25" s="4">
        <f ca="1">IFERROR(__xludf.DUMMYFUNCTION("GOOGLEFINANCE(A25,""marketcap"")/10000000"),70661.7281515)</f>
        <v>70661.728151500007</v>
      </c>
      <c r="H25" s="1"/>
      <c r="I25" s="270" t="s">
        <v>51</v>
      </c>
      <c r="K25" s="3" t="str">
        <f>VLOOKUP(I25,'all stocks &gt; 500 cr'!$B:$H,6,0)</f>
        <v>Utilities</v>
      </c>
      <c r="L25" s="4">
        <f ca="1">IFERROR(__xludf.DUMMYFUNCTION("GOOGLEFINANCE(I25,""marketcap"")/10000000"),1315.82124)</f>
        <v>1315.82124</v>
      </c>
      <c r="M25" s="270" t="s">
        <v>52</v>
      </c>
      <c r="O25" s="3" t="str">
        <f>VLOOKUP(M25,'all stocks &gt; 500 cr'!$B:$H,6,0)</f>
        <v>Chemicals &amp; Petrochemicals</v>
      </c>
      <c r="P25" s="4">
        <f ca="1">IFERROR(__xludf.DUMMYFUNCTION("GOOGLEFINANCE(M25,""marketcap"")/10000000"),76747.8148987)</f>
        <v>76747.814898700002</v>
      </c>
      <c r="Q25" s="270" t="s">
        <v>59</v>
      </c>
      <c r="S25" s="3" t="str">
        <f>VLOOKUP(Q25,'all stocks &gt; 500 cr'!$B:$H,6,0)</f>
        <v>Software &amp; Services</v>
      </c>
      <c r="T25" s="4">
        <f ca="1">IFERROR(__xludf.DUMMYFUNCTION("GOOGLEFINANCE(Q25,""marketcap"")/10000000"),1095.991494)</f>
        <v>1095.9914940000001</v>
      </c>
      <c r="U25" s="270" t="s">
        <v>52</v>
      </c>
      <c r="W25" s="3" t="str">
        <f>VLOOKUP(U25,'all stocks &gt; 500 cr'!$B:$H,6,0)</f>
        <v>Chemicals &amp; Petrochemicals</v>
      </c>
      <c r="X25" s="4">
        <f ca="1">IFERROR(__xludf.DUMMYFUNCTION("GOOGLEFINANCE(U25,""marketcap"")/10000000"),1664.17)</f>
        <v>1664.17</v>
      </c>
      <c r="Z25" s="270" t="s">
        <v>25</v>
      </c>
      <c r="AB25" s="3" t="str">
        <f>VLOOKUP(Z25,'all stocks &gt; 500 cr'!$B:$H,6,0)</f>
        <v>Media</v>
      </c>
      <c r="AC25" s="4">
        <f ca="1">IFERROR(__xludf.DUMMYFUNCTION("GOOGLEFINANCE(Z25,""marketcap"")/10000000"),45798.87975)</f>
        <v>45798.87975</v>
      </c>
      <c r="AH25" s="1"/>
    </row>
    <row r="26" spans="1:34" ht="15" customHeight="1">
      <c r="A26" s="270" t="s">
        <v>22</v>
      </c>
      <c r="C26" s="3" t="str">
        <f>VLOOKUP(A26,'all stocks &gt; 500 cr'!B:H,6,0)</f>
        <v>Automobiles &amp; Auto Components</v>
      </c>
      <c r="D26" s="4">
        <f ca="1">IFERROR(__xludf.DUMMYFUNCTION("GOOGLEFINANCE(A26,""marketcap"")/10000000"),1418.390701)</f>
        <v>1418.390701</v>
      </c>
      <c r="H26" s="1"/>
      <c r="I26" s="270" t="s">
        <v>70</v>
      </c>
      <c r="K26" s="3" t="str">
        <f>VLOOKUP(I26,'all stocks &gt; 500 cr'!$B:$H,6,0)</f>
        <v>General Industrials</v>
      </c>
      <c r="L26" s="4">
        <f ca="1">IFERROR(__xludf.DUMMYFUNCTION("GOOGLEFINANCE(I26,""marketcap"")/10000000"),107484.0598573)</f>
        <v>107484.0598573</v>
      </c>
      <c r="M26" s="270" t="s">
        <v>54</v>
      </c>
      <c r="O26" s="3" t="str">
        <f>VLOOKUP(M26,'all stocks &gt; 500 cr'!$B:$H,6,0)</f>
        <v>Automobiles &amp; Auto Components</v>
      </c>
      <c r="P26" s="4">
        <f ca="1">IFERROR(__xludf.DUMMYFUNCTION("GOOGLEFINANCE(M26,""marketcap"")/10000000"),12373.11096)</f>
        <v>12373.11096</v>
      </c>
      <c r="Q26" s="270" t="s">
        <v>66</v>
      </c>
      <c r="S26" s="3" t="str">
        <f>VLOOKUP(Q26,'all stocks &gt; 500 cr'!$B:$H,6,0)</f>
        <v>General Industrials</v>
      </c>
      <c r="T26" s="4">
        <f ca="1">IFERROR(__xludf.DUMMYFUNCTION("GOOGLEFINANCE(Q26,""marketcap"")/10000000"),2458.1363634)</f>
        <v>2458.1363633999999</v>
      </c>
      <c r="U26" s="270" t="s">
        <v>71</v>
      </c>
      <c r="W26" s="3" t="str">
        <f>VLOOKUP(U26,'all stocks &gt; 500 cr'!$B:$H,6,0)</f>
        <v>Cement and Construction</v>
      </c>
      <c r="X26" s="4">
        <f ca="1">IFERROR(__xludf.DUMMYFUNCTION("GOOGLEFINANCE(U26,""marketcap"")/10000000"),12373.11096)</f>
        <v>12373.11096</v>
      </c>
      <c r="Z26" s="270" t="s">
        <v>72</v>
      </c>
      <c r="AB26" s="3" t="str">
        <f>VLOOKUP(Z26,'all stocks &gt; 500 cr'!$B:$H,6,0)</f>
        <v>Automobiles &amp; Auto Components</v>
      </c>
      <c r="AC26" s="4">
        <f ca="1">IFERROR(__xludf.DUMMYFUNCTION("GOOGLEFINANCE(Z26,""marketcap"")/10000000"),3132.1378704)</f>
        <v>3132.1378703999999</v>
      </c>
      <c r="AH26" s="1"/>
    </row>
    <row r="27" spans="1:34" ht="15" customHeight="1">
      <c r="A27" s="270" t="s">
        <v>51</v>
      </c>
      <c r="C27" s="3" t="str">
        <f>VLOOKUP(A27,'all stocks &gt; 500 cr'!B:H,6,0)</f>
        <v>Utilities</v>
      </c>
      <c r="D27" s="4">
        <f ca="1">IFERROR(__xludf.DUMMYFUNCTION("GOOGLEFINANCE(A27,""marketcap"")/10000000"),1315.82124)</f>
        <v>1315.82124</v>
      </c>
      <c r="H27" s="1"/>
      <c r="I27" s="270" t="s">
        <v>60</v>
      </c>
      <c r="K27" s="3" t="str">
        <f>VLOOKUP(I27,'all stocks &gt; 500 cr'!$B:$H,6,0)</f>
        <v>Banking and Finance</v>
      </c>
      <c r="L27" s="4">
        <f ca="1">IFERROR(__xludf.DUMMYFUNCTION("GOOGLEFINANCE(I27,""marketcap"")/10000000"),795.3611)</f>
        <v>795.36109999999996</v>
      </c>
      <c r="M27" s="270" t="s">
        <v>73</v>
      </c>
      <c r="O27" s="3" t="str">
        <f>VLOOKUP(M27,'all stocks &gt; 500 cr'!$B:$H,6,0)</f>
        <v>Software &amp; Services</v>
      </c>
      <c r="P27" s="4">
        <f ca="1">IFERROR(__xludf.DUMMYFUNCTION("GOOGLEFINANCE(M27,""marketcap"")/10000000"),2930.039)</f>
        <v>2930.0390000000002</v>
      </c>
      <c r="Q27" s="270" t="s">
        <v>68</v>
      </c>
      <c r="S27" s="3" t="str">
        <f>VLOOKUP(Q27,'all stocks &gt; 500 cr'!$B:$H,6,0)</f>
        <v>Software &amp; Services</v>
      </c>
      <c r="T27" s="4">
        <f ca="1">IFERROR(__xludf.DUMMYFUNCTION("GOOGLEFINANCE(Q27,""marketcap"")/10000000"),76747.8148987)</f>
        <v>76747.814898700002</v>
      </c>
      <c r="U27" s="270" t="s">
        <v>54</v>
      </c>
      <c r="W27" s="3" t="str">
        <f>VLOOKUP(U27,'all stocks &gt; 500 cr'!$B:$H,6,0)</f>
        <v>Automobiles &amp; Auto Components</v>
      </c>
      <c r="X27" s="4">
        <f ca="1">IFERROR(__xludf.DUMMYFUNCTION("GOOGLEFINANCE(U27,""marketcap"")/10000000"),9160.749)</f>
        <v>9160.7489999999998</v>
      </c>
      <c r="Z27" s="270" t="s">
        <v>28</v>
      </c>
      <c r="AB27" s="3" t="str">
        <f>VLOOKUP(Z27,'all stocks &gt; 500 cr'!$B:$H,6,0)</f>
        <v>Automobiles &amp; Auto Components</v>
      </c>
      <c r="AC27" s="4">
        <f ca="1">IFERROR(__xludf.DUMMYFUNCTION("GOOGLEFINANCE(Z27,""marketcap"")/10000000"),1914.959)</f>
        <v>1914.9590000000001</v>
      </c>
    </row>
    <row r="28" spans="1:34" ht="15" customHeight="1">
      <c r="A28" s="270" t="s">
        <v>74</v>
      </c>
      <c r="C28" s="3" t="str">
        <f>VLOOKUP(A28,'all stocks &gt; 500 cr'!B:H,6,0)</f>
        <v>Metals &amp; Mining</v>
      </c>
      <c r="D28" s="4">
        <f ca="1">IFERROR(__xludf.DUMMYFUNCTION("GOOGLEFINANCE(A28,""marketcap"")/10000000"),107484.0598573)</f>
        <v>107484.0598573</v>
      </c>
      <c r="H28" s="1"/>
      <c r="I28" s="270" t="s">
        <v>62</v>
      </c>
      <c r="K28" s="3" t="str">
        <f>VLOOKUP(I28,'all stocks &gt; 500 cr'!$B:$H,6,0)</f>
        <v>Banking and Finance</v>
      </c>
      <c r="L28" s="4">
        <f ca="1">IFERROR(__xludf.DUMMYFUNCTION("GOOGLEFINANCE(I28,""marketcap"")/10000000"),30969.6116135)</f>
        <v>30969.611613500001</v>
      </c>
      <c r="M28" s="270" t="s">
        <v>75</v>
      </c>
      <c r="O28" s="3" t="str">
        <f>VLOOKUP(M28,'all stocks &gt; 500 cr'!$B:$H,6,0)</f>
        <v>Pharmaceuticals &amp; Biotechnology</v>
      </c>
      <c r="P28" s="4">
        <f ca="1">IFERROR(__xludf.DUMMYFUNCTION("GOOGLEFINANCE(M28,""marketcap"")/10000000"),1449525.923983)</f>
        <v>1449525.923983</v>
      </c>
      <c r="Q28" s="270" t="s">
        <v>71</v>
      </c>
      <c r="S28" s="3" t="str">
        <f>VLOOKUP(Q28,'all stocks &gt; 500 cr'!$B:$H,6,0)</f>
        <v>Cement and Construction</v>
      </c>
      <c r="T28" s="4">
        <f ca="1">IFERROR(__xludf.DUMMYFUNCTION("GOOGLEFINANCE(Q28,""marketcap"")/10000000"),1664.17)</f>
        <v>1664.17</v>
      </c>
      <c r="U28" s="270" t="s">
        <v>73</v>
      </c>
      <c r="W28" s="3" t="str">
        <f>VLOOKUP(U28,'all stocks &gt; 500 cr'!$B:$H,6,0)</f>
        <v>Software &amp; Services</v>
      </c>
      <c r="X28" s="4">
        <f ca="1">IFERROR(__xludf.DUMMYFUNCTION("GOOGLEFINANCE(U28,""marketcap"")/10000000"),2930.039)</f>
        <v>2930.0390000000002</v>
      </c>
      <c r="Z28" s="270" t="s">
        <v>76</v>
      </c>
      <c r="AB28" s="3" t="str">
        <f>VLOOKUP(Z28,'all stocks &gt; 500 cr'!$B:$H,6,0)</f>
        <v>Banking and Finance</v>
      </c>
      <c r="AC28" s="4">
        <f ca="1">IFERROR(__xludf.DUMMYFUNCTION("GOOGLEFINANCE(Z28,""marketcap"")/10000000"),3112.387128)</f>
        <v>3112.3871279999998</v>
      </c>
    </row>
    <row r="29" spans="1:34" ht="15" customHeight="1">
      <c r="A29" s="270" t="s">
        <v>53</v>
      </c>
      <c r="C29" s="3" t="str">
        <f>VLOOKUP(A29,'all stocks &gt; 500 cr'!B:H,6,0)</f>
        <v>Consumer Durables</v>
      </c>
      <c r="D29" s="4">
        <f ca="1">IFERROR(__xludf.DUMMYFUNCTION("GOOGLEFINANCE(A29,""marketcap"")/10000000"),1463.002)</f>
        <v>1463.002</v>
      </c>
      <c r="H29" s="1"/>
      <c r="I29" s="270" t="s">
        <v>64</v>
      </c>
      <c r="K29" s="3" t="str">
        <f>VLOOKUP(I29,'all stocks &gt; 500 cr'!$B:$H,6,0)</f>
        <v>Banking and Finance</v>
      </c>
      <c r="L29" s="4">
        <f ca="1">IFERROR(__xludf.DUMMYFUNCTION("GOOGLEFINANCE(I29,""marketcap"")/10000000"),66663.0863559)</f>
        <v>66663.086355899999</v>
      </c>
      <c r="M29" s="270" t="s">
        <v>58</v>
      </c>
      <c r="O29" s="3" t="str">
        <f>VLOOKUP(M29,'all stocks &gt; 500 cr'!$B:$H,6,0)</f>
        <v>Software &amp; Services</v>
      </c>
      <c r="P29" s="4">
        <f ca="1">IFERROR(__xludf.DUMMYFUNCTION("GOOGLEFINANCE(M29,""marketcap"")/10000000"),1115.6272923)</f>
        <v>1115.6272922999999</v>
      </c>
      <c r="Q29" s="270" t="s">
        <v>54</v>
      </c>
      <c r="S29" s="3" t="str">
        <f>VLOOKUP(Q29,'all stocks &gt; 500 cr'!$B:$H,6,0)</f>
        <v>Automobiles &amp; Auto Components</v>
      </c>
      <c r="T29" s="4">
        <f ca="1">IFERROR(__xludf.DUMMYFUNCTION("GOOGLEFINANCE(Q29,""marketcap"")/10000000"),9160.749)</f>
        <v>9160.7489999999998</v>
      </c>
      <c r="U29" s="270" t="s">
        <v>77</v>
      </c>
      <c r="W29" s="3" t="str">
        <f>VLOOKUP(U29,'all stocks &gt; 500 cr'!$B:$H,6,0)</f>
        <v>Cement and Construction</v>
      </c>
      <c r="X29" s="4">
        <f ca="1">IFERROR(__xludf.DUMMYFUNCTION("GOOGLEFINANCE(U29,""marketcap"")/10000000"),1449525.923983)</f>
        <v>1449525.923983</v>
      </c>
      <c r="Z29" s="270" t="s">
        <v>49</v>
      </c>
      <c r="AB29" s="3" t="str">
        <f>VLOOKUP(Z29,'all stocks &gt; 500 cr'!$B:$H,6,0)</f>
        <v>Automobiles &amp; Auto Components</v>
      </c>
      <c r="AC29" s="4">
        <f ca="1">IFERROR(__xludf.DUMMYFUNCTION("GOOGLEFINANCE(Z29,""marketcap"")/10000000"),93739.1048)</f>
        <v>93739.104800000001</v>
      </c>
    </row>
    <row r="30" spans="1:34" ht="15" customHeight="1">
      <c r="A30" s="270" t="s">
        <v>70</v>
      </c>
      <c r="C30" s="3" t="str">
        <f>VLOOKUP(A30,'all stocks &gt; 500 cr'!B:H,6,0)</f>
        <v>General Industrials</v>
      </c>
      <c r="D30" s="4">
        <f ca="1">IFERROR(__xludf.DUMMYFUNCTION("GOOGLEFINANCE(A30,""marketcap"")/10000000"),36029.35)</f>
        <v>36029.35</v>
      </c>
      <c r="H30" s="1"/>
      <c r="I30" s="270" t="s">
        <v>78</v>
      </c>
      <c r="K30" s="3" t="str">
        <f>VLOOKUP(I30,'all stocks &gt; 500 cr'!$B:$H,6,0)</f>
        <v>Cement and Construction</v>
      </c>
      <c r="L30" s="4">
        <f ca="1">IFERROR(__xludf.DUMMYFUNCTION("GOOGLEFINANCE(I30,""marketcap"")/10000000"),34233.88026)</f>
        <v>34233.880259999998</v>
      </c>
      <c r="M30" s="270" t="s">
        <v>6169</v>
      </c>
      <c r="O30" s="3" t="e">
        <f>VLOOKUP(M30,'all stocks &gt; 500 cr'!$B:$H,6,0)</f>
        <v>#N/A</v>
      </c>
      <c r="P30" s="4">
        <f ca="1">IFERROR(__xludf.DUMMYFUNCTION("GOOGLEFINANCE(M30,""marketcap"")/10000000"),13832.5232988)</f>
        <v>13832.523298800001</v>
      </c>
      <c r="Q30" s="270" t="s">
        <v>73</v>
      </c>
      <c r="S30" s="3" t="str">
        <f>VLOOKUP(Q30,'all stocks &gt; 500 cr'!$B:$H,6,0)</f>
        <v>Software &amp; Services</v>
      </c>
      <c r="T30" s="4">
        <f ca="1">IFERROR(__xludf.DUMMYFUNCTION("GOOGLEFINANCE(Q30,""marketcap"")/10000000"),2930.039)</f>
        <v>2930.0390000000002</v>
      </c>
      <c r="U30" s="270" t="s">
        <v>58</v>
      </c>
      <c r="W30" s="3" t="str">
        <f>VLOOKUP(U30,'all stocks &gt; 500 cr'!$B:$H,6,0)</f>
        <v>Software &amp; Services</v>
      </c>
      <c r="X30" s="4">
        <f ca="1">IFERROR(__xludf.DUMMYFUNCTION("GOOGLEFINANCE(U30,""marketcap"")/10000000"),6798.933324)</f>
        <v>6798.9333239999996</v>
      </c>
      <c r="Z30" s="270" t="s">
        <v>66</v>
      </c>
      <c r="AB30" s="3" t="str">
        <f>VLOOKUP(Z30,'all stocks &gt; 500 cr'!$B:$H,6,0)</f>
        <v>General Industrials</v>
      </c>
      <c r="AC30" s="4">
        <f ca="1">IFERROR(__xludf.DUMMYFUNCTION("GOOGLEFINANCE(Z30,""marketcap"")/10000000"),2937.74292)</f>
        <v>2937.7429200000001</v>
      </c>
    </row>
    <row r="31" spans="1:34" ht="15" customHeight="1">
      <c r="A31" s="270" t="s">
        <v>38</v>
      </c>
      <c r="C31" s="3" t="str">
        <f>VLOOKUP(A31,'all stocks &gt; 500 cr'!B:H,6,0)</f>
        <v>Realty</v>
      </c>
      <c r="D31" s="4">
        <f ca="1">IFERROR(__xludf.DUMMYFUNCTION("GOOGLEFINANCE(A31,""marketcap"")/10000000"),795.3611)</f>
        <v>795.36109999999996</v>
      </c>
      <c r="H31" s="1"/>
      <c r="I31" s="270" t="s">
        <v>69</v>
      </c>
      <c r="K31" s="3" t="str">
        <f>VLOOKUP(I31,'all stocks &gt; 500 cr'!$B:$H,6,0)</f>
        <v>Oil &amp; Gas</v>
      </c>
      <c r="L31" s="4">
        <f ca="1">IFERROR(__xludf.DUMMYFUNCTION("GOOGLEFINANCE(I31,""marketcap"")/10000000"),16220.4172942)</f>
        <v>16220.4172942</v>
      </c>
      <c r="M31" s="271" t="s">
        <v>33</v>
      </c>
      <c r="O31" s="3" t="e">
        <f>VLOOKUP(M31,'all stocks &gt; 500 cr'!$B:$H,6,0)</f>
        <v>#N/A</v>
      </c>
      <c r="P31" s="4" t="str">
        <f ca="1">IFERROR(__xludf.DUMMYFUNCTION("GOOGLEFINANCE(M31,""marketcap"")/10000000"),"#N/A")</f>
        <v>#N/A</v>
      </c>
      <c r="Q31" s="270" t="s">
        <v>77</v>
      </c>
      <c r="S31" s="3" t="str">
        <f>VLOOKUP(Q31,'all stocks &gt; 500 cr'!$B:$H,6,0)</f>
        <v>Cement and Construction</v>
      </c>
      <c r="T31" s="4">
        <f ca="1">IFERROR(__xludf.DUMMYFUNCTION("GOOGLEFINANCE(Q31,""marketcap"")/10000000"),1449525.923983)</f>
        <v>1449525.923983</v>
      </c>
      <c r="U31" s="270" t="s">
        <v>6169</v>
      </c>
      <c r="W31" s="3" t="e">
        <f>VLOOKUP(U31,'all stocks &gt; 500 cr'!$B:$H,6,0)</f>
        <v>#N/A</v>
      </c>
      <c r="X31" s="4">
        <f ca="1">IFERROR(__xludf.DUMMYFUNCTION("GOOGLEFINANCE(U31,""marketcap"")/10000000"),13832.5232988)</f>
        <v>13832.523298800001</v>
      </c>
      <c r="Z31" s="270" t="s">
        <v>73</v>
      </c>
      <c r="AB31" s="3" t="str">
        <f>VLOOKUP(Z31,'all stocks &gt; 500 cr'!$B:$H,6,0)</f>
        <v>Software &amp; Services</v>
      </c>
      <c r="AC31" s="4">
        <f ca="1">IFERROR(__xludf.DUMMYFUNCTION("GOOGLEFINANCE(Z31,""marketcap"")/10000000"),76747.8148987)</f>
        <v>76747.814898700002</v>
      </c>
    </row>
    <row r="32" spans="1:34" ht="15" customHeight="1">
      <c r="A32" s="270" t="s">
        <v>55</v>
      </c>
      <c r="C32" s="3" t="str">
        <f>VLOOKUP(A32,'all stocks &gt; 500 cr'!B:H,6,0)</f>
        <v>Pharmaceuticals &amp; Biotechnology</v>
      </c>
      <c r="D32" s="4">
        <f ca="1">IFERROR(__xludf.DUMMYFUNCTION("GOOGLEFINANCE(A32,""marketcap"")/10000000"),2358.99693)</f>
        <v>2358.9969299999998</v>
      </c>
      <c r="H32" s="1"/>
      <c r="I32" s="270" t="s">
        <v>25</v>
      </c>
      <c r="K32" s="3" t="str">
        <f>VLOOKUP(I32,'all stocks &gt; 500 cr'!$B:$H,6,0)</f>
        <v>Media</v>
      </c>
      <c r="L32" s="4">
        <f ca="1">IFERROR(__xludf.DUMMYFUNCTION("GOOGLEFINANCE(I32,""marketcap"")/10000000"),45798.87975)</f>
        <v>45798.87975</v>
      </c>
      <c r="O32" s="3" t="e">
        <f>VLOOKUP(M32,'all stocks &gt; 500 cr'!$B:$H,6,0)</f>
        <v>#N/A</v>
      </c>
      <c r="P32" s="4" t="str">
        <f ca="1">IFERROR(__xludf.DUMMYFUNCTION("GOOGLEFINANCE(M32,""marketcap"")/10000000"),"#N/A")</f>
        <v>#N/A</v>
      </c>
      <c r="Q32" s="270" t="s">
        <v>79</v>
      </c>
      <c r="S32" s="3" t="str">
        <f>VLOOKUP(Q32,'all stocks &gt; 500 cr'!$B:$H,6,0)</f>
        <v>Media</v>
      </c>
      <c r="T32" s="4">
        <f ca="1">IFERROR(__xludf.DUMMYFUNCTION("GOOGLEFINANCE(Q32,""marketcap"")/10000000"),6798.933324)</f>
        <v>6798.9333239999996</v>
      </c>
      <c r="U32" s="271" t="s">
        <v>33</v>
      </c>
      <c r="W32" s="3" t="e">
        <f>VLOOKUP(U32,'all stocks &gt; 500 cr'!$B:$H,6,0)</f>
        <v>#N/A</v>
      </c>
      <c r="X32" s="4" t="str">
        <f ca="1">IFERROR(__xludf.DUMMYFUNCTION("GOOGLEFINANCE(U32,""marketcap"")/10000000"),"#N/A")</f>
        <v>#N/A</v>
      </c>
      <c r="Z32" s="270" t="s">
        <v>6169</v>
      </c>
      <c r="AB32" s="3" t="e">
        <f>VLOOKUP(Z32,'all stocks &gt; 500 cr'!$B:$H,6,0)</f>
        <v>#N/A</v>
      </c>
      <c r="AC32" s="4">
        <f ca="1">IFERROR(__xludf.DUMMYFUNCTION("GOOGLEFINANCE(Z32,""marketcap"")/10000000"),1449525.923983)</f>
        <v>1449525.923983</v>
      </c>
    </row>
    <row r="33" spans="1:29" ht="15" customHeight="1">
      <c r="A33" s="270" t="s">
        <v>40</v>
      </c>
      <c r="C33" s="3" t="e">
        <f>VLOOKUP(A33,'all stocks &gt; 500 cr'!B:H,6,0)</f>
        <v>#N/A</v>
      </c>
      <c r="D33" s="4">
        <f ca="1">IFERROR(__xludf.DUMMYFUNCTION("GOOGLEFINANCE(A33,""marketcap"")/10000000"),7391.0566305)</f>
        <v>7391.0566305000002</v>
      </c>
      <c r="H33" s="1"/>
      <c r="I33" s="270" t="s">
        <v>45</v>
      </c>
      <c r="K33" s="3" t="str">
        <f>VLOOKUP(I33,'all stocks &gt; 500 cr'!$B:$H,6,0)</f>
        <v>Cement and Construction</v>
      </c>
      <c r="L33" s="4">
        <f ca="1">IFERROR(__xludf.DUMMYFUNCTION("GOOGLEFINANCE(I33,""marketcap"")/10000000"),3132.1378704)</f>
        <v>3132.1378703999999</v>
      </c>
      <c r="O33" s="3" t="e">
        <f>VLOOKUP(M33,'all stocks &gt; 500 cr'!$B:$H,6,0)</f>
        <v>#N/A</v>
      </c>
      <c r="P33" s="4" t="str">
        <f ca="1">IFERROR(__xludf.DUMMYFUNCTION("GOOGLEFINANCE(M33,""marketcap"")/10000000"),"#N/A")</f>
        <v>#N/A</v>
      </c>
      <c r="Q33" s="270" t="s">
        <v>58</v>
      </c>
      <c r="S33" s="3" t="str">
        <f>VLOOKUP(Q33,'all stocks &gt; 500 cr'!$B:$H,6,0)</f>
        <v>Software &amp; Services</v>
      </c>
      <c r="T33" s="4">
        <f ca="1">IFERROR(__xludf.DUMMYFUNCTION("GOOGLEFINANCE(Q33,""marketcap"")/10000000"),6029.0184225)</f>
        <v>6029.0184225000003</v>
      </c>
      <c r="W33" s="3" t="e">
        <f>VLOOKUP(U33,'all stocks &gt; 500 cr'!$B:$H,6,0)</f>
        <v>#N/A</v>
      </c>
      <c r="X33" s="4" t="str">
        <f ca="1">IFERROR(__xludf.DUMMYFUNCTION("GOOGLEFINANCE(U33,""marketcap"")/10000000"),"#N/A")</f>
        <v>#N/A</v>
      </c>
      <c r="Z33" s="271" t="s">
        <v>33</v>
      </c>
      <c r="AB33" s="3" t="e">
        <f>VLOOKUP(Z33,'all stocks &gt; 500 cr'!$B:$H,6,0)</f>
        <v>#N/A</v>
      </c>
      <c r="AC33" s="4" t="str">
        <f ca="1">IFERROR(__xludf.DUMMYFUNCTION("GOOGLEFINANCE(Z33,""marketcap"")/10000000"),"#N/A")</f>
        <v>#N/A</v>
      </c>
    </row>
    <row r="34" spans="1:29" ht="15" customHeight="1">
      <c r="A34" s="270" t="s">
        <v>62</v>
      </c>
      <c r="C34" s="3" t="str">
        <f>VLOOKUP(A34,'all stocks &gt; 500 cr'!B:H,6,0)</f>
        <v>Banking and Finance</v>
      </c>
      <c r="D34" s="4">
        <f ca="1">IFERROR(__xludf.DUMMYFUNCTION("GOOGLEFINANCE(A34,""marketcap"")/10000000"),481.4157334)</f>
        <v>481.41573340000002</v>
      </c>
      <c r="H34" s="1"/>
      <c r="I34" s="270" t="s">
        <v>80</v>
      </c>
      <c r="K34" s="3" t="str">
        <f>VLOOKUP(I34,'all stocks &gt; 500 cr'!$B:$H,6,0)</f>
        <v>Metals &amp; Mining</v>
      </c>
      <c r="L34" s="4">
        <f ca="1">IFERROR(__xludf.DUMMYFUNCTION("GOOGLEFINANCE(I34,""marketcap"")/10000000"),8871.4931763)</f>
        <v>8871.4931763000004</v>
      </c>
      <c r="O34" s="3" t="e">
        <f>VLOOKUP(M34,'all stocks &gt; 500 cr'!$B:$H,6,0)</f>
        <v>#N/A</v>
      </c>
      <c r="P34" s="4" t="str">
        <f ca="1">IFERROR(__xludf.DUMMYFUNCTION("GOOGLEFINANCE(M34,""marketcap"")/10000000"),"#N/A")</f>
        <v>#N/A</v>
      </c>
      <c r="Q34" s="270" t="s">
        <v>6169</v>
      </c>
      <c r="S34" s="3" t="e">
        <f>VLOOKUP(Q34,'all stocks &gt; 500 cr'!$B:$H,6,0)</f>
        <v>#N/A</v>
      </c>
      <c r="T34" s="4">
        <f ca="1">IFERROR(__xludf.DUMMYFUNCTION("GOOGLEFINANCE(Q34,""marketcap"")/10000000"),13832.5232988)</f>
        <v>13832.523298800001</v>
      </c>
      <c r="W34" s="3" t="e">
        <f>VLOOKUP(U34,'all stocks &gt; 500 cr'!$B:$H,6,0)</f>
        <v>#N/A</v>
      </c>
      <c r="X34" s="4" t="str">
        <f ca="1">IFERROR(__xludf.DUMMYFUNCTION("GOOGLEFINANCE(U34,""marketcap"")/10000000"),"#N/A")</f>
        <v>#N/A</v>
      </c>
    </row>
    <row r="35" spans="1:29" ht="15" customHeight="1">
      <c r="A35" s="270" t="s">
        <v>78</v>
      </c>
      <c r="C35" s="3" t="str">
        <f>VLOOKUP(A35,'all stocks &gt; 500 cr'!B:H,6,0)</f>
        <v>Cement and Construction</v>
      </c>
      <c r="D35" s="4">
        <f ca="1">IFERROR(__xludf.DUMMYFUNCTION("GOOGLEFINANCE(A35,""marketcap"")/10000000"),66663.0863559)</f>
        <v>66663.086355899999</v>
      </c>
      <c r="H35" s="1"/>
      <c r="I35" s="270" t="s">
        <v>59</v>
      </c>
      <c r="K35" s="3" t="str">
        <f>VLOOKUP(I35,'all stocks &gt; 500 cr'!$B:$H,6,0)</f>
        <v>Software &amp; Services</v>
      </c>
      <c r="L35" s="4">
        <f ca="1">IFERROR(__xludf.DUMMYFUNCTION("GOOGLEFINANCE(I35,""marketcap"")/10000000"),64293.3752948)</f>
        <v>64293.375294799996</v>
      </c>
      <c r="O35" s="3" t="e">
        <f>VLOOKUP(M35,'all stocks &gt; 500 cr'!$B:$H,6,0)</f>
        <v>#N/A</v>
      </c>
      <c r="P35" s="4" t="str">
        <f ca="1">IFERROR(__xludf.DUMMYFUNCTION("GOOGLEFINANCE(M35,""marketcap"")/10000000"),"#N/A")</f>
        <v>#N/A</v>
      </c>
      <c r="Q35" s="271" t="s">
        <v>33</v>
      </c>
      <c r="S35" s="3" t="e">
        <f>VLOOKUP(Q35,'all stocks &gt; 500 cr'!$B:$H,6,0)</f>
        <v>#N/A</v>
      </c>
      <c r="T35" s="4" t="str">
        <f ca="1">IFERROR(__xludf.DUMMYFUNCTION("GOOGLEFINANCE(Q35,""marketcap"")/10000000"),"#N/A")</f>
        <v>#N/A</v>
      </c>
      <c r="W35" s="3" t="e">
        <f>VLOOKUP(U35,'all stocks &gt; 500 cr'!$B:$H,6,0)</f>
        <v>#N/A</v>
      </c>
      <c r="X35" s="4" t="str">
        <f ca="1">IFERROR(__xludf.DUMMYFUNCTION("GOOGLEFINANCE(U35,""marketcap"")/10000000"),"#N/A")</f>
        <v>#N/A</v>
      </c>
    </row>
    <row r="36" spans="1:29" ht="15" customHeight="1">
      <c r="A36" s="270" t="s">
        <v>25</v>
      </c>
      <c r="C36" s="3" t="str">
        <f>VLOOKUP(A36,'all stocks &gt; 500 cr'!B:H,6,0)</f>
        <v>Media</v>
      </c>
      <c r="D36" s="4">
        <f ca="1">IFERROR(__xludf.DUMMYFUNCTION("GOOGLEFINANCE(A36,""marketcap"")/10000000"),16220.4172942)</f>
        <v>16220.4172942</v>
      </c>
      <c r="H36" s="1"/>
      <c r="I36" s="270" t="s">
        <v>61</v>
      </c>
      <c r="K36" s="3" t="str">
        <f>VLOOKUP(I36,'all stocks &gt; 500 cr'!$B:$H,6,0)</f>
        <v>Cement and Construction</v>
      </c>
      <c r="L36" s="4">
        <f ca="1">IFERROR(__xludf.DUMMYFUNCTION("GOOGLEFINANCE(I36,""marketcap"")/10000000"),2458.1363634)</f>
        <v>2458.1363633999999</v>
      </c>
      <c r="O36" s="3" t="e">
        <f>VLOOKUP(M36,'all stocks &gt; 500 cr'!$B:$H,6,0)</f>
        <v>#N/A</v>
      </c>
      <c r="P36" s="4" t="str">
        <f ca="1">IFERROR(__xludf.DUMMYFUNCTION("GOOGLEFINANCE(M36,""marketcap"")/10000000"),"#N/A")</f>
        <v>#N/A</v>
      </c>
      <c r="S36" s="3" t="e">
        <f>VLOOKUP(Q36,'all stocks &gt; 500 cr'!$B:$H,6,0)</f>
        <v>#N/A</v>
      </c>
      <c r="T36" s="4" t="str">
        <f ca="1">IFERROR(__xludf.DUMMYFUNCTION("GOOGLEFINANCE(Q36,""marketcap"")/10000000"),"#N/A")</f>
        <v>#N/A</v>
      </c>
      <c r="W36" s="3" t="e">
        <f>VLOOKUP(U36,'all stocks &gt; 500 cr'!$B:$H,6,0)</f>
        <v>#N/A</v>
      </c>
      <c r="X36" s="4" t="str">
        <f ca="1">IFERROR(__xludf.DUMMYFUNCTION("GOOGLEFINANCE(U36,""marketcap"")/10000000"),"#N/A")</f>
        <v>#N/A</v>
      </c>
    </row>
    <row r="37" spans="1:29" ht="15" customHeight="1">
      <c r="A37" s="270" t="s">
        <v>72</v>
      </c>
      <c r="C37" s="3" t="str">
        <f>VLOOKUP(A37,'all stocks &gt; 500 cr'!B:H,6,0)</f>
        <v>Automobiles &amp; Auto Components</v>
      </c>
      <c r="D37" s="4">
        <f ca="1">IFERROR(__xludf.DUMMYFUNCTION("GOOGLEFINANCE(A37,""marketcap"")/10000000"),3132.1378704)</f>
        <v>3132.1378703999999</v>
      </c>
      <c r="H37" s="1"/>
      <c r="I37" s="270" t="s">
        <v>81</v>
      </c>
      <c r="K37" s="3" t="str">
        <f>VLOOKUP(I37,'all stocks &gt; 500 cr'!$B:$H,6,0)</f>
        <v>General Industrials</v>
      </c>
      <c r="L37" s="4">
        <f ca="1">IFERROR(__xludf.DUMMYFUNCTION("GOOGLEFINANCE(I37,""marketcap"")/10000000"),1709.9259998)</f>
        <v>1709.9259998</v>
      </c>
      <c r="O37" s="3" t="e">
        <f>VLOOKUP(M37,'all stocks &gt; 500 cr'!$B:$H,6,0)</f>
        <v>#N/A</v>
      </c>
      <c r="P37" s="4" t="str">
        <f ca="1">IFERROR(__xludf.DUMMYFUNCTION("GOOGLEFINANCE(M37,""marketcap"")/10000000"),"#N/A")</f>
        <v>#N/A</v>
      </c>
      <c r="S37" s="3" t="e">
        <f>VLOOKUP(Q37,'all stocks &gt; 500 cr'!$B:$H,6,0)</f>
        <v>#N/A</v>
      </c>
      <c r="T37" s="4" t="str">
        <f ca="1">IFERROR(__xludf.DUMMYFUNCTION("GOOGLEFINANCE(Q37,""marketcap"")/10000000"),"#N/A")</f>
        <v>#N/A</v>
      </c>
      <c r="W37" s="3" t="e">
        <f>VLOOKUP(U37,'all stocks &gt; 500 cr'!$B:$H,6,0)</f>
        <v>#N/A</v>
      </c>
      <c r="X37" s="4" t="str">
        <f ca="1">IFERROR(__xludf.DUMMYFUNCTION("GOOGLEFINANCE(U37,""marketcap"")/10000000"),"#N/A")</f>
        <v>#N/A</v>
      </c>
    </row>
    <row r="38" spans="1:29" ht="15" customHeight="1">
      <c r="A38" s="270" t="s">
        <v>56</v>
      </c>
      <c r="C38" s="3" t="str">
        <f>VLOOKUP(A38,'all stocks &gt; 500 cr'!B:H,6,0)</f>
        <v>Hotels Restaurants &amp; Tourism</v>
      </c>
      <c r="D38" s="4">
        <f ca="1">IFERROR(__xludf.DUMMYFUNCTION("GOOGLEFINANCE(A38,""marketcap"")/10000000"),1914.959)</f>
        <v>1914.9590000000001</v>
      </c>
      <c r="H38" s="1"/>
      <c r="I38" s="270" t="s">
        <v>76</v>
      </c>
      <c r="K38" s="3" t="str">
        <f>VLOOKUP(I38,'all stocks &gt; 500 cr'!$B:$H,6,0)</f>
        <v>Banking and Finance</v>
      </c>
      <c r="L38" s="4">
        <f ca="1">IFERROR(__xludf.DUMMYFUNCTION("GOOGLEFINANCE(I38,""marketcap"")/10000000"),9203.77)</f>
        <v>9203.77</v>
      </c>
      <c r="P38" s="1"/>
      <c r="S38" s="3" t="e">
        <f>VLOOKUP(Q38,'all stocks &gt; 500 cr'!$B:$H,6,0)</f>
        <v>#N/A</v>
      </c>
      <c r="T38" s="4" t="str">
        <f ca="1">IFERROR(__xludf.DUMMYFUNCTION("GOOGLEFINANCE(Q38,""marketcap"")/10000000"),"#N/A")</f>
        <v>#N/A</v>
      </c>
      <c r="W38" s="3" t="e">
        <f>VLOOKUP(U38,'all stocks &gt; 500 cr'!$B:$H,6,0)</f>
        <v>#N/A</v>
      </c>
      <c r="X38" s="4" t="str">
        <f ca="1">IFERROR(__xludf.DUMMYFUNCTION("GOOGLEFINANCE(U38,""marketcap"")/10000000"),"#N/A")</f>
        <v>#N/A</v>
      </c>
    </row>
    <row r="39" spans="1:29" ht="15" customHeight="1">
      <c r="A39" s="270" t="s">
        <v>28</v>
      </c>
      <c r="C39" s="3" t="str">
        <f>VLOOKUP(A39,'all stocks &gt; 500 cr'!B:H,6,0)</f>
        <v>Automobiles &amp; Auto Components</v>
      </c>
      <c r="D39" s="4">
        <f ca="1">IFERROR(__xludf.DUMMYFUNCTION("GOOGLEFINANCE(A39,""marketcap"")/10000000"),1095.991494)</f>
        <v>1095.9914940000001</v>
      </c>
      <c r="H39" s="1"/>
      <c r="I39" s="270" t="s">
        <v>49</v>
      </c>
      <c r="L39" s="1"/>
      <c r="P39" s="1"/>
      <c r="T39" s="1"/>
      <c r="X39" s="1"/>
    </row>
    <row r="40" spans="1:29" ht="15" customHeight="1">
      <c r="A40" s="270" t="s">
        <v>59</v>
      </c>
      <c r="C40" s="3" t="str">
        <f>VLOOKUP(A40,'all stocks &gt; 500 cr'!B:H,6,0)</f>
        <v>Software &amp; Services</v>
      </c>
      <c r="D40" s="4">
        <f ca="1">IFERROR(__xludf.DUMMYFUNCTION("GOOGLEFINANCE(A40,""marketcap"")/10000000"),3112.387128)</f>
        <v>3112.3871279999998</v>
      </c>
      <c r="H40" s="1"/>
      <c r="I40" s="270" t="s">
        <v>66</v>
      </c>
      <c r="L40" s="1"/>
      <c r="P40" s="1"/>
      <c r="T40" s="1"/>
      <c r="X40" s="1"/>
    </row>
    <row r="41" spans="1:29" ht="15" customHeight="1">
      <c r="A41" s="270" t="s">
        <v>81</v>
      </c>
      <c r="C41" s="3" t="str">
        <f>VLOOKUP(A41,'all stocks &gt; 500 cr'!B:H,6,0)</f>
        <v>General Industrials</v>
      </c>
      <c r="D41" s="4">
        <f ca="1">IFERROR(__xludf.DUMMYFUNCTION("GOOGLEFINANCE(A41,""marketcap"")/10000000"),2458.1363634)</f>
        <v>2458.1363633999999</v>
      </c>
      <c r="H41" s="1"/>
      <c r="I41" s="270" t="s">
        <v>79</v>
      </c>
      <c r="L41" s="1"/>
      <c r="P41" s="1"/>
      <c r="T41" s="1"/>
      <c r="X41" s="1"/>
    </row>
    <row r="42" spans="1:29" ht="15" customHeight="1">
      <c r="A42" s="270" t="s">
        <v>49</v>
      </c>
      <c r="D42" s="4">
        <f ca="1">IFERROR(__xludf.DUMMYFUNCTION("GOOGLEFINANCE(A42,""marketcap"")/10000000"),9203.77)</f>
        <v>9203.77</v>
      </c>
      <c r="H42" s="1"/>
      <c r="I42" s="270" t="s">
        <v>58</v>
      </c>
      <c r="L42" s="1"/>
      <c r="P42" s="1"/>
      <c r="T42" s="1"/>
      <c r="X42" s="1"/>
    </row>
    <row r="43" spans="1:29" ht="15" customHeight="1">
      <c r="A43" s="270" t="s">
        <v>82</v>
      </c>
      <c r="C43" s="3" t="str">
        <f>VLOOKUP(A43,'all stocks &gt; 500 cr'!B:H,6,0)</f>
        <v>Transportation</v>
      </c>
      <c r="D43" s="4">
        <f ca="1">IFERROR(__xludf.DUMMYFUNCTION("GOOGLEFINANCE(A43,""marketcap"")/10000000"),2937.74292)</f>
        <v>2937.7429200000001</v>
      </c>
      <c r="H43" s="1"/>
      <c r="I43" s="270" t="s">
        <v>6169</v>
      </c>
      <c r="L43" s="1"/>
      <c r="P43" s="1"/>
      <c r="T43" s="1"/>
      <c r="X43" s="1"/>
    </row>
    <row r="44" spans="1:29" ht="15" customHeight="1">
      <c r="A44" s="270" t="s">
        <v>66</v>
      </c>
      <c r="C44" s="3" t="str">
        <f>VLOOKUP(A44,'all stocks &gt; 500 cr'!B:H,6,0)</f>
        <v>General Industrials</v>
      </c>
      <c r="D44" s="4">
        <f ca="1">IFERROR(__xludf.DUMMYFUNCTION("GOOGLEFINANCE(A44,""marketcap"")/10000000"),1201.8541519)</f>
        <v>1201.8541519</v>
      </c>
      <c r="H44" s="1"/>
      <c r="I44" s="271" t="s">
        <v>33</v>
      </c>
      <c r="L44" s="1"/>
      <c r="P44" s="1"/>
      <c r="T44" s="1"/>
      <c r="X44" s="1"/>
    </row>
    <row r="45" spans="1:29" ht="15" customHeight="1">
      <c r="A45" s="270" t="s">
        <v>68</v>
      </c>
      <c r="C45" s="3" t="str">
        <f>VLOOKUP(A45,'all stocks &gt; 500 cr'!B:H,6,0)</f>
        <v>Software &amp; Services</v>
      </c>
      <c r="D45" s="4">
        <f ca="1">IFERROR(__xludf.DUMMYFUNCTION("GOOGLEFINANCE(A45,""marketcap"")/10000000"),76747.8148987)</f>
        <v>76747.814898700002</v>
      </c>
      <c r="H45" s="1"/>
      <c r="L45" s="1"/>
      <c r="P45" s="1"/>
      <c r="T45" s="1"/>
      <c r="X45" s="1"/>
    </row>
    <row r="46" spans="1:29" ht="15" customHeight="1">
      <c r="A46" s="270" t="s">
        <v>52</v>
      </c>
      <c r="C46" s="3" t="str">
        <f>VLOOKUP(A46,'all stocks &gt; 500 cr'!B:H,6,0)</f>
        <v>Chemicals &amp; Petrochemicals</v>
      </c>
      <c r="D46" s="4">
        <f ca="1">IFERROR(__xludf.DUMMYFUNCTION("GOOGLEFINANCE(A46,""marketcap"")/10000000"),1664.17)</f>
        <v>1664.17</v>
      </c>
      <c r="H46" s="1"/>
      <c r="L46" s="1"/>
      <c r="P46" s="1"/>
      <c r="T46" s="1"/>
      <c r="X46" s="1"/>
    </row>
    <row r="47" spans="1:29" ht="15" customHeight="1">
      <c r="A47" s="270" t="s">
        <v>54</v>
      </c>
      <c r="C47" s="3" t="str">
        <f>VLOOKUP(A47,'all stocks &gt; 500 cr'!B:H,6,0)</f>
        <v>Automobiles &amp; Auto Components</v>
      </c>
      <c r="D47" s="4">
        <f ca="1">IFERROR(__xludf.DUMMYFUNCTION("GOOGLEFINANCE(A47,""marketcap"")/10000000"),12373.11096)</f>
        <v>12373.11096</v>
      </c>
      <c r="H47" s="1"/>
      <c r="L47" s="1"/>
      <c r="P47" s="1"/>
      <c r="T47" s="1"/>
      <c r="X47" s="1"/>
    </row>
    <row r="48" spans="1:29" ht="15" customHeight="1">
      <c r="A48" s="270" t="s">
        <v>73</v>
      </c>
      <c r="C48" s="3" t="str">
        <f>VLOOKUP(A48,'all stocks &gt; 500 cr'!B:H,6,0)</f>
        <v>Software &amp; Services</v>
      </c>
      <c r="D48" s="4">
        <f ca="1">IFERROR(__xludf.DUMMYFUNCTION("GOOGLEFINANCE(A48,""marketcap"")/10000000"),2930.039)</f>
        <v>2930.0390000000002</v>
      </c>
      <c r="H48" s="1"/>
      <c r="L48" s="1"/>
      <c r="P48" s="1"/>
      <c r="T48" s="1"/>
      <c r="X48" s="1"/>
    </row>
    <row r="49" spans="1:24" ht="15" customHeight="1">
      <c r="A49" s="270" t="s">
        <v>77</v>
      </c>
      <c r="C49" s="3" t="str">
        <f>VLOOKUP(A49,'all stocks &gt; 500 cr'!B:H,6,0)</f>
        <v>Cement and Construction</v>
      </c>
      <c r="D49" s="4">
        <f ca="1">IFERROR(__xludf.DUMMYFUNCTION("GOOGLEFINANCE(A49,""marketcap"")/10000000"),1449525.923983)</f>
        <v>1449525.923983</v>
      </c>
      <c r="H49" s="1"/>
      <c r="L49" s="1"/>
      <c r="P49" s="1"/>
      <c r="T49" s="1"/>
      <c r="X49" s="1"/>
    </row>
    <row r="50" spans="1:24" ht="15" customHeight="1">
      <c r="A50" s="270" t="s">
        <v>79</v>
      </c>
      <c r="C50" s="3" t="str">
        <f>VLOOKUP(A50,'all stocks &gt; 500 cr'!B:H,6,0)</f>
        <v>Media</v>
      </c>
      <c r="D50" s="4">
        <f ca="1">IFERROR(__xludf.DUMMYFUNCTION("GOOGLEFINANCE(A50,""marketcap"")/10000000"),6798.933324)</f>
        <v>6798.9333239999996</v>
      </c>
      <c r="H50" s="1"/>
      <c r="L50" s="1"/>
      <c r="P50" s="1"/>
      <c r="T50" s="1"/>
      <c r="X50" s="1"/>
    </row>
    <row r="51" spans="1:24" ht="15" customHeight="1">
      <c r="A51" s="270" t="s">
        <v>58</v>
      </c>
      <c r="C51" s="3" t="str">
        <f>VLOOKUP(A51,'all stocks &gt; 500 cr'!B:H,6,0)</f>
        <v>Software &amp; Services</v>
      </c>
      <c r="D51" s="4">
        <f ca="1">IFERROR(__xludf.DUMMYFUNCTION("GOOGLEFINANCE(A51,""marketcap"")/10000000"),6029.0184225)</f>
        <v>6029.0184225000003</v>
      </c>
      <c r="H51" s="1"/>
      <c r="L51" s="1"/>
      <c r="P51" s="1"/>
      <c r="T51" s="1"/>
      <c r="X51" s="1"/>
    </row>
    <row r="52" spans="1:24" ht="15" customHeight="1">
      <c r="A52" s="270" t="s">
        <v>6169</v>
      </c>
      <c r="C52" s="3" t="e">
        <f>VLOOKUP(A52,'all stocks &gt; 500 cr'!B:H,6,0)</f>
        <v>#N/A</v>
      </c>
      <c r="D52" s="4">
        <f ca="1">IFERROR(__xludf.DUMMYFUNCTION("GOOGLEFINANCE(A52,""marketcap"")/10000000"),13832.5232988)</f>
        <v>13832.523298800001</v>
      </c>
      <c r="H52" s="1"/>
      <c r="L52" s="1"/>
      <c r="P52" s="1"/>
      <c r="T52" s="1"/>
      <c r="X52" s="1"/>
    </row>
    <row r="53" spans="1:24" ht="15" customHeight="1">
      <c r="A53" s="271" t="s">
        <v>33</v>
      </c>
      <c r="C53" s="3" t="e">
        <f>VLOOKUP(A53,'all stocks &gt; 500 cr'!B:H,6,0)</f>
        <v>#N/A</v>
      </c>
      <c r="D53" s="4" t="str">
        <f ca="1">IFERROR(__xludf.DUMMYFUNCTION("GOOGLEFINANCE(A53,""marketcap"")/10000000"),"#N/A")</f>
        <v>#N/A</v>
      </c>
      <c r="H53" s="1"/>
      <c r="L53" s="1"/>
      <c r="P53" s="1"/>
      <c r="T53" s="1"/>
      <c r="X53" s="1"/>
    </row>
    <row r="54" spans="1:24" ht="15" customHeight="1">
      <c r="C54" s="3" t="e">
        <f>VLOOKUP(A54,'all stocks &gt; 500 cr'!B:H,6,0)</f>
        <v>#N/A</v>
      </c>
      <c r="D54" s="4" t="str">
        <f ca="1">IFERROR(__xludf.DUMMYFUNCTION("GOOGLEFINANCE(A54,""marketcap"")/10000000"),"#N/A")</f>
        <v>#N/A</v>
      </c>
      <c r="H54" s="1"/>
      <c r="L54" s="1"/>
      <c r="P54" s="1"/>
      <c r="T54" s="1"/>
      <c r="X54" s="1"/>
    </row>
    <row r="55" spans="1:24" ht="15" customHeight="1">
      <c r="C55" s="3" t="e">
        <f>VLOOKUP(A55,'all stocks &gt; 500 cr'!B:H,6,0)</f>
        <v>#N/A</v>
      </c>
      <c r="D55" s="4" t="str">
        <f ca="1">IFERROR(__xludf.DUMMYFUNCTION("GOOGLEFINANCE(A55,""marketcap"")/10000000"),"#N/A")</f>
        <v>#N/A</v>
      </c>
      <c r="H55" s="1"/>
      <c r="L55" s="1"/>
      <c r="P55" s="1"/>
      <c r="T55" s="1"/>
      <c r="X55" s="1"/>
    </row>
    <row r="56" spans="1:24" ht="15" customHeight="1">
      <c r="C56" s="3" t="e">
        <f>VLOOKUP(A56,'all stocks &gt; 500 cr'!B:H,6,0)</f>
        <v>#N/A</v>
      </c>
      <c r="D56" s="4" t="str">
        <f ca="1">IFERROR(__xludf.DUMMYFUNCTION("GOOGLEFINANCE(A56,""marketcap"")/10000000"),"#N/A")</f>
        <v>#N/A</v>
      </c>
      <c r="H56" s="1"/>
      <c r="L56" s="1"/>
      <c r="P56" s="1"/>
      <c r="T56" s="1"/>
      <c r="X56" s="1"/>
    </row>
    <row r="57" spans="1:24" ht="15" customHeight="1">
      <c r="C57" s="3" t="e">
        <f>VLOOKUP(A57,'all stocks &gt; 500 cr'!B:H,6,0)</f>
        <v>#N/A</v>
      </c>
      <c r="D57" s="4" t="str">
        <f ca="1">IFERROR(__xludf.DUMMYFUNCTION("GOOGLEFINANCE(A57,""marketcap"")/10000000"),"#N/A")</f>
        <v>#N/A</v>
      </c>
      <c r="H57" s="1"/>
      <c r="L57" s="1"/>
      <c r="P57" s="1"/>
      <c r="T57" s="1"/>
      <c r="X57" s="1"/>
    </row>
    <row r="58" spans="1:24" ht="15" customHeight="1">
      <c r="D58" s="4"/>
      <c r="H58" s="1"/>
      <c r="L58" s="1"/>
      <c r="P58" s="1"/>
      <c r="T58" s="1"/>
      <c r="X58" s="1"/>
    </row>
    <row r="59" spans="1:24" ht="15" customHeight="1">
      <c r="D59" s="4"/>
      <c r="H59" s="1"/>
      <c r="L59" s="1"/>
      <c r="P59" s="1"/>
      <c r="T59" s="1"/>
      <c r="X59" s="1"/>
    </row>
    <row r="60" spans="1:24" ht="15" customHeight="1">
      <c r="D60" s="4"/>
      <c r="H60" s="1"/>
      <c r="L60" s="1"/>
      <c r="P60" s="1"/>
      <c r="T60" s="1"/>
      <c r="X60" s="1"/>
    </row>
    <row r="61" spans="1:24" ht="15" customHeight="1">
      <c r="D61" s="4"/>
      <c r="H61" s="1"/>
      <c r="L61" s="1"/>
      <c r="P61" s="1"/>
      <c r="T61" s="1"/>
      <c r="X61" s="1"/>
    </row>
    <row r="62" spans="1:24" ht="13">
      <c r="D62" s="4"/>
      <c r="H62" s="1"/>
      <c r="L62" s="1"/>
      <c r="P62" s="1"/>
      <c r="T62" s="1"/>
      <c r="X62" s="1"/>
    </row>
    <row r="63" spans="1:24" ht="13">
      <c r="D63" s="4"/>
      <c r="H63" s="1"/>
      <c r="L63" s="1"/>
      <c r="P63" s="1"/>
      <c r="T63" s="1"/>
      <c r="X63" s="1"/>
    </row>
    <row r="64" spans="1:24" ht="13">
      <c r="D64" s="1"/>
      <c r="H64" s="1"/>
      <c r="L64" s="1"/>
      <c r="P64" s="1"/>
      <c r="T64" s="1"/>
      <c r="X64" s="1"/>
    </row>
    <row r="65" spans="4:24" ht="13">
      <c r="D65" s="1"/>
      <c r="H65" s="1"/>
      <c r="L65" s="1"/>
      <c r="P65" s="1"/>
      <c r="T65" s="1"/>
      <c r="X65" s="1"/>
    </row>
    <row r="66" spans="4:24" ht="13">
      <c r="D66" s="1"/>
      <c r="H66" s="1"/>
      <c r="L66" s="1"/>
      <c r="P66" s="1"/>
      <c r="T66" s="1"/>
      <c r="X66" s="1"/>
    </row>
    <row r="67" spans="4:24" ht="13">
      <c r="D67" s="1"/>
      <c r="H67" s="1"/>
      <c r="L67" s="1"/>
      <c r="P67" s="1"/>
      <c r="T67" s="1"/>
      <c r="X67" s="1"/>
    </row>
    <row r="68" spans="4:24" ht="13">
      <c r="D68" s="1"/>
      <c r="H68" s="1"/>
      <c r="L68" s="1"/>
      <c r="P68" s="1"/>
      <c r="T68" s="1"/>
      <c r="X68" s="1"/>
    </row>
    <row r="69" spans="4:24" ht="13">
      <c r="D69" s="1"/>
      <c r="H69" s="1"/>
      <c r="L69" s="1"/>
      <c r="P69" s="1"/>
      <c r="T69" s="1"/>
      <c r="X69" s="1"/>
    </row>
    <row r="70" spans="4:24" ht="13">
      <c r="D70" s="1"/>
      <c r="H70" s="1"/>
      <c r="L70" s="1"/>
      <c r="P70" s="1"/>
      <c r="T70" s="1"/>
      <c r="X70" s="1"/>
    </row>
    <row r="71" spans="4:24" ht="13">
      <c r="D71" s="1"/>
      <c r="H71" s="1"/>
      <c r="L71" s="1"/>
      <c r="P71" s="1"/>
      <c r="T71" s="1"/>
      <c r="X71" s="1"/>
    </row>
    <row r="72" spans="4:24" ht="13">
      <c r="D72" s="1"/>
      <c r="H72" s="1"/>
      <c r="L72" s="1"/>
      <c r="P72" s="1"/>
      <c r="T72" s="1"/>
      <c r="X72" s="1"/>
    </row>
    <row r="73" spans="4:24" ht="13">
      <c r="D73" s="1"/>
      <c r="H73" s="1"/>
      <c r="L73" s="1"/>
      <c r="P73" s="1"/>
      <c r="T73" s="1"/>
      <c r="X73" s="1"/>
    </row>
    <row r="74" spans="4:24" ht="13">
      <c r="D74" s="1"/>
      <c r="H74" s="1"/>
      <c r="L74" s="1"/>
      <c r="P74" s="1"/>
      <c r="T74" s="1"/>
      <c r="X74" s="1"/>
    </row>
    <row r="75" spans="4:24" ht="13">
      <c r="D75" s="1"/>
      <c r="H75" s="1"/>
      <c r="L75" s="1"/>
      <c r="P75" s="1"/>
      <c r="T75" s="1"/>
      <c r="X75" s="1"/>
    </row>
    <row r="76" spans="4:24" ht="13">
      <c r="D76" s="1"/>
      <c r="H76" s="1"/>
      <c r="L76" s="1"/>
      <c r="P76" s="1"/>
      <c r="T76" s="1"/>
      <c r="X76" s="1"/>
    </row>
    <row r="77" spans="4:24" ht="13">
      <c r="D77" s="1"/>
      <c r="H77" s="1"/>
      <c r="L77" s="1"/>
      <c r="P77" s="1"/>
      <c r="T77" s="1"/>
      <c r="X77" s="1"/>
    </row>
    <row r="78" spans="4:24" ht="13">
      <c r="D78" s="1"/>
      <c r="H78" s="1"/>
      <c r="L78" s="1"/>
      <c r="P78" s="1"/>
      <c r="T78" s="1"/>
      <c r="X78" s="1"/>
    </row>
    <row r="79" spans="4:24" ht="13">
      <c r="D79" s="1"/>
      <c r="H79" s="1"/>
      <c r="L79" s="1"/>
      <c r="P79" s="1"/>
      <c r="T79" s="1"/>
      <c r="X79" s="1"/>
    </row>
    <row r="80" spans="4:24" ht="13">
      <c r="D80" s="1"/>
      <c r="H80" s="1"/>
      <c r="L80" s="1"/>
      <c r="P80" s="1"/>
      <c r="T80" s="1"/>
      <c r="X80" s="1"/>
    </row>
    <row r="81" spans="4:24" ht="13">
      <c r="D81" s="1"/>
      <c r="H81" s="1"/>
      <c r="L81" s="1"/>
      <c r="P81" s="1"/>
      <c r="T81" s="1"/>
      <c r="X81" s="1"/>
    </row>
    <row r="82" spans="4:24" ht="13">
      <c r="D82" s="1"/>
      <c r="H82" s="1"/>
      <c r="L82" s="1"/>
      <c r="P82" s="1"/>
      <c r="T82" s="1"/>
      <c r="X82" s="1"/>
    </row>
    <row r="83" spans="4:24" ht="13">
      <c r="D83" s="1"/>
      <c r="H83" s="1"/>
      <c r="L83" s="1"/>
      <c r="P83" s="1"/>
      <c r="T83" s="1"/>
      <c r="X83" s="1"/>
    </row>
    <row r="84" spans="4:24" ht="13">
      <c r="D84" s="1"/>
      <c r="H84" s="1"/>
      <c r="L84" s="1"/>
      <c r="P84" s="1"/>
      <c r="T84" s="1"/>
      <c r="X84" s="1"/>
    </row>
    <row r="85" spans="4:24" ht="13">
      <c r="D85" s="1"/>
      <c r="H85" s="1"/>
      <c r="L85" s="1"/>
      <c r="P85" s="1"/>
      <c r="T85" s="1"/>
      <c r="X85" s="1"/>
    </row>
    <row r="86" spans="4:24" ht="13">
      <c r="D86" s="1"/>
      <c r="H86" s="1"/>
      <c r="L86" s="1"/>
      <c r="P86" s="1"/>
      <c r="T86" s="1"/>
      <c r="X86" s="1"/>
    </row>
    <row r="87" spans="4:24" ht="13">
      <c r="D87" s="1"/>
      <c r="H87" s="1"/>
      <c r="L87" s="1"/>
      <c r="P87" s="1"/>
      <c r="T87" s="1"/>
      <c r="X87" s="1"/>
    </row>
    <row r="88" spans="4:24" ht="13">
      <c r="D88" s="1"/>
      <c r="H88" s="1"/>
      <c r="L88" s="1"/>
      <c r="P88" s="1"/>
      <c r="T88" s="1"/>
      <c r="X88" s="1"/>
    </row>
    <row r="89" spans="4:24" ht="13">
      <c r="D89" s="1"/>
      <c r="H89" s="1"/>
      <c r="L89" s="1"/>
      <c r="P89" s="1"/>
      <c r="T89" s="1"/>
      <c r="X89" s="1"/>
    </row>
    <row r="90" spans="4:24" ht="13">
      <c r="D90" s="1"/>
      <c r="H90" s="1"/>
      <c r="L90" s="1"/>
      <c r="P90" s="1"/>
      <c r="T90" s="1"/>
      <c r="X90" s="1"/>
    </row>
    <row r="91" spans="4:24" ht="13">
      <c r="D91" s="1"/>
      <c r="H91" s="1"/>
      <c r="L91" s="1"/>
      <c r="P91" s="1"/>
      <c r="T91" s="1"/>
      <c r="X91" s="1"/>
    </row>
    <row r="92" spans="4:24" ht="13">
      <c r="D92" s="1"/>
      <c r="H92" s="1"/>
      <c r="L92" s="1"/>
      <c r="P92" s="1"/>
      <c r="T92" s="1"/>
      <c r="X92" s="1"/>
    </row>
    <row r="93" spans="4:24" ht="13">
      <c r="D93" s="1"/>
      <c r="H93" s="1"/>
      <c r="L93" s="1"/>
      <c r="P93" s="1"/>
      <c r="T93" s="1"/>
      <c r="X93" s="1"/>
    </row>
    <row r="94" spans="4:24" ht="13">
      <c r="D94" s="1"/>
      <c r="H94" s="1"/>
      <c r="L94" s="1"/>
      <c r="P94" s="1"/>
      <c r="T94" s="1"/>
      <c r="X94" s="1"/>
    </row>
    <row r="95" spans="4:24" ht="13">
      <c r="D95" s="1"/>
      <c r="H95" s="1"/>
      <c r="L95" s="1"/>
      <c r="P95" s="1"/>
      <c r="T95" s="1"/>
      <c r="X95" s="1"/>
    </row>
    <row r="96" spans="4:24" ht="13">
      <c r="D96" s="1"/>
      <c r="H96" s="1"/>
      <c r="L96" s="1"/>
      <c r="P96" s="1"/>
      <c r="T96" s="1"/>
      <c r="X96" s="1"/>
    </row>
    <row r="97" spans="4:24" ht="13">
      <c r="D97" s="1"/>
      <c r="H97" s="1"/>
      <c r="L97" s="1"/>
      <c r="P97" s="1"/>
      <c r="T97" s="1"/>
      <c r="X97" s="1"/>
    </row>
    <row r="98" spans="4:24" ht="13">
      <c r="D98" s="1"/>
      <c r="H98" s="1"/>
      <c r="L98" s="1"/>
      <c r="P98" s="1"/>
      <c r="T98" s="1"/>
      <c r="X98" s="1"/>
    </row>
    <row r="99" spans="4:24" ht="13">
      <c r="D99" s="1"/>
      <c r="H99" s="1"/>
      <c r="L99" s="1"/>
      <c r="P99" s="1"/>
      <c r="T99" s="1"/>
      <c r="X99" s="1"/>
    </row>
    <row r="100" spans="4:24" ht="13">
      <c r="D100" s="1"/>
      <c r="H100" s="1"/>
      <c r="L100" s="1"/>
      <c r="P100" s="1"/>
      <c r="T100" s="1"/>
      <c r="X100" s="1"/>
    </row>
    <row r="101" spans="4:24" ht="13">
      <c r="D101" s="1"/>
      <c r="H101" s="1"/>
      <c r="L101" s="1"/>
      <c r="P101" s="1"/>
      <c r="T101" s="1"/>
      <c r="X101" s="1"/>
    </row>
    <row r="102" spans="4:24" ht="13">
      <c r="D102" s="1"/>
      <c r="H102" s="1"/>
      <c r="L102" s="1"/>
      <c r="P102" s="1"/>
      <c r="T102" s="1"/>
      <c r="X102" s="1"/>
    </row>
    <row r="103" spans="4:24" ht="13">
      <c r="D103" s="1"/>
      <c r="H103" s="1"/>
      <c r="L103" s="1"/>
      <c r="P103" s="1"/>
      <c r="T103" s="1"/>
      <c r="X103" s="1"/>
    </row>
    <row r="104" spans="4:24" ht="13">
      <c r="D104" s="1"/>
      <c r="H104" s="1"/>
      <c r="L104" s="1"/>
      <c r="P104" s="1"/>
      <c r="T104" s="1"/>
      <c r="X104" s="1"/>
    </row>
    <row r="105" spans="4:24" ht="13">
      <c r="D105" s="1"/>
      <c r="H105" s="1"/>
      <c r="L105" s="1"/>
      <c r="P105" s="1"/>
      <c r="T105" s="1"/>
      <c r="X105" s="1"/>
    </row>
    <row r="106" spans="4:24" ht="13">
      <c r="D106" s="1"/>
      <c r="H106" s="1"/>
      <c r="L106" s="1"/>
      <c r="P106" s="1"/>
      <c r="T106" s="1"/>
      <c r="X106" s="1"/>
    </row>
    <row r="107" spans="4:24" ht="13">
      <c r="D107" s="1"/>
      <c r="H107" s="1"/>
      <c r="L107" s="1"/>
      <c r="P107" s="1"/>
      <c r="T107" s="1"/>
      <c r="X107" s="1"/>
    </row>
    <row r="108" spans="4:24" ht="13">
      <c r="D108" s="1"/>
      <c r="H108" s="1"/>
      <c r="L108" s="1"/>
      <c r="P108" s="1"/>
      <c r="T108" s="1"/>
      <c r="X108" s="1"/>
    </row>
    <row r="109" spans="4:24" ht="13">
      <c r="D109" s="1"/>
      <c r="H109" s="1"/>
      <c r="L109" s="1"/>
      <c r="P109" s="1"/>
      <c r="T109" s="1"/>
      <c r="X109" s="1"/>
    </row>
    <row r="110" spans="4:24" ht="13">
      <c r="D110" s="1"/>
      <c r="H110" s="1"/>
      <c r="L110" s="1"/>
      <c r="P110" s="1"/>
      <c r="T110" s="1"/>
      <c r="X110" s="1"/>
    </row>
    <row r="111" spans="4:24" ht="13">
      <c r="D111" s="1"/>
      <c r="H111" s="1"/>
      <c r="L111" s="1"/>
      <c r="P111" s="1"/>
      <c r="T111" s="1"/>
      <c r="X111" s="1"/>
    </row>
    <row r="112" spans="4:24" ht="13">
      <c r="D112" s="1"/>
      <c r="H112" s="1"/>
      <c r="L112" s="1"/>
      <c r="P112" s="1"/>
      <c r="T112" s="1"/>
      <c r="X112" s="1"/>
    </row>
    <row r="113" spans="4:24" ht="13">
      <c r="D113" s="1"/>
      <c r="H113" s="1"/>
      <c r="L113" s="1"/>
      <c r="P113" s="1"/>
      <c r="T113" s="1"/>
      <c r="X113" s="1"/>
    </row>
    <row r="114" spans="4:24" ht="13">
      <c r="D114" s="1"/>
      <c r="H114" s="1"/>
      <c r="L114" s="1"/>
      <c r="P114" s="1"/>
      <c r="T114" s="1"/>
      <c r="X114" s="1"/>
    </row>
    <row r="115" spans="4:24" ht="13">
      <c r="D115" s="1"/>
      <c r="H115" s="1"/>
      <c r="L115" s="1"/>
      <c r="P115" s="1"/>
      <c r="T115" s="1"/>
      <c r="X115" s="1"/>
    </row>
    <row r="116" spans="4:24" ht="13">
      <c r="D116" s="1"/>
      <c r="H116" s="1"/>
      <c r="L116" s="1"/>
      <c r="P116" s="1"/>
      <c r="T116" s="1"/>
      <c r="X116" s="1"/>
    </row>
    <row r="117" spans="4:24" ht="13">
      <c r="D117" s="1"/>
      <c r="H117" s="1"/>
      <c r="L117" s="1"/>
      <c r="P117" s="1"/>
      <c r="T117" s="1"/>
      <c r="X117" s="1"/>
    </row>
    <row r="118" spans="4:24" ht="13">
      <c r="D118" s="1"/>
      <c r="H118" s="1"/>
      <c r="L118" s="1"/>
      <c r="P118" s="1"/>
      <c r="T118" s="1"/>
      <c r="X118" s="1"/>
    </row>
    <row r="119" spans="4:24" ht="13">
      <c r="D119" s="1"/>
      <c r="H119" s="1"/>
      <c r="L119" s="1"/>
      <c r="P119" s="1"/>
      <c r="T119" s="1"/>
      <c r="X119" s="1"/>
    </row>
    <row r="120" spans="4:24" ht="13">
      <c r="D120" s="1"/>
      <c r="H120" s="1"/>
      <c r="L120" s="1"/>
      <c r="P120" s="1"/>
      <c r="T120" s="1"/>
      <c r="X120" s="1"/>
    </row>
    <row r="121" spans="4:24" ht="13">
      <c r="D121" s="1"/>
      <c r="H121" s="1"/>
      <c r="L121" s="1"/>
      <c r="P121" s="1"/>
      <c r="T121" s="1"/>
      <c r="X121" s="1"/>
    </row>
    <row r="122" spans="4:24" ht="13">
      <c r="D122" s="1"/>
      <c r="H122" s="1"/>
      <c r="L122" s="1"/>
      <c r="P122" s="1"/>
      <c r="T122" s="1"/>
      <c r="X122" s="1"/>
    </row>
    <row r="123" spans="4:24" ht="13">
      <c r="D123" s="1"/>
      <c r="H123" s="1"/>
      <c r="L123" s="1"/>
      <c r="P123" s="1"/>
      <c r="T123" s="1"/>
      <c r="X123" s="1"/>
    </row>
    <row r="124" spans="4:24" ht="13">
      <c r="D124" s="1"/>
      <c r="H124" s="1"/>
      <c r="L124" s="1"/>
      <c r="P124" s="1"/>
      <c r="T124" s="1"/>
      <c r="X124" s="1"/>
    </row>
    <row r="125" spans="4:24" ht="13">
      <c r="D125" s="1"/>
      <c r="H125" s="1"/>
      <c r="L125" s="1"/>
      <c r="P125" s="1"/>
      <c r="T125" s="1"/>
      <c r="X125" s="1"/>
    </row>
    <row r="126" spans="4:24" ht="13">
      <c r="D126" s="1"/>
      <c r="H126" s="1"/>
      <c r="L126" s="1"/>
      <c r="P126" s="1"/>
      <c r="T126" s="1"/>
      <c r="X126" s="1"/>
    </row>
    <row r="127" spans="4:24" ht="13">
      <c r="D127" s="1"/>
      <c r="H127" s="1"/>
      <c r="L127" s="1"/>
      <c r="P127" s="1"/>
      <c r="T127" s="1"/>
      <c r="X127" s="1"/>
    </row>
    <row r="128" spans="4:24" ht="13">
      <c r="D128" s="1"/>
      <c r="H128" s="1"/>
      <c r="L128" s="1"/>
      <c r="P128" s="1"/>
      <c r="T128" s="1"/>
      <c r="X128" s="1"/>
    </row>
    <row r="129" spans="4:24" ht="13">
      <c r="D129" s="1"/>
      <c r="H129" s="1"/>
      <c r="L129" s="1"/>
      <c r="P129" s="1"/>
      <c r="T129" s="1"/>
      <c r="X129" s="1"/>
    </row>
    <row r="130" spans="4:24" ht="13">
      <c r="D130" s="1"/>
      <c r="H130" s="1"/>
      <c r="L130" s="1"/>
      <c r="P130" s="1"/>
      <c r="T130" s="1"/>
      <c r="X130" s="1"/>
    </row>
    <row r="131" spans="4:24" ht="13">
      <c r="D131" s="1"/>
      <c r="H131" s="1"/>
      <c r="L131" s="1"/>
      <c r="P131" s="1"/>
      <c r="T131" s="1"/>
      <c r="X131" s="1"/>
    </row>
    <row r="132" spans="4:24" ht="13">
      <c r="D132" s="1"/>
      <c r="H132" s="1"/>
      <c r="L132" s="1"/>
      <c r="P132" s="1"/>
      <c r="T132" s="1"/>
      <c r="X132" s="1"/>
    </row>
    <row r="133" spans="4:24" ht="13">
      <c r="D133" s="1"/>
      <c r="H133" s="1"/>
      <c r="L133" s="1"/>
      <c r="P133" s="1"/>
      <c r="T133" s="1"/>
      <c r="X133" s="1"/>
    </row>
    <row r="134" spans="4:24" ht="13">
      <c r="D134" s="1"/>
      <c r="H134" s="1"/>
      <c r="L134" s="1"/>
      <c r="P134" s="1"/>
      <c r="T134" s="1"/>
      <c r="X134" s="1"/>
    </row>
    <row r="135" spans="4:24" ht="13">
      <c r="D135" s="1"/>
      <c r="H135" s="1"/>
      <c r="L135" s="1"/>
      <c r="P135" s="1"/>
      <c r="T135" s="1"/>
      <c r="X135" s="1"/>
    </row>
    <row r="136" spans="4:24" ht="13">
      <c r="D136" s="1"/>
      <c r="H136" s="1"/>
      <c r="L136" s="1"/>
      <c r="P136" s="1"/>
      <c r="T136" s="1"/>
      <c r="X136" s="1"/>
    </row>
    <row r="137" spans="4:24" ht="13">
      <c r="D137" s="1"/>
      <c r="H137" s="1"/>
      <c r="L137" s="1"/>
      <c r="P137" s="1"/>
      <c r="T137" s="1"/>
      <c r="X137" s="1"/>
    </row>
    <row r="138" spans="4:24" ht="13">
      <c r="D138" s="1"/>
      <c r="H138" s="1"/>
      <c r="L138" s="1"/>
      <c r="P138" s="1"/>
      <c r="T138" s="1"/>
      <c r="X138" s="1"/>
    </row>
    <row r="139" spans="4:24" ht="13">
      <c r="D139" s="1"/>
      <c r="H139" s="1"/>
      <c r="L139" s="1"/>
      <c r="P139" s="1"/>
      <c r="T139" s="1"/>
      <c r="X139" s="1"/>
    </row>
    <row r="140" spans="4:24" ht="13">
      <c r="D140" s="1"/>
      <c r="H140" s="1"/>
      <c r="L140" s="1"/>
      <c r="P140" s="1"/>
      <c r="T140" s="1"/>
      <c r="X140" s="1"/>
    </row>
    <row r="141" spans="4:24" ht="13">
      <c r="D141" s="1"/>
      <c r="H141" s="1"/>
      <c r="L141" s="1"/>
      <c r="P141" s="1"/>
      <c r="T141" s="1"/>
      <c r="X141" s="1"/>
    </row>
    <row r="142" spans="4:24" ht="13">
      <c r="D142" s="1"/>
      <c r="H142" s="1"/>
      <c r="L142" s="1"/>
      <c r="P142" s="1"/>
      <c r="T142" s="1"/>
      <c r="X142" s="1"/>
    </row>
    <row r="143" spans="4:24" ht="13">
      <c r="D143" s="1"/>
      <c r="H143" s="1"/>
      <c r="L143" s="1"/>
      <c r="P143" s="1"/>
      <c r="T143" s="1"/>
      <c r="X143" s="1"/>
    </row>
    <row r="144" spans="4:24" ht="13">
      <c r="D144" s="1"/>
      <c r="H144" s="1"/>
      <c r="L144" s="1"/>
      <c r="P144" s="1"/>
      <c r="T144" s="1"/>
      <c r="X144" s="1"/>
    </row>
    <row r="145" spans="4:24" ht="13">
      <c r="D145" s="1"/>
      <c r="H145" s="1"/>
      <c r="L145" s="1"/>
      <c r="P145" s="1"/>
      <c r="T145" s="1"/>
      <c r="X145" s="1"/>
    </row>
    <row r="146" spans="4:24" ht="13">
      <c r="D146" s="1"/>
      <c r="H146" s="1"/>
      <c r="L146" s="1"/>
      <c r="P146" s="1"/>
      <c r="T146" s="1"/>
      <c r="X146" s="1"/>
    </row>
    <row r="147" spans="4:24" ht="13">
      <c r="D147" s="1"/>
      <c r="H147" s="1"/>
      <c r="L147" s="1"/>
      <c r="P147" s="1"/>
      <c r="T147" s="1"/>
      <c r="X147" s="1"/>
    </row>
    <row r="148" spans="4:24" ht="13">
      <c r="D148" s="1"/>
      <c r="H148" s="1"/>
      <c r="L148" s="1"/>
      <c r="P148" s="1"/>
      <c r="T148" s="1"/>
      <c r="X148" s="1"/>
    </row>
    <row r="149" spans="4:24" ht="13">
      <c r="D149" s="1"/>
      <c r="H149" s="1"/>
      <c r="L149" s="1"/>
      <c r="P149" s="1"/>
      <c r="T149" s="1"/>
      <c r="X149" s="1"/>
    </row>
    <row r="150" spans="4:24" ht="13">
      <c r="D150" s="1"/>
      <c r="H150" s="1"/>
      <c r="L150" s="1"/>
      <c r="P150" s="1"/>
      <c r="T150" s="1"/>
      <c r="X150" s="1"/>
    </row>
    <row r="151" spans="4:24" ht="13">
      <c r="D151" s="1"/>
      <c r="H151" s="1"/>
      <c r="L151" s="1"/>
      <c r="P151" s="1"/>
      <c r="T151" s="1"/>
      <c r="X151" s="1"/>
    </row>
    <row r="152" spans="4:24" ht="13">
      <c r="D152" s="1"/>
      <c r="H152" s="1"/>
      <c r="L152" s="1"/>
      <c r="P152" s="1"/>
      <c r="T152" s="1"/>
      <c r="X152" s="1"/>
    </row>
    <row r="153" spans="4:24" ht="13">
      <c r="D153" s="1"/>
      <c r="H153" s="1"/>
      <c r="L153" s="1"/>
      <c r="P153" s="1"/>
      <c r="T153" s="1"/>
      <c r="X153" s="1"/>
    </row>
    <row r="154" spans="4:24" ht="13">
      <c r="D154" s="1"/>
      <c r="H154" s="1"/>
      <c r="L154" s="1"/>
      <c r="P154" s="1"/>
      <c r="T154" s="1"/>
      <c r="X154" s="1"/>
    </row>
    <row r="155" spans="4:24" ht="13">
      <c r="D155" s="1"/>
      <c r="H155" s="1"/>
      <c r="L155" s="1"/>
      <c r="P155" s="1"/>
      <c r="T155" s="1"/>
      <c r="X155" s="1"/>
    </row>
    <row r="156" spans="4:24" ht="13">
      <c r="D156" s="1"/>
      <c r="H156" s="1"/>
      <c r="L156" s="1"/>
      <c r="P156" s="1"/>
      <c r="T156" s="1"/>
      <c r="X156" s="1"/>
    </row>
    <row r="157" spans="4:24" ht="13">
      <c r="D157" s="1"/>
      <c r="H157" s="1"/>
      <c r="L157" s="1"/>
      <c r="P157" s="1"/>
      <c r="T157" s="1"/>
      <c r="X157" s="1"/>
    </row>
    <row r="158" spans="4:24" ht="13">
      <c r="D158" s="1"/>
      <c r="H158" s="1"/>
      <c r="L158" s="1"/>
      <c r="P158" s="1"/>
      <c r="T158" s="1"/>
      <c r="X158" s="1"/>
    </row>
    <row r="159" spans="4:24" ht="13">
      <c r="D159" s="1"/>
      <c r="H159" s="1"/>
      <c r="L159" s="1"/>
      <c r="P159" s="1"/>
      <c r="T159" s="1"/>
      <c r="X159" s="1"/>
    </row>
    <row r="160" spans="4:24" ht="13">
      <c r="D160" s="1"/>
      <c r="H160" s="1"/>
      <c r="L160" s="1"/>
      <c r="P160" s="1"/>
      <c r="T160" s="1"/>
      <c r="X160" s="1"/>
    </row>
    <row r="161" spans="4:24" ht="13">
      <c r="D161" s="1"/>
      <c r="H161" s="1"/>
      <c r="L161" s="1"/>
      <c r="P161" s="1"/>
      <c r="T161" s="1"/>
      <c r="X161" s="1"/>
    </row>
    <row r="162" spans="4:24" ht="13">
      <c r="D162" s="1"/>
      <c r="H162" s="1"/>
      <c r="L162" s="1"/>
      <c r="P162" s="1"/>
      <c r="T162" s="1"/>
      <c r="X162" s="1"/>
    </row>
    <row r="163" spans="4:24" ht="13">
      <c r="D163" s="1"/>
      <c r="H163" s="1"/>
      <c r="L163" s="1"/>
      <c r="P163" s="1"/>
      <c r="T163" s="1"/>
      <c r="X163" s="1"/>
    </row>
    <row r="164" spans="4:24" ht="13">
      <c r="D164" s="1"/>
      <c r="H164" s="1"/>
      <c r="L164" s="1"/>
      <c r="P164" s="1"/>
      <c r="T164" s="1"/>
      <c r="X164" s="1"/>
    </row>
    <row r="165" spans="4:24" ht="13">
      <c r="D165" s="1"/>
      <c r="H165" s="1"/>
      <c r="L165" s="1"/>
      <c r="P165" s="1"/>
      <c r="T165" s="1"/>
      <c r="X165" s="1"/>
    </row>
    <row r="166" spans="4:24" ht="13">
      <c r="D166" s="1"/>
      <c r="H166" s="1"/>
      <c r="L166" s="1"/>
      <c r="P166" s="1"/>
      <c r="T166" s="1"/>
      <c r="X166" s="1"/>
    </row>
    <row r="167" spans="4:24" ht="13">
      <c r="D167" s="1"/>
      <c r="H167" s="1"/>
      <c r="L167" s="1"/>
      <c r="P167" s="1"/>
      <c r="T167" s="1"/>
      <c r="X167" s="1"/>
    </row>
    <row r="168" spans="4:24" ht="13">
      <c r="D168" s="1"/>
      <c r="H168" s="1"/>
      <c r="L168" s="1"/>
      <c r="P168" s="1"/>
      <c r="T168" s="1"/>
      <c r="X168" s="1"/>
    </row>
    <row r="169" spans="4:24" ht="13">
      <c r="D169" s="1"/>
      <c r="H169" s="1"/>
      <c r="L169" s="1"/>
      <c r="P169" s="1"/>
      <c r="T169" s="1"/>
      <c r="X169" s="1"/>
    </row>
    <row r="170" spans="4:24" ht="13">
      <c r="D170" s="1"/>
      <c r="H170" s="1"/>
      <c r="L170" s="1"/>
      <c r="P170" s="1"/>
      <c r="T170" s="1"/>
      <c r="X170" s="1"/>
    </row>
    <row r="171" spans="4:24" ht="13">
      <c r="D171" s="1"/>
      <c r="H171" s="1"/>
      <c r="L171" s="1"/>
      <c r="P171" s="1"/>
      <c r="T171" s="1"/>
      <c r="X171" s="1"/>
    </row>
    <row r="172" spans="4:24" ht="13">
      <c r="D172" s="1"/>
      <c r="H172" s="1"/>
      <c r="L172" s="1"/>
      <c r="P172" s="1"/>
      <c r="T172" s="1"/>
      <c r="X172" s="1"/>
    </row>
    <row r="173" spans="4:24" ht="13">
      <c r="D173" s="1"/>
      <c r="H173" s="1"/>
      <c r="L173" s="1"/>
      <c r="P173" s="1"/>
      <c r="T173" s="1"/>
      <c r="X173" s="1"/>
    </row>
    <row r="174" spans="4:24" ht="13">
      <c r="D174" s="1"/>
      <c r="H174" s="1"/>
      <c r="L174" s="1"/>
      <c r="P174" s="1"/>
      <c r="T174" s="1"/>
      <c r="X174" s="1"/>
    </row>
    <row r="175" spans="4:24" ht="13">
      <c r="D175" s="1"/>
      <c r="H175" s="1"/>
      <c r="L175" s="1"/>
      <c r="P175" s="1"/>
      <c r="T175" s="1"/>
      <c r="X175" s="1"/>
    </row>
    <row r="176" spans="4:24" ht="13">
      <c r="D176" s="1"/>
      <c r="H176" s="1"/>
      <c r="L176" s="1"/>
      <c r="P176" s="1"/>
      <c r="T176" s="1"/>
      <c r="X176" s="1"/>
    </row>
    <row r="177" spans="4:24" ht="13">
      <c r="D177" s="1"/>
      <c r="H177" s="1"/>
      <c r="L177" s="1"/>
      <c r="P177" s="1"/>
      <c r="T177" s="1"/>
      <c r="X177" s="1"/>
    </row>
    <row r="178" spans="4:24" ht="13">
      <c r="D178" s="1"/>
      <c r="H178" s="1"/>
      <c r="L178" s="1"/>
      <c r="P178" s="1"/>
      <c r="T178" s="1"/>
      <c r="X178" s="1"/>
    </row>
    <row r="179" spans="4:24" ht="13">
      <c r="D179" s="1"/>
      <c r="H179" s="1"/>
      <c r="L179" s="1"/>
      <c r="P179" s="1"/>
      <c r="T179" s="1"/>
      <c r="X179" s="1"/>
    </row>
    <row r="180" spans="4:24" ht="13">
      <c r="D180" s="1"/>
      <c r="H180" s="1"/>
      <c r="L180" s="1"/>
      <c r="P180" s="1"/>
      <c r="T180" s="1"/>
      <c r="X180" s="1"/>
    </row>
    <row r="181" spans="4:24" ht="13">
      <c r="D181" s="1"/>
      <c r="H181" s="1"/>
      <c r="L181" s="1"/>
      <c r="P181" s="1"/>
      <c r="T181" s="1"/>
      <c r="X181" s="1"/>
    </row>
    <row r="182" spans="4:24" ht="13">
      <c r="D182" s="1"/>
      <c r="H182" s="1"/>
      <c r="L182" s="1"/>
      <c r="P182" s="1"/>
      <c r="T182" s="1"/>
      <c r="X182" s="1"/>
    </row>
    <row r="183" spans="4:24" ht="13">
      <c r="D183" s="1"/>
      <c r="H183" s="1"/>
      <c r="L183" s="1"/>
      <c r="P183" s="1"/>
      <c r="T183" s="1"/>
      <c r="X183" s="1"/>
    </row>
    <row r="184" spans="4:24" ht="13">
      <c r="D184" s="1"/>
      <c r="H184" s="1"/>
      <c r="L184" s="1"/>
      <c r="P184" s="1"/>
      <c r="T184" s="1"/>
      <c r="X184" s="1"/>
    </row>
    <row r="185" spans="4:24" ht="13">
      <c r="D185" s="1"/>
      <c r="H185" s="1"/>
      <c r="L185" s="1"/>
      <c r="P185" s="1"/>
      <c r="T185" s="1"/>
      <c r="X185" s="1"/>
    </row>
    <row r="186" spans="4:24" ht="13">
      <c r="D186" s="1"/>
      <c r="H186" s="1"/>
      <c r="L186" s="1"/>
      <c r="P186" s="1"/>
      <c r="T186" s="1"/>
      <c r="X186" s="1"/>
    </row>
    <row r="187" spans="4:24" ht="13">
      <c r="D187" s="1"/>
      <c r="H187" s="1"/>
      <c r="L187" s="1"/>
      <c r="P187" s="1"/>
      <c r="T187" s="1"/>
      <c r="X187" s="1"/>
    </row>
    <row r="188" spans="4:24" ht="13">
      <c r="D188" s="1"/>
      <c r="H188" s="1"/>
      <c r="L188" s="1"/>
      <c r="P188" s="1"/>
      <c r="T188" s="1"/>
      <c r="X188" s="1"/>
    </row>
    <row r="189" spans="4:24" ht="13">
      <c r="D189" s="1"/>
      <c r="H189" s="1"/>
      <c r="L189" s="1"/>
      <c r="P189" s="1"/>
      <c r="T189" s="1"/>
      <c r="X189" s="1"/>
    </row>
    <row r="190" spans="4:24" ht="13">
      <c r="D190" s="1"/>
      <c r="H190" s="1"/>
      <c r="L190" s="1"/>
      <c r="P190" s="1"/>
      <c r="T190" s="1"/>
      <c r="X190" s="1"/>
    </row>
    <row r="191" spans="4:24" ht="13">
      <c r="D191" s="1"/>
      <c r="H191" s="1"/>
      <c r="L191" s="1"/>
      <c r="P191" s="1"/>
      <c r="T191" s="1"/>
      <c r="X191" s="1"/>
    </row>
    <row r="192" spans="4:24" ht="13">
      <c r="D192" s="1"/>
      <c r="H192" s="1"/>
      <c r="L192" s="1"/>
      <c r="P192" s="1"/>
      <c r="T192" s="1"/>
      <c r="X192" s="1"/>
    </row>
    <row r="193" spans="4:24" ht="13">
      <c r="D193" s="1"/>
      <c r="H193" s="1"/>
      <c r="L193" s="1"/>
      <c r="P193" s="1"/>
      <c r="T193" s="1"/>
      <c r="X193" s="1"/>
    </row>
    <row r="194" spans="4:24" ht="13">
      <c r="D194" s="1"/>
      <c r="H194" s="1"/>
      <c r="L194" s="1"/>
      <c r="P194" s="1"/>
      <c r="T194" s="1"/>
      <c r="X194" s="1"/>
    </row>
    <row r="195" spans="4:24" ht="13">
      <c r="D195" s="1"/>
      <c r="H195" s="1"/>
      <c r="L195" s="1"/>
      <c r="P195" s="1"/>
      <c r="T195" s="1"/>
      <c r="X195" s="1"/>
    </row>
    <row r="196" spans="4:24" ht="13">
      <c r="D196" s="1"/>
      <c r="H196" s="1"/>
      <c r="L196" s="1"/>
      <c r="P196" s="1"/>
      <c r="T196" s="1"/>
      <c r="X196" s="1"/>
    </row>
    <row r="197" spans="4:24" ht="13">
      <c r="D197" s="1"/>
      <c r="H197" s="1"/>
      <c r="L197" s="1"/>
      <c r="P197" s="1"/>
      <c r="T197" s="1"/>
      <c r="X197" s="1"/>
    </row>
    <row r="198" spans="4:24" ht="13">
      <c r="D198" s="1"/>
      <c r="H198" s="1"/>
      <c r="L198" s="1"/>
      <c r="P198" s="1"/>
      <c r="T198" s="1"/>
      <c r="X198" s="1"/>
    </row>
    <row r="199" spans="4:24" ht="13">
      <c r="D199" s="1"/>
      <c r="H199" s="1"/>
      <c r="L199" s="1"/>
      <c r="P199" s="1"/>
      <c r="T199" s="1"/>
      <c r="X199" s="1"/>
    </row>
    <row r="200" spans="4:24" ht="13">
      <c r="D200" s="1"/>
      <c r="H200" s="1"/>
      <c r="L200" s="1"/>
      <c r="P200" s="1"/>
      <c r="T200" s="1"/>
      <c r="X200" s="1"/>
    </row>
    <row r="201" spans="4:24" ht="13">
      <c r="D201" s="1"/>
      <c r="H201" s="1"/>
      <c r="L201" s="1"/>
      <c r="P201" s="1"/>
      <c r="T201" s="1"/>
      <c r="X201" s="1"/>
    </row>
    <row r="202" spans="4:24" ht="13">
      <c r="D202" s="1"/>
      <c r="H202" s="1"/>
      <c r="L202" s="1"/>
      <c r="P202" s="1"/>
      <c r="T202" s="1"/>
      <c r="X202" s="1"/>
    </row>
    <row r="203" spans="4:24" ht="13">
      <c r="D203" s="1"/>
      <c r="H203" s="1"/>
      <c r="L203" s="1"/>
      <c r="P203" s="1"/>
      <c r="T203" s="1"/>
      <c r="X203" s="1"/>
    </row>
    <row r="204" spans="4:24" ht="13">
      <c r="D204" s="1"/>
      <c r="H204" s="1"/>
      <c r="L204" s="1"/>
      <c r="P204" s="1"/>
      <c r="T204" s="1"/>
      <c r="X204" s="1"/>
    </row>
    <row r="205" spans="4:24" ht="13">
      <c r="D205" s="1"/>
      <c r="H205" s="1"/>
      <c r="L205" s="1"/>
      <c r="P205" s="1"/>
      <c r="T205" s="1"/>
      <c r="X205" s="1"/>
    </row>
    <row r="206" spans="4:24" ht="13">
      <c r="D206" s="1"/>
      <c r="H206" s="1"/>
      <c r="L206" s="1"/>
      <c r="P206" s="1"/>
      <c r="T206" s="1"/>
      <c r="X206" s="1"/>
    </row>
    <row r="207" spans="4:24" ht="13">
      <c r="D207" s="1"/>
      <c r="H207" s="1"/>
      <c r="L207" s="1"/>
      <c r="P207" s="1"/>
      <c r="T207" s="1"/>
      <c r="X207" s="1"/>
    </row>
    <row r="208" spans="4:24" ht="13">
      <c r="D208" s="1"/>
      <c r="H208" s="1"/>
      <c r="L208" s="1"/>
      <c r="P208" s="1"/>
      <c r="T208" s="1"/>
      <c r="X208" s="1"/>
    </row>
    <row r="209" spans="4:24" ht="13">
      <c r="D209" s="1"/>
      <c r="H209" s="1"/>
      <c r="L209" s="1"/>
      <c r="P209" s="1"/>
      <c r="T209" s="1"/>
      <c r="X209" s="1"/>
    </row>
    <row r="210" spans="4:24" ht="13">
      <c r="D210" s="1"/>
      <c r="H210" s="1"/>
      <c r="L210" s="1"/>
      <c r="P210" s="1"/>
      <c r="T210" s="1"/>
      <c r="X210" s="1"/>
    </row>
    <row r="211" spans="4:24" ht="13">
      <c r="D211" s="1"/>
      <c r="H211" s="1"/>
      <c r="L211" s="1"/>
      <c r="P211" s="1"/>
      <c r="T211" s="1"/>
      <c r="X211" s="1"/>
    </row>
    <row r="212" spans="4:24" ht="13">
      <c r="D212" s="1"/>
      <c r="H212" s="1"/>
      <c r="L212" s="1"/>
      <c r="P212" s="1"/>
      <c r="T212" s="1"/>
      <c r="X212" s="1"/>
    </row>
    <row r="213" spans="4:24" ht="13">
      <c r="D213" s="1"/>
      <c r="H213" s="1"/>
      <c r="L213" s="1"/>
      <c r="P213" s="1"/>
      <c r="T213" s="1"/>
      <c r="X213" s="1"/>
    </row>
    <row r="214" spans="4:24" ht="13">
      <c r="D214" s="1"/>
      <c r="H214" s="1"/>
      <c r="L214" s="1"/>
      <c r="P214" s="1"/>
      <c r="T214" s="1"/>
      <c r="X214" s="1"/>
    </row>
    <row r="215" spans="4:24" ht="13">
      <c r="D215" s="1"/>
      <c r="H215" s="1"/>
      <c r="L215" s="1"/>
      <c r="P215" s="1"/>
      <c r="T215" s="1"/>
      <c r="X215" s="1"/>
    </row>
    <row r="216" spans="4:24" ht="13">
      <c r="D216" s="1"/>
      <c r="H216" s="1"/>
      <c r="L216" s="1"/>
      <c r="P216" s="1"/>
      <c r="T216" s="1"/>
      <c r="X216" s="1"/>
    </row>
    <row r="217" spans="4:24" ht="13">
      <c r="D217" s="1"/>
      <c r="H217" s="1"/>
      <c r="L217" s="1"/>
      <c r="P217" s="1"/>
      <c r="T217" s="1"/>
      <c r="X217" s="1"/>
    </row>
    <row r="218" spans="4:24" ht="13">
      <c r="D218" s="1"/>
      <c r="H218" s="1"/>
      <c r="L218" s="1"/>
      <c r="P218" s="1"/>
      <c r="T218" s="1"/>
      <c r="X218" s="1"/>
    </row>
    <row r="219" spans="4:24" ht="13">
      <c r="D219" s="1"/>
      <c r="H219" s="1"/>
      <c r="L219" s="1"/>
      <c r="P219" s="1"/>
      <c r="T219" s="1"/>
      <c r="X219" s="1"/>
    </row>
    <row r="220" spans="4:24" ht="13">
      <c r="D220" s="1"/>
      <c r="H220" s="1"/>
      <c r="L220" s="1"/>
      <c r="P220" s="1"/>
      <c r="T220" s="1"/>
      <c r="X220" s="1"/>
    </row>
    <row r="221" spans="4:24" ht="13">
      <c r="D221" s="1"/>
      <c r="H221" s="1"/>
      <c r="L221" s="1"/>
      <c r="P221" s="1"/>
      <c r="T221" s="1"/>
      <c r="X221" s="1"/>
    </row>
    <row r="222" spans="4:24" ht="13">
      <c r="D222" s="1"/>
      <c r="H222" s="1"/>
      <c r="L222" s="1"/>
      <c r="P222" s="1"/>
      <c r="T222" s="1"/>
      <c r="X222" s="1"/>
    </row>
    <row r="223" spans="4:24" ht="13">
      <c r="D223" s="1"/>
      <c r="H223" s="1"/>
      <c r="L223" s="1"/>
      <c r="P223" s="1"/>
      <c r="T223" s="1"/>
      <c r="X223" s="1"/>
    </row>
    <row r="224" spans="4:24" ht="13">
      <c r="D224" s="1"/>
      <c r="H224" s="1"/>
      <c r="L224" s="1"/>
      <c r="P224" s="1"/>
      <c r="T224" s="1"/>
      <c r="X224" s="1"/>
    </row>
    <row r="225" spans="4:24" ht="13">
      <c r="D225" s="1"/>
      <c r="H225" s="1"/>
      <c r="L225" s="1"/>
      <c r="P225" s="1"/>
      <c r="T225" s="1"/>
      <c r="X225" s="1"/>
    </row>
    <row r="226" spans="4:24" ht="13">
      <c r="D226" s="1"/>
      <c r="H226" s="1"/>
      <c r="L226" s="1"/>
      <c r="P226" s="1"/>
      <c r="T226" s="1"/>
      <c r="X226" s="1"/>
    </row>
    <row r="227" spans="4:24" ht="13">
      <c r="D227" s="1"/>
      <c r="H227" s="1"/>
      <c r="L227" s="1"/>
      <c r="P227" s="1"/>
      <c r="T227" s="1"/>
      <c r="X227" s="1"/>
    </row>
    <row r="228" spans="4:24" ht="13">
      <c r="D228" s="1"/>
      <c r="H228" s="1"/>
      <c r="L228" s="1"/>
      <c r="P228" s="1"/>
      <c r="T228" s="1"/>
      <c r="X228" s="1"/>
    </row>
    <row r="229" spans="4:24" ht="13">
      <c r="D229" s="1"/>
      <c r="H229" s="1"/>
      <c r="L229" s="1"/>
      <c r="P229" s="1"/>
      <c r="T229" s="1"/>
      <c r="X229" s="1"/>
    </row>
    <row r="230" spans="4:24" ht="13">
      <c r="D230" s="1"/>
      <c r="H230" s="1"/>
      <c r="L230" s="1"/>
      <c r="P230" s="1"/>
      <c r="T230" s="1"/>
      <c r="X230" s="1"/>
    </row>
    <row r="231" spans="4:24" ht="13">
      <c r="D231" s="1"/>
      <c r="H231" s="1"/>
      <c r="L231" s="1"/>
      <c r="P231" s="1"/>
      <c r="T231" s="1"/>
      <c r="X231" s="1"/>
    </row>
    <row r="232" spans="4:24" ht="13">
      <c r="D232" s="1"/>
      <c r="H232" s="1"/>
      <c r="L232" s="1"/>
      <c r="P232" s="1"/>
      <c r="T232" s="1"/>
      <c r="X232" s="1"/>
    </row>
    <row r="233" spans="4:24" ht="13">
      <c r="D233" s="1"/>
      <c r="H233" s="1"/>
      <c r="L233" s="1"/>
      <c r="P233" s="1"/>
      <c r="T233" s="1"/>
      <c r="X233" s="1"/>
    </row>
    <row r="234" spans="4:24" ht="13">
      <c r="D234" s="1"/>
      <c r="H234" s="1"/>
      <c r="L234" s="1"/>
      <c r="P234" s="1"/>
      <c r="T234" s="1"/>
      <c r="X234" s="1"/>
    </row>
    <row r="235" spans="4:24" ht="13">
      <c r="D235" s="1"/>
      <c r="H235" s="1"/>
      <c r="L235" s="1"/>
      <c r="P235" s="1"/>
      <c r="T235" s="1"/>
      <c r="X235" s="1"/>
    </row>
    <row r="236" spans="4:24" ht="13">
      <c r="D236" s="1"/>
      <c r="H236" s="1"/>
      <c r="L236" s="1"/>
      <c r="P236" s="1"/>
      <c r="T236" s="1"/>
      <c r="X236" s="1"/>
    </row>
    <row r="237" spans="4:24" ht="13">
      <c r="D237" s="1"/>
      <c r="H237" s="1"/>
      <c r="L237" s="1"/>
      <c r="P237" s="1"/>
      <c r="T237" s="1"/>
      <c r="X237" s="1"/>
    </row>
    <row r="238" spans="4:24" ht="13">
      <c r="D238" s="1"/>
      <c r="H238" s="1"/>
      <c r="L238" s="1"/>
      <c r="P238" s="1"/>
      <c r="T238" s="1"/>
      <c r="X238" s="1"/>
    </row>
    <row r="239" spans="4:24" ht="13">
      <c r="D239" s="1"/>
      <c r="H239" s="1"/>
      <c r="L239" s="1"/>
      <c r="P239" s="1"/>
      <c r="T239" s="1"/>
      <c r="X239" s="1"/>
    </row>
    <row r="240" spans="4:24" ht="13">
      <c r="D240" s="1"/>
      <c r="H240" s="1"/>
      <c r="L240" s="1"/>
      <c r="P240" s="1"/>
      <c r="T240" s="1"/>
      <c r="X240" s="1"/>
    </row>
    <row r="241" spans="4:24" ht="13">
      <c r="D241" s="1"/>
      <c r="H241" s="1"/>
      <c r="L241" s="1"/>
      <c r="P241" s="1"/>
      <c r="T241" s="1"/>
      <c r="X241" s="1"/>
    </row>
    <row r="242" spans="4:24" ht="13">
      <c r="D242" s="1"/>
      <c r="H242" s="1"/>
      <c r="L242" s="1"/>
      <c r="P242" s="1"/>
      <c r="T242" s="1"/>
      <c r="X242" s="1"/>
    </row>
    <row r="243" spans="4:24" ht="13">
      <c r="D243" s="1"/>
      <c r="H243" s="1"/>
      <c r="L243" s="1"/>
      <c r="P243" s="1"/>
      <c r="T243" s="1"/>
      <c r="X243" s="1"/>
    </row>
    <row r="244" spans="4:24" ht="13">
      <c r="D244" s="1"/>
      <c r="H244" s="1"/>
      <c r="L244" s="1"/>
      <c r="P244" s="1"/>
      <c r="T244" s="1"/>
      <c r="X244" s="1"/>
    </row>
    <row r="245" spans="4:24" ht="13">
      <c r="D245" s="1"/>
      <c r="H245" s="1"/>
      <c r="L245" s="1"/>
      <c r="P245" s="1"/>
      <c r="T245" s="1"/>
      <c r="X245" s="1"/>
    </row>
    <row r="246" spans="4:24" ht="13">
      <c r="D246" s="1"/>
      <c r="H246" s="1"/>
      <c r="L246" s="1"/>
      <c r="P246" s="1"/>
      <c r="T246" s="1"/>
      <c r="X246" s="1"/>
    </row>
    <row r="247" spans="4:24" ht="13">
      <c r="D247" s="1"/>
      <c r="H247" s="1"/>
      <c r="L247" s="1"/>
      <c r="P247" s="1"/>
      <c r="T247" s="1"/>
      <c r="X247" s="1"/>
    </row>
    <row r="248" spans="4:24" ht="13">
      <c r="D248" s="1"/>
      <c r="H248" s="1"/>
      <c r="L248" s="1"/>
      <c r="P248" s="1"/>
      <c r="T248" s="1"/>
      <c r="X248" s="1"/>
    </row>
    <row r="249" spans="4:24" ht="13">
      <c r="D249" s="1"/>
      <c r="H249" s="1"/>
      <c r="L249" s="1"/>
      <c r="P249" s="1"/>
      <c r="T249" s="1"/>
      <c r="X249" s="1"/>
    </row>
    <row r="250" spans="4:24" ht="13">
      <c r="D250" s="1"/>
      <c r="H250" s="1"/>
      <c r="L250" s="1"/>
      <c r="P250" s="1"/>
      <c r="T250" s="1"/>
      <c r="X250" s="1"/>
    </row>
    <row r="251" spans="4:24" ht="13">
      <c r="D251" s="1"/>
      <c r="H251" s="1"/>
      <c r="L251" s="1"/>
      <c r="P251" s="1"/>
      <c r="T251" s="1"/>
      <c r="X251" s="1"/>
    </row>
    <row r="252" spans="4:24" ht="13">
      <c r="D252" s="1"/>
      <c r="H252" s="1"/>
      <c r="L252" s="1"/>
      <c r="P252" s="1"/>
      <c r="T252" s="1"/>
      <c r="X252" s="1"/>
    </row>
    <row r="253" spans="4:24" ht="13">
      <c r="D253" s="1"/>
      <c r="H253" s="1"/>
      <c r="L253" s="1"/>
      <c r="P253" s="1"/>
      <c r="T253" s="1"/>
      <c r="X253" s="1"/>
    </row>
    <row r="254" spans="4:24" ht="13">
      <c r="D254" s="1"/>
      <c r="H254" s="1"/>
      <c r="L254" s="1"/>
      <c r="P254" s="1"/>
      <c r="T254" s="1"/>
      <c r="X254" s="1"/>
    </row>
    <row r="255" spans="4:24" ht="13">
      <c r="D255" s="1"/>
      <c r="H255" s="1"/>
      <c r="L255" s="1"/>
      <c r="P255" s="1"/>
      <c r="T255" s="1"/>
      <c r="X255" s="1"/>
    </row>
    <row r="256" spans="4:24" ht="13">
      <c r="D256" s="1"/>
      <c r="H256" s="1"/>
      <c r="L256" s="1"/>
      <c r="P256" s="1"/>
      <c r="T256" s="1"/>
      <c r="X256" s="1"/>
    </row>
    <row r="257" spans="4:24" ht="13">
      <c r="D257" s="1"/>
      <c r="H257" s="1"/>
      <c r="L257" s="1"/>
      <c r="P257" s="1"/>
      <c r="T257" s="1"/>
      <c r="X257" s="1"/>
    </row>
    <row r="258" spans="4:24" ht="13">
      <c r="D258" s="1"/>
      <c r="H258" s="1"/>
      <c r="L258" s="1"/>
      <c r="P258" s="1"/>
      <c r="T258" s="1"/>
      <c r="X258" s="1"/>
    </row>
    <row r="259" spans="4:24" ht="13">
      <c r="D259" s="1"/>
      <c r="H259" s="1"/>
      <c r="L259" s="1"/>
      <c r="P259" s="1"/>
      <c r="T259" s="1"/>
      <c r="X259" s="1"/>
    </row>
    <row r="260" spans="4:24" ht="13">
      <c r="D260" s="1"/>
      <c r="H260" s="1"/>
      <c r="L260" s="1"/>
      <c r="P260" s="1"/>
      <c r="T260" s="1"/>
      <c r="X260" s="1"/>
    </row>
    <row r="261" spans="4:24" ht="13">
      <c r="D261" s="1"/>
      <c r="H261" s="1"/>
      <c r="L261" s="1"/>
      <c r="P261" s="1"/>
      <c r="T261" s="1"/>
      <c r="X261" s="1"/>
    </row>
    <row r="262" spans="4:24" ht="13">
      <c r="D262" s="1"/>
      <c r="H262" s="1"/>
      <c r="L262" s="1"/>
      <c r="P262" s="1"/>
      <c r="T262" s="1"/>
      <c r="X262" s="1"/>
    </row>
    <row r="263" spans="4:24" ht="13">
      <c r="D263" s="1"/>
      <c r="H263" s="1"/>
      <c r="L263" s="1"/>
      <c r="P263" s="1"/>
      <c r="T263" s="1"/>
      <c r="X263" s="1"/>
    </row>
    <row r="264" spans="4:24" ht="13">
      <c r="D264" s="1"/>
      <c r="H264" s="1"/>
      <c r="L264" s="1"/>
      <c r="P264" s="1"/>
      <c r="T264" s="1"/>
      <c r="X264" s="1"/>
    </row>
    <row r="265" spans="4:24" ht="13">
      <c r="D265" s="1"/>
      <c r="H265" s="1"/>
      <c r="L265" s="1"/>
      <c r="P265" s="1"/>
      <c r="T265" s="1"/>
      <c r="X265" s="1"/>
    </row>
    <row r="266" spans="4:24" ht="13">
      <c r="D266" s="1"/>
      <c r="H266" s="1"/>
      <c r="L266" s="1"/>
      <c r="P266" s="1"/>
      <c r="T266" s="1"/>
      <c r="X266" s="1"/>
    </row>
    <row r="267" spans="4:24" ht="13">
      <c r="D267" s="1"/>
      <c r="H267" s="1"/>
      <c r="L267" s="1"/>
      <c r="P267" s="1"/>
      <c r="T267" s="1"/>
      <c r="X267" s="1"/>
    </row>
    <row r="268" spans="4:24" ht="13">
      <c r="D268" s="1"/>
      <c r="H268" s="1"/>
      <c r="L268" s="1"/>
      <c r="P268" s="1"/>
      <c r="T268" s="1"/>
      <c r="X268" s="1"/>
    </row>
    <row r="269" spans="4:24" ht="13">
      <c r="D269" s="1"/>
      <c r="H269" s="1"/>
      <c r="L269" s="1"/>
      <c r="P269" s="1"/>
      <c r="T269" s="1"/>
      <c r="X269" s="1"/>
    </row>
    <row r="270" spans="4:24" ht="13">
      <c r="D270" s="1"/>
      <c r="H270" s="1"/>
      <c r="L270" s="1"/>
      <c r="P270" s="1"/>
      <c r="T270" s="1"/>
      <c r="X270" s="1"/>
    </row>
    <row r="271" spans="4:24" ht="13">
      <c r="D271" s="1"/>
      <c r="H271" s="1"/>
      <c r="L271" s="1"/>
      <c r="P271" s="1"/>
      <c r="T271" s="1"/>
      <c r="X271" s="1"/>
    </row>
    <row r="272" spans="4:24" ht="13">
      <c r="D272" s="1"/>
      <c r="H272" s="1"/>
      <c r="L272" s="1"/>
      <c r="P272" s="1"/>
      <c r="T272" s="1"/>
      <c r="X272" s="1"/>
    </row>
    <row r="273" spans="4:24" ht="13">
      <c r="D273" s="1"/>
      <c r="H273" s="1"/>
      <c r="L273" s="1"/>
      <c r="P273" s="1"/>
      <c r="T273" s="1"/>
      <c r="X273" s="1"/>
    </row>
    <row r="274" spans="4:24" ht="13">
      <c r="D274" s="1"/>
      <c r="H274" s="1"/>
      <c r="L274" s="1"/>
      <c r="P274" s="1"/>
      <c r="T274" s="1"/>
      <c r="X274" s="1"/>
    </row>
    <row r="275" spans="4:24" ht="13">
      <c r="D275" s="1"/>
      <c r="H275" s="1"/>
      <c r="L275" s="1"/>
      <c r="P275" s="1"/>
      <c r="T275" s="1"/>
      <c r="X275" s="1"/>
    </row>
    <row r="276" spans="4:24" ht="13">
      <c r="D276" s="1"/>
      <c r="H276" s="1"/>
      <c r="L276" s="1"/>
      <c r="P276" s="1"/>
      <c r="T276" s="1"/>
      <c r="X276" s="1"/>
    </row>
    <row r="277" spans="4:24" ht="13">
      <c r="D277" s="1"/>
      <c r="H277" s="1"/>
      <c r="L277" s="1"/>
      <c r="P277" s="1"/>
      <c r="T277" s="1"/>
      <c r="X277" s="1"/>
    </row>
    <row r="278" spans="4:24" ht="13">
      <c r="D278" s="1"/>
      <c r="H278" s="1"/>
      <c r="L278" s="1"/>
      <c r="P278" s="1"/>
      <c r="T278" s="1"/>
      <c r="X278" s="1"/>
    </row>
    <row r="279" spans="4:24" ht="13">
      <c r="D279" s="1"/>
      <c r="H279" s="1"/>
      <c r="L279" s="1"/>
      <c r="P279" s="1"/>
      <c r="T279" s="1"/>
      <c r="X279" s="1"/>
    </row>
    <row r="280" spans="4:24" ht="13">
      <c r="D280" s="1"/>
      <c r="H280" s="1"/>
      <c r="L280" s="1"/>
      <c r="P280" s="1"/>
      <c r="T280" s="1"/>
      <c r="X280" s="1"/>
    </row>
    <row r="281" spans="4:24" ht="13">
      <c r="D281" s="1"/>
      <c r="H281" s="1"/>
      <c r="L281" s="1"/>
      <c r="P281" s="1"/>
      <c r="T281" s="1"/>
      <c r="X281" s="1"/>
    </row>
    <row r="282" spans="4:24" ht="13">
      <c r="D282" s="1"/>
      <c r="H282" s="1"/>
      <c r="L282" s="1"/>
      <c r="P282" s="1"/>
      <c r="T282" s="1"/>
      <c r="X282" s="1"/>
    </row>
    <row r="283" spans="4:24" ht="13">
      <c r="D283" s="1"/>
      <c r="H283" s="1"/>
      <c r="L283" s="1"/>
      <c r="P283" s="1"/>
      <c r="T283" s="1"/>
      <c r="X283" s="1"/>
    </row>
    <row r="284" spans="4:24" ht="13">
      <c r="D284" s="1"/>
      <c r="H284" s="1"/>
      <c r="L284" s="1"/>
      <c r="P284" s="1"/>
      <c r="T284" s="1"/>
      <c r="X284" s="1"/>
    </row>
    <row r="285" spans="4:24" ht="13">
      <c r="D285" s="1"/>
      <c r="H285" s="1"/>
      <c r="L285" s="1"/>
      <c r="P285" s="1"/>
      <c r="T285" s="1"/>
      <c r="X285" s="1"/>
    </row>
    <row r="286" spans="4:24" ht="13">
      <c r="D286" s="1"/>
      <c r="H286" s="1"/>
      <c r="L286" s="1"/>
      <c r="P286" s="1"/>
      <c r="T286" s="1"/>
      <c r="X286" s="1"/>
    </row>
    <row r="287" spans="4:24" ht="13">
      <c r="D287" s="1"/>
      <c r="H287" s="1"/>
      <c r="L287" s="1"/>
      <c r="P287" s="1"/>
      <c r="T287" s="1"/>
      <c r="X287" s="1"/>
    </row>
    <row r="288" spans="4:24" ht="13">
      <c r="D288" s="1"/>
      <c r="H288" s="1"/>
      <c r="L288" s="1"/>
      <c r="P288" s="1"/>
      <c r="T288" s="1"/>
      <c r="X288" s="1"/>
    </row>
    <row r="289" spans="4:24" ht="13">
      <c r="D289" s="1"/>
      <c r="H289" s="1"/>
      <c r="L289" s="1"/>
      <c r="P289" s="1"/>
      <c r="T289" s="1"/>
      <c r="X289" s="1"/>
    </row>
    <row r="290" spans="4:24" ht="13">
      <c r="D290" s="1"/>
      <c r="H290" s="1"/>
      <c r="L290" s="1"/>
      <c r="P290" s="1"/>
      <c r="T290" s="1"/>
      <c r="X290" s="1"/>
    </row>
    <row r="291" spans="4:24" ht="13">
      <c r="D291" s="1"/>
      <c r="H291" s="1"/>
      <c r="L291" s="1"/>
      <c r="P291" s="1"/>
      <c r="T291" s="1"/>
      <c r="X291" s="1"/>
    </row>
    <row r="292" spans="4:24" ht="13">
      <c r="D292" s="1"/>
      <c r="H292" s="1"/>
      <c r="L292" s="1"/>
      <c r="P292" s="1"/>
      <c r="T292" s="1"/>
      <c r="X292" s="1"/>
    </row>
    <row r="293" spans="4:24" ht="13">
      <c r="D293" s="1"/>
      <c r="H293" s="1"/>
      <c r="L293" s="1"/>
      <c r="P293" s="1"/>
      <c r="T293" s="1"/>
      <c r="X293" s="1"/>
    </row>
    <row r="294" spans="4:24" ht="13">
      <c r="D294" s="1"/>
      <c r="H294" s="1"/>
      <c r="L294" s="1"/>
      <c r="P294" s="1"/>
      <c r="T294" s="1"/>
      <c r="X294" s="1"/>
    </row>
    <row r="295" spans="4:24" ht="13">
      <c r="D295" s="1"/>
      <c r="H295" s="1"/>
      <c r="L295" s="1"/>
      <c r="P295" s="1"/>
      <c r="T295" s="1"/>
      <c r="X295" s="1"/>
    </row>
    <row r="296" spans="4:24" ht="13">
      <c r="D296" s="1"/>
      <c r="H296" s="1"/>
      <c r="L296" s="1"/>
      <c r="P296" s="1"/>
      <c r="T296" s="1"/>
      <c r="X296" s="1"/>
    </row>
    <row r="297" spans="4:24" ht="13">
      <c r="D297" s="1"/>
      <c r="H297" s="1"/>
      <c r="L297" s="1"/>
      <c r="P297" s="1"/>
      <c r="T297" s="1"/>
      <c r="X297" s="1"/>
    </row>
    <row r="298" spans="4:24" ht="13">
      <c r="D298" s="1"/>
      <c r="H298" s="1"/>
      <c r="L298" s="1"/>
      <c r="P298" s="1"/>
      <c r="T298" s="1"/>
      <c r="X298" s="1"/>
    </row>
    <row r="299" spans="4:24" ht="13">
      <c r="D299" s="1"/>
      <c r="H299" s="1"/>
      <c r="L299" s="1"/>
      <c r="P299" s="1"/>
      <c r="T299" s="1"/>
      <c r="X299" s="1"/>
    </row>
    <row r="300" spans="4:24" ht="13">
      <c r="D300" s="1"/>
      <c r="H300" s="1"/>
      <c r="L300" s="1"/>
      <c r="P300" s="1"/>
      <c r="T300" s="1"/>
      <c r="X300" s="1"/>
    </row>
    <row r="301" spans="4:24" ht="13">
      <c r="D301" s="1"/>
      <c r="H301" s="1"/>
      <c r="L301" s="1"/>
      <c r="P301" s="1"/>
      <c r="T301" s="1"/>
      <c r="X301" s="1"/>
    </row>
    <row r="302" spans="4:24" ht="13">
      <c r="D302" s="1"/>
      <c r="H302" s="1"/>
      <c r="L302" s="1"/>
      <c r="P302" s="1"/>
      <c r="T302" s="1"/>
      <c r="X302" s="1"/>
    </row>
    <row r="303" spans="4:24" ht="13">
      <c r="D303" s="1"/>
      <c r="H303" s="1"/>
      <c r="L303" s="1"/>
      <c r="P303" s="1"/>
      <c r="T303" s="1"/>
      <c r="X303" s="1"/>
    </row>
    <row r="304" spans="4:24" ht="13">
      <c r="D304" s="1"/>
      <c r="H304" s="1"/>
      <c r="L304" s="1"/>
      <c r="P304" s="1"/>
      <c r="T304" s="1"/>
      <c r="X304" s="1"/>
    </row>
    <row r="305" spans="4:24" ht="13">
      <c r="D305" s="1"/>
      <c r="H305" s="1"/>
      <c r="L305" s="1"/>
      <c r="P305" s="1"/>
      <c r="T305" s="1"/>
      <c r="X305" s="1"/>
    </row>
    <row r="306" spans="4:24" ht="13">
      <c r="D306" s="1"/>
      <c r="H306" s="1"/>
      <c r="L306" s="1"/>
      <c r="P306" s="1"/>
      <c r="T306" s="1"/>
      <c r="X306" s="1"/>
    </row>
    <row r="307" spans="4:24" ht="13">
      <c r="D307" s="1"/>
      <c r="H307" s="1"/>
      <c r="L307" s="1"/>
      <c r="P307" s="1"/>
      <c r="T307" s="1"/>
      <c r="X307" s="1"/>
    </row>
    <row r="308" spans="4:24" ht="13">
      <c r="D308" s="1"/>
      <c r="H308" s="1"/>
      <c r="L308" s="1"/>
      <c r="P308" s="1"/>
      <c r="T308" s="1"/>
      <c r="X308" s="1"/>
    </row>
    <row r="309" spans="4:24" ht="13">
      <c r="D309" s="1"/>
      <c r="H309" s="1"/>
      <c r="L309" s="1"/>
      <c r="P309" s="1"/>
      <c r="T309" s="1"/>
      <c r="X309" s="1"/>
    </row>
    <row r="310" spans="4:24" ht="13">
      <c r="D310" s="1"/>
      <c r="H310" s="1"/>
      <c r="L310" s="1"/>
      <c r="P310" s="1"/>
      <c r="T310" s="1"/>
      <c r="X310" s="1"/>
    </row>
    <row r="311" spans="4:24" ht="13">
      <c r="D311" s="1"/>
      <c r="H311" s="1"/>
      <c r="L311" s="1"/>
      <c r="P311" s="1"/>
      <c r="T311" s="1"/>
      <c r="X311" s="1"/>
    </row>
    <row r="312" spans="4:24" ht="13">
      <c r="D312" s="1"/>
      <c r="H312" s="1"/>
      <c r="L312" s="1"/>
      <c r="P312" s="1"/>
      <c r="T312" s="1"/>
      <c r="X312" s="1"/>
    </row>
    <row r="313" spans="4:24" ht="13">
      <c r="D313" s="1"/>
      <c r="H313" s="1"/>
      <c r="L313" s="1"/>
      <c r="P313" s="1"/>
      <c r="T313" s="1"/>
      <c r="X313" s="1"/>
    </row>
    <row r="314" spans="4:24" ht="13">
      <c r="D314" s="1"/>
      <c r="H314" s="1"/>
      <c r="L314" s="1"/>
      <c r="P314" s="1"/>
      <c r="T314" s="1"/>
      <c r="X314" s="1"/>
    </row>
    <row r="315" spans="4:24" ht="13">
      <c r="D315" s="1"/>
      <c r="H315" s="1"/>
      <c r="L315" s="1"/>
      <c r="P315" s="1"/>
      <c r="T315" s="1"/>
      <c r="X315" s="1"/>
    </row>
    <row r="316" spans="4:24" ht="13">
      <c r="D316" s="1"/>
      <c r="H316" s="1"/>
      <c r="L316" s="1"/>
      <c r="P316" s="1"/>
      <c r="T316" s="1"/>
      <c r="X316" s="1"/>
    </row>
    <row r="317" spans="4:24" ht="13">
      <c r="D317" s="1"/>
      <c r="H317" s="1"/>
      <c r="L317" s="1"/>
      <c r="P317" s="1"/>
      <c r="T317" s="1"/>
      <c r="X317" s="1"/>
    </row>
    <row r="318" spans="4:24" ht="13">
      <c r="D318" s="1"/>
      <c r="H318" s="1"/>
      <c r="L318" s="1"/>
      <c r="P318" s="1"/>
      <c r="T318" s="1"/>
      <c r="X318" s="1"/>
    </row>
    <row r="319" spans="4:24" ht="13">
      <c r="D319" s="1"/>
      <c r="H319" s="1"/>
      <c r="L319" s="1"/>
      <c r="P319" s="1"/>
      <c r="T319" s="1"/>
      <c r="X319" s="1"/>
    </row>
    <row r="320" spans="4:24" ht="13">
      <c r="D320" s="1"/>
      <c r="H320" s="1"/>
      <c r="L320" s="1"/>
      <c r="P320" s="1"/>
      <c r="T320" s="1"/>
      <c r="X320" s="1"/>
    </row>
    <row r="321" spans="4:24" ht="13">
      <c r="D321" s="1"/>
      <c r="H321" s="1"/>
      <c r="L321" s="1"/>
      <c r="P321" s="1"/>
      <c r="T321" s="1"/>
      <c r="X321" s="1"/>
    </row>
    <row r="322" spans="4:24" ht="13">
      <c r="D322" s="1"/>
      <c r="H322" s="1"/>
      <c r="L322" s="1"/>
      <c r="P322" s="1"/>
      <c r="T322" s="1"/>
      <c r="X322" s="1"/>
    </row>
    <row r="323" spans="4:24" ht="13">
      <c r="D323" s="1"/>
      <c r="H323" s="1"/>
      <c r="L323" s="1"/>
      <c r="P323" s="1"/>
      <c r="T323" s="1"/>
      <c r="X323" s="1"/>
    </row>
    <row r="324" spans="4:24" ht="13">
      <c r="D324" s="1"/>
      <c r="H324" s="1"/>
      <c r="L324" s="1"/>
      <c r="P324" s="1"/>
      <c r="T324" s="1"/>
      <c r="X324" s="1"/>
    </row>
    <row r="325" spans="4:24" ht="13">
      <c r="D325" s="1"/>
      <c r="H325" s="1"/>
      <c r="L325" s="1"/>
      <c r="P325" s="1"/>
      <c r="T325" s="1"/>
      <c r="X325" s="1"/>
    </row>
    <row r="326" spans="4:24" ht="13">
      <c r="D326" s="1"/>
      <c r="H326" s="1"/>
      <c r="L326" s="1"/>
      <c r="P326" s="1"/>
      <c r="T326" s="1"/>
      <c r="X326" s="1"/>
    </row>
    <row r="327" spans="4:24" ht="13">
      <c r="D327" s="1"/>
      <c r="H327" s="1"/>
      <c r="L327" s="1"/>
      <c r="P327" s="1"/>
      <c r="T327" s="1"/>
      <c r="X327" s="1"/>
    </row>
    <row r="328" spans="4:24" ht="13">
      <c r="D328" s="1"/>
      <c r="H328" s="1"/>
      <c r="L328" s="1"/>
      <c r="P328" s="1"/>
      <c r="T328" s="1"/>
      <c r="X328" s="1"/>
    </row>
    <row r="329" spans="4:24" ht="13">
      <c r="D329" s="1"/>
      <c r="H329" s="1"/>
      <c r="L329" s="1"/>
      <c r="P329" s="1"/>
      <c r="T329" s="1"/>
      <c r="X329" s="1"/>
    </row>
    <row r="330" spans="4:24" ht="13">
      <c r="D330" s="1"/>
      <c r="H330" s="1"/>
      <c r="L330" s="1"/>
      <c r="P330" s="1"/>
      <c r="T330" s="1"/>
      <c r="X330" s="1"/>
    </row>
    <row r="331" spans="4:24" ht="13">
      <c r="D331" s="1"/>
      <c r="H331" s="1"/>
      <c r="L331" s="1"/>
      <c r="P331" s="1"/>
      <c r="T331" s="1"/>
      <c r="X331" s="1"/>
    </row>
    <row r="332" spans="4:24" ht="13">
      <c r="D332" s="1"/>
      <c r="H332" s="1"/>
      <c r="L332" s="1"/>
      <c r="P332" s="1"/>
      <c r="T332" s="1"/>
      <c r="X332" s="1"/>
    </row>
    <row r="333" spans="4:24" ht="13">
      <c r="D333" s="1"/>
      <c r="H333" s="1"/>
      <c r="L333" s="1"/>
      <c r="P333" s="1"/>
      <c r="T333" s="1"/>
      <c r="X333" s="1"/>
    </row>
    <row r="334" spans="4:24" ht="13">
      <c r="D334" s="1"/>
      <c r="H334" s="1"/>
      <c r="L334" s="1"/>
      <c r="P334" s="1"/>
      <c r="T334" s="1"/>
      <c r="X334" s="1"/>
    </row>
    <row r="335" spans="4:24" ht="13">
      <c r="D335" s="1"/>
      <c r="H335" s="1"/>
      <c r="L335" s="1"/>
      <c r="P335" s="1"/>
      <c r="T335" s="1"/>
      <c r="X335" s="1"/>
    </row>
    <row r="336" spans="4:24" ht="13">
      <c r="D336" s="1"/>
      <c r="H336" s="1"/>
      <c r="L336" s="1"/>
      <c r="P336" s="1"/>
      <c r="T336" s="1"/>
      <c r="X336" s="1"/>
    </row>
    <row r="337" spans="4:24" ht="13">
      <c r="D337" s="1"/>
      <c r="H337" s="1"/>
      <c r="L337" s="1"/>
      <c r="P337" s="1"/>
      <c r="T337" s="1"/>
      <c r="X337" s="1"/>
    </row>
    <row r="338" spans="4:24" ht="13">
      <c r="D338" s="1"/>
      <c r="H338" s="1"/>
      <c r="L338" s="1"/>
      <c r="P338" s="1"/>
      <c r="T338" s="1"/>
      <c r="X338" s="1"/>
    </row>
    <row r="339" spans="4:24" ht="13">
      <c r="D339" s="1"/>
      <c r="H339" s="1"/>
      <c r="L339" s="1"/>
      <c r="P339" s="1"/>
      <c r="T339" s="1"/>
      <c r="X339" s="1"/>
    </row>
    <row r="340" spans="4:24" ht="13">
      <c r="D340" s="1"/>
      <c r="H340" s="1"/>
      <c r="L340" s="1"/>
      <c r="P340" s="1"/>
      <c r="T340" s="1"/>
      <c r="X340" s="1"/>
    </row>
    <row r="341" spans="4:24" ht="13">
      <c r="D341" s="1"/>
      <c r="H341" s="1"/>
      <c r="L341" s="1"/>
      <c r="P341" s="1"/>
      <c r="T341" s="1"/>
      <c r="X341" s="1"/>
    </row>
    <row r="342" spans="4:24" ht="13">
      <c r="D342" s="1"/>
      <c r="H342" s="1"/>
      <c r="L342" s="1"/>
      <c r="P342" s="1"/>
      <c r="T342" s="1"/>
      <c r="X342" s="1"/>
    </row>
    <row r="343" spans="4:24" ht="13">
      <c r="D343" s="1"/>
      <c r="H343" s="1"/>
      <c r="L343" s="1"/>
      <c r="P343" s="1"/>
      <c r="T343" s="1"/>
      <c r="X343" s="1"/>
    </row>
    <row r="344" spans="4:24" ht="13">
      <c r="D344" s="1"/>
      <c r="H344" s="1"/>
      <c r="L344" s="1"/>
      <c r="P344" s="1"/>
      <c r="T344" s="1"/>
      <c r="X344" s="1"/>
    </row>
    <row r="345" spans="4:24" ht="13">
      <c r="D345" s="1"/>
      <c r="H345" s="1"/>
      <c r="L345" s="1"/>
      <c r="P345" s="1"/>
      <c r="T345" s="1"/>
      <c r="X345" s="1"/>
    </row>
    <row r="346" spans="4:24" ht="13">
      <c r="D346" s="1"/>
      <c r="H346" s="1"/>
      <c r="L346" s="1"/>
      <c r="P346" s="1"/>
      <c r="T346" s="1"/>
      <c r="X346" s="1"/>
    </row>
    <row r="347" spans="4:24" ht="13">
      <c r="D347" s="1"/>
      <c r="H347" s="1"/>
      <c r="L347" s="1"/>
      <c r="P347" s="1"/>
      <c r="T347" s="1"/>
      <c r="X347" s="1"/>
    </row>
    <row r="348" spans="4:24" ht="13">
      <c r="D348" s="1"/>
      <c r="H348" s="1"/>
      <c r="L348" s="1"/>
      <c r="P348" s="1"/>
      <c r="T348" s="1"/>
      <c r="X348" s="1"/>
    </row>
    <row r="349" spans="4:24" ht="13">
      <c r="D349" s="1"/>
      <c r="H349" s="1"/>
      <c r="L349" s="1"/>
      <c r="P349" s="1"/>
      <c r="T349" s="1"/>
      <c r="X349" s="1"/>
    </row>
    <row r="350" spans="4:24" ht="13">
      <c r="D350" s="1"/>
      <c r="H350" s="1"/>
      <c r="L350" s="1"/>
      <c r="P350" s="1"/>
      <c r="T350" s="1"/>
      <c r="X350" s="1"/>
    </row>
    <row r="351" spans="4:24" ht="13">
      <c r="D351" s="1"/>
      <c r="H351" s="1"/>
      <c r="L351" s="1"/>
      <c r="P351" s="1"/>
      <c r="T351" s="1"/>
      <c r="X351" s="1"/>
    </row>
    <row r="352" spans="4:24" ht="13">
      <c r="D352" s="1"/>
      <c r="H352" s="1"/>
      <c r="L352" s="1"/>
      <c r="P352" s="1"/>
      <c r="T352" s="1"/>
      <c r="X352" s="1"/>
    </row>
    <row r="353" spans="4:24" ht="13">
      <c r="D353" s="1"/>
      <c r="H353" s="1"/>
      <c r="L353" s="1"/>
      <c r="P353" s="1"/>
      <c r="T353" s="1"/>
      <c r="X353" s="1"/>
    </row>
    <row r="354" spans="4:24" ht="13">
      <c r="D354" s="1"/>
      <c r="H354" s="1"/>
      <c r="L354" s="1"/>
      <c r="P354" s="1"/>
      <c r="T354" s="1"/>
      <c r="X354" s="1"/>
    </row>
    <row r="355" spans="4:24" ht="13">
      <c r="D355" s="1"/>
      <c r="H355" s="1"/>
      <c r="L355" s="1"/>
      <c r="P355" s="1"/>
      <c r="T355" s="1"/>
      <c r="X355" s="1"/>
    </row>
    <row r="356" spans="4:24" ht="13">
      <c r="D356" s="1"/>
      <c r="H356" s="1"/>
      <c r="L356" s="1"/>
      <c r="P356" s="1"/>
      <c r="T356" s="1"/>
      <c r="X356" s="1"/>
    </row>
    <row r="357" spans="4:24" ht="13">
      <c r="D357" s="1"/>
      <c r="H357" s="1"/>
      <c r="L357" s="1"/>
      <c r="P357" s="1"/>
      <c r="T357" s="1"/>
      <c r="X357" s="1"/>
    </row>
    <row r="358" spans="4:24" ht="13">
      <c r="D358" s="1"/>
      <c r="H358" s="1"/>
      <c r="L358" s="1"/>
      <c r="P358" s="1"/>
      <c r="T358" s="1"/>
      <c r="X358" s="1"/>
    </row>
    <row r="359" spans="4:24" ht="13">
      <c r="D359" s="1"/>
      <c r="H359" s="1"/>
      <c r="L359" s="1"/>
      <c r="P359" s="1"/>
      <c r="T359" s="1"/>
      <c r="X359" s="1"/>
    </row>
    <row r="360" spans="4:24" ht="13">
      <c r="D360" s="1"/>
      <c r="H360" s="1"/>
      <c r="L360" s="1"/>
      <c r="P360" s="1"/>
      <c r="T360" s="1"/>
      <c r="X360" s="1"/>
    </row>
    <row r="361" spans="4:24" ht="13">
      <c r="D361" s="1"/>
      <c r="H361" s="1"/>
      <c r="L361" s="1"/>
      <c r="P361" s="1"/>
      <c r="T361" s="1"/>
      <c r="X361" s="1"/>
    </row>
    <row r="362" spans="4:24" ht="13">
      <c r="D362" s="1"/>
      <c r="H362" s="1"/>
      <c r="L362" s="1"/>
      <c r="P362" s="1"/>
      <c r="T362" s="1"/>
      <c r="X362" s="1"/>
    </row>
    <row r="363" spans="4:24" ht="13">
      <c r="D363" s="1"/>
      <c r="H363" s="1"/>
      <c r="L363" s="1"/>
      <c r="P363" s="1"/>
      <c r="T363" s="1"/>
      <c r="X363" s="1"/>
    </row>
    <row r="364" spans="4:24" ht="13">
      <c r="D364" s="1"/>
      <c r="H364" s="1"/>
      <c r="L364" s="1"/>
      <c r="P364" s="1"/>
      <c r="T364" s="1"/>
      <c r="X364" s="1"/>
    </row>
    <row r="365" spans="4:24" ht="13">
      <c r="D365" s="1"/>
      <c r="H365" s="1"/>
      <c r="L365" s="1"/>
      <c r="P365" s="1"/>
      <c r="T365" s="1"/>
      <c r="X365" s="1"/>
    </row>
    <row r="366" spans="4:24" ht="13">
      <c r="D366" s="1"/>
      <c r="H366" s="1"/>
      <c r="L366" s="1"/>
      <c r="P366" s="1"/>
      <c r="T366" s="1"/>
      <c r="X366" s="1"/>
    </row>
    <row r="367" spans="4:24" ht="13">
      <c r="D367" s="1"/>
      <c r="H367" s="1"/>
      <c r="L367" s="1"/>
      <c r="P367" s="1"/>
      <c r="T367" s="1"/>
      <c r="X367" s="1"/>
    </row>
    <row r="368" spans="4:24" ht="13">
      <c r="D368" s="1"/>
      <c r="H368" s="1"/>
      <c r="L368" s="1"/>
      <c r="P368" s="1"/>
      <c r="T368" s="1"/>
      <c r="X368" s="1"/>
    </row>
    <row r="369" spans="4:24" ht="13">
      <c r="D369" s="1"/>
      <c r="H369" s="1"/>
      <c r="L369" s="1"/>
      <c r="P369" s="1"/>
      <c r="T369" s="1"/>
      <c r="X369" s="1"/>
    </row>
    <row r="370" spans="4:24" ht="13">
      <c r="D370" s="1"/>
      <c r="H370" s="1"/>
      <c r="L370" s="1"/>
      <c r="P370" s="1"/>
      <c r="T370" s="1"/>
      <c r="X370" s="1"/>
    </row>
    <row r="371" spans="4:24" ht="13">
      <c r="D371" s="1"/>
      <c r="H371" s="1"/>
      <c r="L371" s="1"/>
      <c r="P371" s="1"/>
      <c r="T371" s="1"/>
      <c r="X371" s="1"/>
    </row>
    <row r="372" spans="4:24" ht="13">
      <c r="D372" s="1"/>
      <c r="H372" s="1"/>
      <c r="L372" s="1"/>
      <c r="P372" s="1"/>
      <c r="T372" s="1"/>
      <c r="X372" s="1"/>
    </row>
    <row r="373" spans="4:24" ht="13">
      <c r="D373" s="1"/>
      <c r="H373" s="1"/>
      <c r="L373" s="1"/>
      <c r="P373" s="1"/>
      <c r="T373" s="1"/>
      <c r="X373" s="1"/>
    </row>
    <row r="374" spans="4:24" ht="13">
      <c r="D374" s="1"/>
      <c r="H374" s="1"/>
      <c r="L374" s="1"/>
      <c r="P374" s="1"/>
      <c r="T374" s="1"/>
      <c r="X374" s="1"/>
    </row>
    <row r="375" spans="4:24" ht="13">
      <c r="D375" s="1"/>
      <c r="H375" s="1"/>
      <c r="L375" s="1"/>
      <c r="P375" s="1"/>
      <c r="T375" s="1"/>
      <c r="X375" s="1"/>
    </row>
    <row r="376" spans="4:24" ht="13">
      <c r="D376" s="1"/>
      <c r="H376" s="1"/>
      <c r="L376" s="1"/>
      <c r="P376" s="1"/>
      <c r="T376" s="1"/>
      <c r="X376" s="1"/>
    </row>
    <row r="377" spans="4:24" ht="13">
      <c r="D377" s="1"/>
      <c r="H377" s="1"/>
      <c r="L377" s="1"/>
      <c r="P377" s="1"/>
      <c r="T377" s="1"/>
      <c r="X377" s="1"/>
    </row>
    <row r="378" spans="4:24" ht="13">
      <c r="D378" s="1"/>
      <c r="H378" s="1"/>
      <c r="L378" s="1"/>
      <c r="P378" s="1"/>
      <c r="T378" s="1"/>
      <c r="X378" s="1"/>
    </row>
    <row r="379" spans="4:24" ht="13">
      <c r="D379" s="1"/>
      <c r="H379" s="1"/>
      <c r="L379" s="1"/>
      <c r="P379" s="1"/>
      <c r="T379" s="1"/>
      <c r="X379" s="1"/>
    </row>
    <row r="380" spans="4:24" ht="13">
      <c r="D380" s="1"/>
      <c r="H380" s="1"/>
      <c r="L380" s="1"/>
      <c r="P380" s="1"/>
      <c r="T380" s="1"/>
      <c r="X380" s="1"/>
    </row>
    <row r="381" spans="4:24" ht="13">
      <c r="D381" s="1"/>
      <c r="H381" s="1"/>
      <c r="L381" s="1"/>
      <c r="P381" s="1"/>
      <c r="T381" s="1"/>
      <c r="X381" s="1"/>
    </row>
    <row r="382" spans="4:24" ht="13">
      <c r="D382" s="1"/>
      <c r="H382" s="1"/>
      <c r="L382" s="1"/>
      <c r="P382" s="1"/>
      <c r="T382" s="1"/>
      <c r="X382" s="1"/>
    </row>
    <row r="383" spans="4:24" ht="13">
      <c r="D383" s="1"/>
      <c r="H383" s="1"/>
      <c r="L383" s="1"/>
      <c r="P383" s="1"/>
      <c r="T383" s="1"/>
      <c r="X383" s="1"/>
    </row>
    <row r="384" spans="4:24" ht="13">
      <c r="D384" s="1"/>
      <c r="H384" s="1"/>
      <c r="L384" s="1"/>
      <c r="P384" s="1"/>
      <c r="T384" s="1"/>
      <c r="X384" s="1"/>
    </row>
    <row r="385" spans="4:24" ht="13">
      <c r="D385" s="1"/>
      <c r="H385" s="1"/>
      <c r="L385" s="1"/>
      <c r="P385" s="1"/>
      <c r="T385" s="1"/>
      <c r="X385" s="1"/>
    </row>
    <row r="386" spans="4:24" ht="13">
      <c r="D386" s="1"/>
      <c r="H386" s="1"/>
      <c r="L386" s="1"/>
      <c r="P386" s="1"/>
      <c r="T386" s="1"/>
      <c r="X386" s="1"/>
    </row>
    <row r="387" spans="4:24" ht="13">
      <c r="D387" s="1"/>
      <c r="H387" s="1"/>
      <c r="L387" s="1"/>
      <c r="P387" s="1"/>
      <c r="T387" s="1"/>
      <c r="X387" s="1"/>
    </row>
    <row r="388" spans="4:24" ht="13">
      <c r="D388" s="1"/>
      <c r="H388" s="1"/>
      <c r="L388" s="1"/>
      <c r="P388" s="1"/>
      <c r="T388" s="1"/>
      <c r="X388" s="1"/>
    </row>
    <row r="389" spans="4:24" ht="13">
      <c r="D389" s="1"/>
      <c r="H389" s="1"/>
      <c r="L389" s="1"/>
      <c r="P389" s="1"/>
      <c r="T389" s="1"/>
      <c r="X389" s="1"/>
    </row>
    <row r="390" spans="4:24" ht="13">
      <c r="D390" s="1"/>
      <c r="H390" s="1"/>
      <c r="L390" s="1"/>
      <c r="P390" s="1"/>
      <c r="T390" s="1"/>
      <c r="X390" s="1"/>
    </row>
    <row r="391" spans="4:24" ht="13">
      <c r="D391" s="1"/>
      <c r="H391" s="1"/>
      <c r="L391" s="1"/>
      <c r="P391" s="1"/>
      <c r="T391" s="1"/>
      <c r="X391" s="1"/>
    </row>
    <row r="392" spans="4:24" ht="13">
      <c r="D392" s="1"/>
      <c r="H392" s="1"/>
      <c r="L392" s="1"/>
      <c r="P392" s="1"/>
      <c r="T392" s="1"/>
      <c r="X392" s="1"/>
    </row>
    <row r="393" spans="4:24" ht="13">
      <c r="D393" s="1"/>
      <c r="H393" s="1"/>
      <c r="L393" s="1"/>
      <c r="P393" s="1"/>
      <c r="T393" s="1"/>
      <c r="X393" s="1"/>
    </row>
    <row r="394" spans="4:24" ht="13">
      <c r="D394" s="1"/>
      <c r="H394" s="1"/>
      <c r="L394" s="1"/>
      <c r="P394" s="1"/>
      <c r="T394" s="1"/>
      <c r="X394" s="1"/>
    </row>
    <row r="395" spans="4:24" ht="13">
      <c r="D395" s="1"/>
      <c r="H395" s="1"/>
      <c r="L395" s="1"/>
      <c r="P395" s="1"/>
      <c r="T395" s="1"/>
      <c r="X395" s="1"/>
    </row>
    <row r="396" spans="4:24" ht="13">
      <c r="D396" s="1"/>
      <c r="H396" s="1"/>
      <c r="L396" s="1"/>
      <c r="P396" s="1"/>
      <c r="T396" s="1"/>
      <c r="X396" s="1"/>
    </row>
    <row r="397" spans="4:24" ht="13">
      <c r="D397" s="1"/>
      <c r="H397" s="1"/>
      <c r="L397" s="1"/>
      <c r="P397" s="1"/>
      <c r="T397" s="1"/>
      <c r="X397" s="1"/>
    </row>
    <row r="398" spans="4:24" ht="13">
      <c r="D398" s="1"/>
      <c r="H398" s="1"/>
      <c r="L398" s="1"/>
      <c r="P398" s="1"/>
      <c r="T398" s="1"/>
      <c r="X398" s="1"/>
    </row>
    <row r="399" spans="4:24" ht="13">
      <c r="D399" s="1"/>
      <c r="H399" s="1"/>
      <c r="L399" s="1"/>
      <c r="P399" s="1"/>
      <c r="T399" s="1"/>
      <c r="X399" s="1"/>
    </row>
    <row r="400" spans="4:24" ht="13">
      <c r="D400" s="1"/>
      <c r="H400" s="1"/>
      <c r="L400" s="1"/>
      <c r="P400" s="1"/>
      <c r="T400" s="1"/>
      <c r="X400" s="1"/>
    </row>
    <row r="401" spans="4:24" ht="13">
      <c r="D401" s="1"/>
      <c r="H401" s="1"/>
      <c r="L401" s="1"/>
      <c r="P401" s="1"/>
      <c r="T401" s="1"/>
      <c r="X401" s="1"/>
    </row>
    <row r="402" spans="4:24" ht="13">
      <c r="D402" s="1"/>
      <c r="H402" s="1"/>
      <c r="L402" s="1"/>
      <c r="P402" s="1"/>
      <c r="T402" s="1"/>
      <c r="X402" s="1"/>
    </row>
    <row r="403" spans="4:24" ht="13">
      <c r="D403" s="1"/>
      <c r="H403" s="1"/>
      <c r="L403" s="1"/>
      <c r="P403" s="1"/>
      <c r="T403" s="1"/>
      <c r="X403" s="1"/>
    </row>
    <row r="404" spans="4:24" ht="13">
      <c r="D404" s="1"/>
      <c r="H404" s="1"/>
      <c r="L404" s="1"/>
      <c r="P404" s="1"/>
      <c r="T404" s="1"/>
      <c r="X404" s="1"/>
    </row>
    <row r="405" spans="4:24" ht="13">
      <c r="D405" s="1"/>
      <c r="H405" s="1"/>
      <c r="L405" s="1"/>
      <c r="P405" s="1"/>
      <c r="T405" s="1"/>
      <c r="X405" s="1"/>
    </row>
    <row r="406" spans="4:24" ht="13">
      <c r="D406" s="1"/>
      <c r="H406" s="1"/>
      <c r="L406" s="1"/>
      <c r="P406" s="1"/>
      <c r="T406" s="1"/>
      <c r="X406" s="1"/>
    </row>
    <row r="407" spans="4:24" ht="13">
      <c r="D407" s="1"/>
      <c r="H407" s="1"/>
      <c r="L407" s="1"/>
      <c r="P407" s="1"/>
      <c r="T407" s="1"/>
      <c r="X407" s="1"/>
    </row>
    <row r="408" spans="4:24" ht="13">
      <c r="D408" s="1"/>
      <c r="H408" s="1"/>
      <c r="L408" s="1"/>
      <c r="P408" s="1"/>
      <c r="T408" s="1"/>
      <c r="X408" s="1"/>
    </row>
    <row r="409" spans="4:24" ht="13">
      <c r="D409" s="1"/>
      <c r="H409" s="1"/>
      <c r="L409" s="1"/>
      <c r="P409" s="1"/>
      <c r="T409" s="1"/>
      <c r="X409" s="1"/>
    </row>
    <row r="410" spans="4:24" ht="13">
      <c r="D410" s="1"/>
      <c r="H410" s="1"/>
      <c r="L410" s="1"/>
      <c r="P410" s="1"/>
      <c r="T410" s="1"/>
      <c r="X410" s="1"/>
    </row>
    <row r="411" spans="4:24" ht="13">
      <c r="D411" s="1"/>
      <c r="H411" s="1"/>
      <c r="L411" s="1"/>
      <c r="P411" s="1"/>
      <c r="T411" s="1"/>
      <c r="X411" s="1"/>
    </row>
    <row r="412" spans="4:24" ht="13">
      <c r="D412" s="1"/>
      <c r="H412" s="1"/>
      <c r="L412" s="1"/>
      <c r="P412" s="1"/>
      <c r="T412" s="1"/>
      <c r="X412" s="1"/>
    </row>
    <row r="413" spans="4:24" ht="13">
      <c r="D413" s="1"/>
      <c r="H413" s="1"/>
      <c r="L413" s="1"/>
      <c r="P413" s="1"/>
      <c r="T413" s="1"/>
      <c r="X413" s="1"/>
    </row>
    <row r="414" spans="4:24" ht="13">
      <c r="D414" s="1"/>
      <c r="H414" s="1"/>
      <c r="L414" s="1"/>
      <c r="P414" s="1"/>
      <c r="T414" s="1"/>
      <c r="X414" s="1"/>
    </row>
    <row r="415" spans="4:24" ht="13">
      <c r="D415" s="1"/>
      <c r="H415" s="1"/>
      <c r="L415" s="1"/>
      <c r="P415" s="1"/>
      <c r="T415" s="1"/>
      <c r="X415" s="1"/>
    </row>
    <row r="416" spans="4:24" ht="13">
      <c r="D416" s="1"/>
      <c r="H416" s="1"/>
      <c r="L416" s="1"/>
      <c r="P416" s="1"/>
      <c r="T416" s="1"/>
      <c r="X416" s="1"/>
    </row>
    <row r="417" spans="4:24" ht="13">
      <c r="D417" s="1"/>
      <c r="H417" s="1"/>
      <c r="L417" s="1"/>
      <c r="P417" s="1"/>
      <c r="T417" s="1"/>
      <c r="X417" s="1"/>
    </row>
    <row r="418" spans="4:24" ht="13">
      <c r="D418" s="1"/>
      <c r="H418" s="1"/>
      <c r="L418" s="1"/>
      <c r="P418" s="1"/>
      <c r="T418" s="1"/>
      <c r="X418" s="1"/>
    </row>
    <row r="419" spans="4:24" ht="13">
      <c r="D419" s="1"/>
      <c r="H419" s="1"/>
      <c r="L419" s="1"/>
      <c r="P419" s="1"/>
      <c r="T419" s="1"/>
      <c r="X419" s="1"/>
    </row>
    <row r="420" spans="4:24" ht="13">
      <c r="D420" s="1"/>
      <c r="H420" s="1"/>
      <c r="L420" s="1"/>
      <c r="P420" s="1"/>
      <c r="T420" s="1"/>
      <c r="X420" s="1"/>
    </row>
    <row r="421" spans="4:24" ht="13">
      <c r="D421" s="1"/>
      <c r="H421" s="1"/>
      <c r="L421" s="1"/>
      <c r="P421" s="1"/>
      <c r="T421" s="1"/>
      <c r="X421" s="1"/>
    </row>
    <row r="422" spans="4:24" ht="13">
      <c r="D422" s="1"/>
      <c r="H422" s="1"/>
      <c r="L422" s="1"/>
      <c r="P422" s="1"/>
      <c r="T422" s="1"/>
      <c r="X422" s="1"/>
    </row>
    <row r="423" spans="4:24" ht="13">
      <c r="D423" s="1"/>
      <c r="H423" s="1"/>
      <c r="L423" s="1"/>
      <c r="P423" s="1"/>
      <c r="T423" s="1"/>
      <c r="X423" s="1"/>
    </row>
    <row r="424" spans="4:24" ht="13">
      <c r="D424" s="1"/>
      <c r="H424" s="1"/>
      <c r="L424" s="1"/>
      <c r="P424" s="1"/>
      <c r="T424" s="1"/>
      <c r="X424" s="1"/>
    </row>
    <row r="425" spans="4:24" ht="13">
      <c r="D425" s="1"/>
      <c r="H425" s="1"/>
      <c r="L425" s="1"/>
      <c r="P425" s="1"/>
      <c r="T425" s="1"/>
      <c r="X425" s="1"/>
    </row>
    <row r="426" spans="4:24" ht="13">
      <c r="D426" s="1"/>
      <c r="H426" s="1"/>
      <c r="L426" s="1"/>
      <c r="P426" s="1"/>
      <c r="T426" s="1"/>
      <c r="X426" s="1"/>
    </row>
    <row r="427" spans="4:24" ht="13">
      <c r="D427" s="1"/>
      <c r="H427" s="1"/>
      <c r="L427" s="1"/>
      <c r="P427" s="1"/>
      <c r="T427" s="1"/>
      <c r="X427" s="1"/>
    </row>
    <row r="428" spans="4:24" ht="13">
      <c r="D428" s="1"/>
      <c r="H428" s="1"/>
      <c r="L428" s="1"/>
      <c r="P428" s="1"/>
      <c r="T428" s="1"/>
      <c r="X428" s="1"/>
    </row>
    <row r="429" spans="4:24" ht="13">
      <c r="D429" s="1"/>
      <c r="H429" s="1"/>
      <c r="L429" s="1"/>
      <c r="P429" s="1"/>
      <c r="T429" s="1"/>
      <c r="X429" s="1"/>
    </row>
    <row r="430" spans="4:24" ht="13">
      <c r="D430" s="1"/>
      <c r="H430" s="1"/>
      <c r="L430" s="1"/>
      <c r="P430" s="1"/>
      <c r="T430" s="1"/>
      <c r="X430" s="1"/>
    </row>
    <row r="431" spans="4:24" ht="13">
      <c r="D431" s="1"/>
      <c r="H431" s="1"/>
      <c r="L431" s="1"/>
      <c r="P431" s="1"/>
      <c r="T431" s="1"/>
      <c r="X431" s="1"/>
    </row>
    <row r="432" spans="4:24" ht="13">
      <c r="D432" s="1"/>
      <c r="H432" s="1"/>
      <c r="L432" s="1"/>
      <c r="P432" s="1"/>
      <c r="T432" s="1"/>
      <c r="X432" s="1"/>
    </row>
    <row r="433" spans="4:24" ht="13">
      <c r="D433" s="1"/>
      <c r="H433" s="1"/>
      <c r="L433" s="1"/>
      <c r="P433" s="1"/>
      <c r="T433" s="1"/>
      <c r="X433" s="1"/>
    </row>
    <row r="434" spans="4:24" ht="13">
      <c r="D434" s="1"/>
      <c r="H434" s="1"/>
      <c r="L434" s="1"/>
      <c r="P434" s="1"/>
      <c r="T434" s="1"/>
      <c r="X434" s="1"/>
    </row>
    <row r="435" spans="4:24" ht="13">
      <c r="D435" s="1"/>
      <c r="H435" s="1"/>
      <c r="L435" s="1"/>
      <c r="P435" s="1"/>
      <c r="T435" s="1"/>
      <c r="X435" s="1"/>
    </row>
    <row r="436" spans="4:24" ht="13">
      <c r="D436" s="1"/>
      <c r="H436" s="1"/>
      <c r="L436" s="1"/>
      <c r="P436" s="1"/>
      <c r="T436" s="1"/>
      <c r="X436" s="1"/>
    </row>
    <row r="437" spans="4:24" ht="13">
      <c r="D437" s="1"/>
      <c r="H437" s="1"/>
      <c r="L437" s="1"/>
      <c r="P437" s="1"/>
      <c r="T437" s="1"/>
      <c r="X437" s="1"/>
    </row>
    <row r="438" spans="4:24" ht="13">
      <c r="D438" s="1"/>
      <c r="H438" s="1"/>
      <c r="L438" s="1"/>
      <c r="P438" s="1"/>
      <c r="T438" s="1"/>
      <c r="X438" s="1"/>
    </row>
    <row r="439" spans="4:24" ht="13">
      <c r="D439" s="1"/>
      <c r="H439" s="1"/>
      <c r="L439" s="1"/>
      <c r="P439" s="1"/>
      <c r="T439" s="1"/>
      <c r="X439" s="1"/>
    </row>
    <row r="440" spans="4:24" ht="13">
      <c r="D440" s="1"/>
      <c r="H440" s="1"/>
      <c r="L440" s="1"/>
      <c r="P440" s="1"/>
      <c r="T440" s="1"/>
      <c r="X440" s="1"/>
    </row>
    <row r="441" spans="4:24" ht="13">
      <c r="D441" s="1"/>
      <c r="H441" s="1"/>
      <c r="L441" s="1"/>
      <c r="P441" s="1"/>
      <c r="T441" s="1"/>
      <c r="X441" s="1"/>
    </row>
    <row r="442" spans="4:24" ht="13">
      <c r="D442" s="1"/>
      <c r="H442" s="1"/>
      <c r="L442" s="1"/>
      <c r="P442" s="1"/>
      <c r="T442" s="1"/>
      <c r="X442" s="1"/>
    </row>
    <row r="443" spans="4:24" ht="13">
      <c r="D443" s="1"/>
      <c r="H443" s="1"/>
      <c r="L443" s="1"/>
      <c r="P443" s="1"/>
      <c r="T443" s="1"/>
      <c r="X443" s="1"/>
    </row>
    <row r="444" spans="4:24" ht="13">
      <c r="D444" s="1"/>
      <c r="H444" s="1"/>
      <c r="L444" s="1"/>
      <c r="P444" s="1"/>
      <c r="T444" s="1"/>
      <c r="X444" s="1"/>
    </row>
    <row r="445" spans="4:24" ht="13">
      <c r="D445" s="1"/>
      <c r="H445" s="1"/>
      <c r="L445" s="1"/>
      <c r="P445" s="1"/>
      <c r="T445" s="1"/>
      <c r="X445" s="1"/>
    </row>
    <row r="446" spans="4:24" ht="13">
      <c r="D446" s="1"/>
      <c r="H446" s="1"/>
      <c r="L446" s="1"/>
      <c r="P446" s="1"/>
      <c r="T446" s="1"/>
      <c r="X446" s="1"/>
    </row>
    <row r="447" spans="4:24" ht="13">
      <c r="D447" s="1"/>
      <c r="H447" s="1"/>
      <c r="L447" s="1"/>
      <c r="P447" s="1"/>
      <c r="T447" s="1"/>
      <c r="X447" s="1"/>
    </row>
    <row r="448" spans="4:24" ht="13">
      <c r="D448" s="1"/>
      <c r="H448" s="1"/>
      <c r="L448" s="1"/>
      <c r="P448" s="1"/>
      <c r="T448" s="1"/>
      <c r="X448" s="1"/>
    </row>
    <row r="449" spans="4:24" ht="13">
      <c r="D449" s="1"/>
      <c r="H449" s="1"/>
      <c r="L449" s="1"/>
      <c r="P449" s="1"/>
      <c r="T449" s="1"/>
      <c r="X449" s="1"/>
    </row>
    <row r="450" spans="4:24" ht="13">
      <c r="D450" s="1"/>
      <c r="H450" s="1"/>
      <c r="L450" s="1"/>
      <c r="P450" s="1"/>
      <c r="T450" s="1"/>
      <c r="X450" s="1"/>
    </row>
    <row r="451" spans="4:24" ht="13">
      <c r="D451" s="1"/>
      <c r="H451" s="1"/>
      <c r="L451" s="1"/>
      <c r="P451" s="1"/>
      <c r="T451" s="1"/>
      <c r="X451" s="1"/>
    </row>
    <row r="452" spans="4:24" ht="13">
      <c r="D452" s="1"/>
      <c r="H452" s="1"/>
      <c r="L452" s="1"/>
      <c r="P452" s="1"/>
      <c r="T452" s="1"/>
      <c r="X452" s="1"/>
    </row>
    <row r="453" spans="4:24" ht="13">
      <c r="D453" s="1"/>
      <c r="H453" s="1"/>
      <c r="L453" s="1"/>
      <c r="P453" s="1"/>
      <c r="T453" s="1"/>
      <c r="X453" s="1"/>
    </row>
    <row r="454" spans="4:24" ht="13">
      <c r="D454" s="1"/>
      <c r="H454" s="1"/>
      <c r="L454" s="1"/>
      <c r="P454" s="1"/>
      <c r="T454" s="1"/>
      <c r="X454" s="1"/>
    </row>
    <row r="455" spans="4:24" ht="13">
      <c r="D455" s="1"/>
      <c r="H455" s="1"/>
      <c r="L455" s="1"/>
      <c r="P455" s="1"/>
      <c r="T455" s="1"/>
      <c r="X455" s="1"/>
    </row>
    <row r="456" spans="4:24" ht="13">
      <c r="D456" s="1"/>
      <c r="H456" s="1"/>
      <c r="L456" s="1"/>
      <c r="P456" s="1"/>
      <c r="T456" s="1"/>
      <c r="X456" s="1"/>
    </row>
    <row r="457" spans="4:24" ht="13">
      <c r="D457" s="1"/>
      <c r="H457" s="1"/>
      <c r="L457" s="1"/>
      <c r="P457" s="1"/>
      <c r="T457" s="1"/>
      <c r="X457" s="1"/>
    </row>
    <row r="458" spans="4:24" ht="13">
      <c r="D458" s="1"/>
      <c r="H458" s="1"/>
      <c r="L458" s="1"/>
      <c r="P458" s="1"/>
      <c r="T458" s="1"/>
      <c r="X458" s="1"/>
    </row>
    <row r="459" spans="4:24" ht="13">
      <c r="D459" s="1"/>
      <c r="H459" s="1"/>
      <c r="L459" s="1"/>
      <c r="P459" s="1"/>
      <c r="T459" s="1"/>
      <c r="X459" s="1"/>
    </row>
    <row r="460" spans="4:24" ht="13">
      <c r="D460" s="1"/>
      <c r="H460" s="1"/>
      <c r="L460" s="1"/>
      <c r="P460" s="1"/>
      <c r="T460" s="1"/>
      <c r="X460" s="1"/>
    </row>
    <row r="461" spans="4:24" ht="13">
      <c r="D461" s="1"/>
      <c r="H461" s="1"/>
      <c r="L461" s="1"/>
      <c r="P461" s="1"/>
      <c r="T461" s="1"/>
      <c r="X461" s="1"/>
    </row>
    <row r="462" spans="4:24" ht="13">
      <c r="D462" s="1"/>
      <c r="H462" s="1"/>
      <c r="L462" s="1"/>
      <c r="P462" s="1"/>
      <c r="T462" s="1"/>
      <c r="X462" s="1"/>
    </row>
    <row r="463" spans="4:24" ht="13">
      <c r="D463" s="1"/>
      <c r="H463" s="1"/>
      <c r="L463" s="1"/>
      <c r="P463" s="1"/>
      <c r="T463" s="1"/>
      <c r="X463" s="1"/>
    </row>
    <row r="464" spans="4:24" ht="13">
      <c r="D464" s="1"/>
      <c r="H464" s="1"/>
      <c r="L464" s="1"/>
      <c r="P464" s="1"/>
      <c r="T464" s="1"/>
      <c r="X464" s="1"/>
    </row>
    <row r="465" spans="4:24" ht="13">
      <c r="D465" s="1"/>
      <c r="H465" s="1"/>
      <c r="L465" s="1"/>
      <c r="P465" s="1"/>
      <c r="T465" s="1"/>
      <c r="X465" s="1"/>
    </row>
    <row r="466" spans="4:24" ht="13">
      <c r="D466" s="1"/>
      <c r="H466" s="1"/>
      <c r="L466" s="1"/>
      <c r="P466" s="1"/>
      <c r="T466" s="1"/>
      <c r="X466" s="1"/>
    </row>
    <row r="467" spans="4:24" ht="13">
      <c r="D467" s="1"/>
      <c r="H467" s="1"/>
      <c r="L467" s="1"/>
      <c r="P467" s="1"/>
      <c r="T467" s="1"/>
      <c r="X467" s="1"/>
    </row>
    <row r="468" spans="4:24" ht="13">
      <c r="D468" s="1"/>
      <c r="H468" s="1"/>
      <c r="L468" s="1"/>
      <c r="P468" s="1"/>
      <c r="T468" s="1"/>
      <c r="X468" s="1"/>
    </row>
    <row r="469" spans="4:24" ht="13">
      <c r="D469" s="1"/>
      <c r="H469" s="1"/>
      <c r="L469" s="1"/>
      <c r="P469" s="1"/>
      <c r="T469" s="1"/>
      <c r="X469" s="1"/>
    </row>
    <row r="470" spans="4:24" ht="13">
      <c r="D470" s="1"/>
      <c r="H470" s="1"/>
      <c r="L470" s="1"/>
      <c r="P470" s="1"/>
      <c r="T470" s="1"/>
      <c r="X470" s="1"/>
    </row>
    <row r="471" spans="4:24" ht="13">
      <c r="D471" s="1"/>
      <c r="H471" s="1"/>
      <c r="L471" s="1"/>
      <c r="P471" s="1"/>
      <c r="T471" s="1"/>
      <c r="X471" s="1"/>
    </row>
    <row r="472" spans="4:24" ht="13">
      <c r="D472" s="1"/>
      <c r="H472" s="1"/>
      <c r="L472" s="1"/>
      <c r="P472" s="1"/>
      <c r="T472" s="1"/>
      <c r="X472" s="1"/>
    </row>
    <row r="473" spans="4:24" ht="13">
      <c r="D473" s="1"/>
      <c r="H473" s="1"/>
      <c r="L473" s="1"/>
      <c r="P473" s="1"/>
      <c r="T473" s="1"/>
      <c r="X473" s="1"/>
    </row>
    <row r="474" spans="4:24" ht="13">
      <c r="D474" s="1"/>
      <c r="H474" s="1"/>
      <c r="L474" s="1"/>
      <c r="P474" s="1"/>
      <c r="T474" s="1"/>
      <c r="X474" s="1"/>
    </row>
    <row r="475" spans="4:24" ht="13">
      <c r="D475" s="1"/>
      <c r="H475" s="1"/>
      <c r="L475" s="1"/>
      <c r="P475" s="1"/>
      <c r="T475" s="1"/>
      <c r="X475" s="1"/>
    </row>
    <row r="476" spans="4:24" ht="13">
      <c r="D476" s="1"/>
      <c r="H476" s="1"/>
      <c r="L476" s="1"/>
      <c r="P476" s="1"/>
      <c r="T476" s="1"/>
      <c r="X476" s="1"/>
    </row>
    <row r="477" spans="4:24" ht="13">
      <c r="D477" s="1"/>
      <c r="H477" s="1"/>
      <c r="L477" s="1"/>
      <c r="P477" s="1"/>
      <c r="T477" s="1"/>
      <c r="X477" s="1"/>
    </row>
    <row r="478" spans="4:24" ht="13">
      <c r="D478" s="1"/>
      <c r="H478" s="1"/>
      <c r="L478" s="1"/>
      <c r="P478" s="1"/>
      <c r="T478" s="1"/>
      <c r="X478" s="1"/>
    </row>
    <row r="479" spans="4:24" ht="13">
      <c r="D479" s="1"/>
      <c r="H479" s="1"/>
      <c r="L479" s="1"/>
      <c r="P479" s="1"/>
      <c r="T479" s="1"/>
      <c r="X479" s="1"/>
    </row>
    <row r="480" spans="4:24" ht="13">
      <c r="D480" s="1"/>
      <c r="H480" s="1"/>
      <c r="L480" s="1"/>
      <c r="P480" s="1"/>
      <c r="T480" s="1"/>
      <c r="X480" s="1"/>
    </row>
    <row r="481" spans="4:24" ht="13">
      <c r="D481" s="1"/>
      <c r="H481" s="1"/>
      <c r="L481" s="1"/>
      <c r="P481" s="1"/>
      <c r="T481" s="1"/>
      <c r="X481" s="1"/>
    </row>
    <row r="482" spans="4:24" ht="13">
      <c r="D482" s="1"/>
      <c r="H482" s="1"/>
      <c r="L482" s="1"/>
      <c r="P482" s="1"/>
      <c r="T482" s="1"/>
      <c r="X482" s="1"/>
    </row>
    <row r="483" spans="4:24" ht="13">
      <c r="D483" s="1"/>
      <c r="H483" s="1"/>
      <c r="L483" s="1"/>
      <c r="P483" s="1"/>
      <c r="T483" s="1"/>
      <c r="X483" s="1"/>
    </row>
    <row r="484" spans="4:24" ht="13">
      <c r="D484" s="1"/>
      <c r="H484" s="1"/>
      <c r="L484" s="1"/>
      <c r="P484" s="1"/>
      <c r="T484" s="1"/>
      <c r="X484" s="1"/>
    </row>
    <row r="485" spans="4:24" ht="13">
      <c r="D485" s="1"/>
      <c r="H485" s="1"/>
      <c r="L485" s="1"/>
      <c r="P485" s="1"/>
      <c r="T485" s="1"/>
      <c r="X485" s="1"/>
    </row>
    <row r="486" spans="4:24" ht="13">
      <c r="D486" s="1"/>
      <c r="H486" s="1"/>
      <c r="L486" s="1"/>
      <c r="P486" s="1"/>
      <c r="T486" s="1"/>
      <c r="X486" s="1"/>
    </row>
    <row r="487" spans="4:24" ht="13">
      <c r="D487" s="1"/>
      <c r="H487" s="1"/>
      <c r="L487" s="1"/>
      <c r="P487" s="1"/>
      <c r="T487" s="1"/>
      <c r="X487" s="1"/>
    </row>
    <row r="488" spans="4:24" ht="13">
      <c r="D488" s="1"/>
      <c r="H488" s="1"/>
      <c r="L488" s="1"/>
      <c r="P488" s="1"/>
      <c r="T488" s="1"/>
      <c r="X488" s="1"/>
    </row>
    <row r="489" spans="4:24" ht="13">
      <c r="D489" s="1"/>
      <c r="H489" s="1"/>
      <c r="L489" s="1"/>
      <c r="P489" s="1"/>
      <c r="T489" s="1"/>
      <c r="X489" s="1"/>
    </row>
    <row r="490" spans="4:24" ht="13">
      <c r="D490" s="1"/>
      <c r="H490" s="1"/>
      <c r="L490" s="1"/>
      <c r="P490" s="1"/>
      <c r="T490" s="1"/>
      <c r="X490" s="1"/>
    </row>
    <row r="491" spans="4:24" ht="13">
      <c r="D491" s="1"/>
      <c r="H491" s="1"/>
      <c r="L491" s="1"/>
      <c r="P491" s="1"/>
      <c r="T491" s="1"/>
      <c r="X491" s="1"/>
    </row>
    <row r="492" spans="4:24" ht="13">
      <c r="D492" s="1"/>
      <c r="H492" s="1"/>
      <c r="L492" s="1"/>
      <c r="P492" s="1"/>
      <c r="T492" s="1"/>
      <c r="X492" s="1"/>
    </row>
    <row r="493" spans="4:24" ht="13">
      <c r="D493" s="1"/>
      <c r="H493" s="1"/>
      <c r="L493" s="1"/>
      <c r="P493" s="1"/>
      <c r="T493" s="1"/>
      <c r="X493" s="1"/>
    </row>
    <row r="494" spans="4:24" ht="13">
      <c r="D494" s="1"/>
      <c r="H494" s="1"/>
      <c r="L494" s="1"/>
      <c r="P494" s="1"/>
      <c r="T494" s="1"/>
      <c r="X494" s="1"/>
    </row>
    <row r="495" spans="4:24" ht="13">
      <c r="D495" s="1"/>
      <c r="H495" s="1"/>
      <c r="L495" s="1"/>
      <c r="P495" s="1"/>
      <c r="T495" s="1"/>
      <c r="X495" s="1"/>
    </row>
    <row r="496" spans="4:24" ht="13">
      <c r="D496" s="1"/>
      <c r="H496" s="1"/>
      <c r="L496" s="1"/>
      <c r="P496" s="1"/>
      <c r="T496" s="1"/>
      <c r="X496" s="1"/>
    </row>
    <row r="497" spans="4:24" ht="13">
      <c r="D497" s="1"/>
      <c r="H497" s="1"/>
      <c r="L497" s="1"/>
      <c r="P497" s="1"/>
      <c r="T497" s="1"/>
      <c r="X497" s="1"/>
    </row>
    <row r="498" spans="4:24" ht="13">
      <c r="D498" s="1"/>
      <c r="H498" s="1"/>
      <c r="L498" s="1"/>
      <c r="P498" s="1"/>
      <c r="T498" s="1"/>
      <c r="X498" s="1"/>
    </row>
    <row r="499" spans="4:24" ht="13">
      <c r="D499" s="1"/>
      <c r="H499" s="1"/>
      <c r="L499" s="1"/>
      <c r="P499" s="1"/>
      <c r="T499" s="1"/>
      <c r="X499" s="1"/>
    </row>
    <row r="500" spans="4:24" ht="13">
      <c r="D500" s="1"/>
      <c r="H500" s="1"/>
      <c r="L500" s="1"/>
      <c r="P500" s="1"/>
      <c r="T500" s="1"/>
      <c r="X500" s="1"/>
    </row>
    <row r="501" spans="4:24" ht="13">
      <c r="D501" s="1"/>
      <c r="H501" s="1"/>
      <c r="L501" s="1"/>
      <c r="P501" s="1"/>
      <c r="T501" s="1"/>
      <c r="X501" s="1"/>
    </row>
    <row r="502" spans="4:24" ht="13">
      <c r="D502" s="1"/>
      <c r="H502" s="1"/>
      <c r="L502" s="1"/>
      <c r="P502" s="1"/>
      <c r="T502" s="1"/>
      <c r="X502" s="1"/>
    </row>
    <row r="503" spans="4:24" ht="13">
      <c r="D503" s="1"/>
      <c r="H503" s="1"/>
      <c r="L503" s="1"/>
      <c r="P503" s="1"/>
      <c r="T503" s="1"/>
      <c r="X503" s="1"/>
    </row>
    <row r="504" spans="4:24" ht="13">
      <c r="D504" s="1"/>
      <c r="H504" s="1"/>
      <c r="L504" s="1"/>
      <c r="P504" s="1"/>
      <c r="T504" s="1"/>
      <c r="X504" s="1"/>
    </row>
    <row r="505" spans="4:24" ht="13">
      <c r="D505" s="1"/>
      <c r="H505" s="1"/>
      <c r="L505" s="1"/>
      <c r="P505" s="1"/>
      <c r="T505" s="1"/>
      <c r="X505" s="1"/>
    </row>
    <row r="506" spans="4:24" ht="13">
      <c r="D506" s="1"/>
      <c r="H506" s="1"/>
      <c r="L506" s="1"/>
      <c r="P506" s="1"/>
      <c r="T506" s="1"/>
      <c r="X506" s="1"/>
    </row>
    <row r="507" spans="4:24" ht="13">
      <c r="D507" s="1"/>
      <c r="H507" s="1"/>
      <c r="L507" s="1"/>
      <c r="P507" s="1"/>
      <c r="T507" s="1"/>
      <c r="X507" s="1"/>
    </row>
    <row r="508" spans="4:24" ht="13">
      <c r="D508" s="1"/>
      <c r="H508" s="1"/>
      <c r="L508" s="1"/>
      <c r="P508" s="1"/>
      <c r="T508" s="1"/>
      <c r="X508" s="1"/>
    </row>
    <row r="509" spans="4:24" ht="13">
      <c r="D509" s="1"/>
      <c r="H509" s="1"/>
      <c r="L509" s="1"/>
      <c r="P509" s="1"/>
      <c r="T509" s="1"/>
      <c r="X509" s="1"/>
    </row>
    <row r="510" spans="4:24" ht="13">
      <c r="D510" s="1"/>
      <c r="H510" s="1"/>
      <c r="L510" s="1"/>
      <c r="P510" s="1"/>
      <c r="T510" s="1"/>
      <c r="X510" s="1"/>
    </row>
    <row r="511" spans="4:24" ht="13">
      <c r="D511" s="1"/>
      <c r="H511" s="1"/>
      <c r="L511" s="1"/>
      <c r="P511" s="1"/>
      <c r="T511" s="1"/>
      <c r="X511" s="1"/>
    </row>
    <row r="512" spans="4:24" ht="13">
      <c r="D512" s="1"/>
      <c r="H512" s="1"/>
      <c r="L512" s="1"/>
      <c r="P512" s="1"/>
      <c r="T512" s="1"/>
      <c r="X512" s="1"/>
    </row>
    <row r="513" spans="4:24" ht="13">
      <c r="D513" s="1"/>
      <c r="H513" s="1"/>
      <c r="L513" s="1"/>
      <c r="P513" s="1"/>
      <c r="T513" s="1"/>
      <c r="X513" s="1"/>
    </row>
    <row r="514" spans="4:24" ht="13">
      <c r="D514" s="1"/>
      <c r="H514" s="1"/>
      <c r="L514" s="1"/>
      <c r="P514" s="1"/>
      <c r="T514" s="1"/>
      <c r="X514" s="1"/>
    </row>
    <row r="515" spans="4:24" ht="13">
      <c r="D515" s="1"/>
      <c r="H515" s="1"/>
      <c r="L515" s="1"/>
      <c r="P515" s="1"/>
      <c r="T515" s="1"/>
      <c r="X515" s="1"/>
    </row>
    <row r="516" spans="4:24" ht="13">
      <c r="D516" s="1"/>
      <c r="H516" s="1"/>
      <c r="L516" s="1"/>
      <c r="P516" s="1"/>
      <c r="T516" s="1"/>
      <c r="X516" s="1"/>
    </row>
    <row r="517" spans="4:24" ht="13">
      <c r="D517" s="1"/>
      <c r="H517" s="1"/>
      <c r="L517" s="1"/>
      <c r="P517" s="1"/>
      <c r="T517" s="1"/>
      <c r="X517" s="1"/>
    </row>
    <row r="518" spans="4:24" ht="13">
      <c r="D518" s="1"/>
      <c r="H518" s="1"/>
      <c r="L518" s="1"/>
      <c r="P518" s="1"/>
      <c r="T518" s="1"/>
      <c r="X518" s="1"/>
    </row>
    <row r="519" spans="4:24" ht="13">
      <c r="D519" s="1"/>
      <c r="H519" s="1"/>
      <c r="L519" s="1"/>
      <c r="P519" s="1"/>
      <c r="T519" s="1"/>
      <c r="X519" s="1"/>
    </row>
    <row r="520" spans="4:24" ht="13">
      <c r="D520" s="1"/>
      <c r="H520" s="1"/>
      <c r="L520" s="1"/>
      <c r="P520" s="1"/>
      <c r="T520" s="1"/>
      <c r="X520" s="1"/>
    </row>
    <row r="521" spans="4:24" ht="13">
      <c r="D521" s="1"/>
      <c r="H521" s="1"/>
      <c r="L521" s="1"/>
      <c r="P521" s="1"/>
      <c r="T521" s="1"/>
      <c r="X521" s="1"/>
    </row>
    <row r="522" spans="4:24" ht="13">
      <c r="D522" s="1"/>
      <c r="H522" s="1"/>
      <c r="L522" s="1"/>
      <c r="P522" s="1"/>
      <c r="T522" s="1"/>
      <c r="X522" s="1"/>
    </row>
    <row r="523" spans="4:24" ht="13">
      <c r="D523" s="1"/>
      <c r="H523" s="1"/>
      <c r="L523" s="1"/>
      <c r="P523" s="1"/>
      <c r="T523" s="1"/>
      <c r="X523" s="1"/>
    </row>
    <row r="524" spans="4:24" ht="13">
      <c r="D524" s="1"/>
      <c r="H524" s="1"/>
      <c r="L524" s="1"/>
      <c r="P524" s="1"/>
      <c r="T524" s="1"/>
      <c r="X524" s="1"/>
    </row>
    <row r="525" spans="4:24" ht="13">
      <c r="D525" s="1"/>
      <c r="H525" s="1"/>
      <c r="L525" s="1"/>
      <c r="P525" s="1"/>
      <c r="T525" s="1"/>
      <c r="X525" s="1"/>
    </row>
    <row r="526" spans="4:24" ht="13">
      <c r="D526" s="1"/>
      <c r="H526" s="1"/>
      <c r="L526" s="1"/>
      <c r="P526" s="1"/>
      <c r="T526" s="1"/>
      <c r="X526" s="1"/>
    </row>
    <row r="527" spans="4:24" ht="13">
      <c r="D527" s="1"/>
      <c r="H527" s="1"/>
      <c r="L527" s="1"/>
      <c r="P527" s="1"/>
      <c r="T527" s="1"/>
      <c r="X527" s="1"/>
    </row>
    <row r="528" spans="4:24" ht="13">
      <c r="D528" s="1"/>
      <c r="H528" s="1"/>
      <c r="L528" s="1"/>
      <c r="P528" s="1"/>
      <c r="T528" s="1"/>
      <c r="X528" s="1"/>
    </row>
    <row r="529" spans="4:24" ht="13">
      <c r="D529" s="1"/>
      <c r="H529" s="1"/>
      <c r="L529" s="1"/>
      <c r="P529" s="1"/>
      <c r="T529" s="1"/>
      <c r="X529" s="1"/>
    </row>
    <row r="530" spans="4:24" ht="13">
      <c r="D530" s="1"/>
      <c r="H530" s="1"/>
      <c r="L530" s="1"/>
      <c r="P530" s="1"/>
      <c r="T530" s="1"/>
      <c r="X530" s="1"/>
    </row>
    <row r="531" spans="4:24" ht="13">
      <c r="D531" s="1"/>
      <c r="H531" s="1"/>
      <c r="L531" s="1"/>
      <c r="P531" s="1"/>
      <c r="T531" s="1"/>
      <c r="X531" s="1"/>
    </row>
    <row r="532" spans="4:24" ht="13">
      <c r="D532" s="1"/>
      <c r="H532" s="1"/>
      <c r="L532" s="1"/>
      <c r="P532" s="1"/>
      <c r="T532" s="1"/>
      <c r="X532" s="1"/>
    </row>
    <row r="533" spans="4:24" ht="13">
      <c r="D533" s="1"/>
      <c r="H533" s="1"/>
      <c r="L533" s="1"/>
      <c r="P533" s="1"/>
      <c r="T533" s="1"/>
      <c r="X533" s="1"/>
    </row>
    <row r="534" spans="4:24" ht="13">
      <c r="D534" s="1"/>
      <c r="H534" s="1"/>
      <c r="L534" s="1"/>
      <c r="P534" s="1"/>
      <c r="T534" s="1"/>
      <c r="X534" s="1"/>
    </row>
    <row r="535" spans="4:24" ht="13">
      <c r="D535" s="1"/>
      <c r="H535" s="1"/>
      <c r="L535" s="1"/>
      <c r="P535" s="1"/>
      <c r="T535" s="1"/>
      <c r="X535" s="1"/>
    </row>
    <row r="536" spans="4:24" ht="13">
      <c r="D536" s="1"/>
      <c r="H536" s="1"/>
      <c r="L536" s="1"/>
      <c r="P536" s="1"/>
      <c r="T536" s="1"/>
      <c r="X536" s="1"/>
    </row>
    <row r="537" spans="4:24" ht="13">
      <c r="D537" s="1"/>
      <c r="H537" s="1"/>
      <c r="L537" s="1"/>
      <c r="P537" s="1"/>
      <c r="T537" s="1"/>
      <c r="X537" s="1"/>
    </row>
    <row r="538" spans="4:24" ht="13">
      <c r="D538" s="1"/>
      <c r="H538" s="1"/>
      <c r="L538" s="1"/>
      <c r="P538" s="1"/>
      <c r="T538" s="1"/>
      <c r="X538" s="1"/>
    </row>
    <row r="539" spans="4:24" ht="13">
      <c r="D539" s="1"/>
      <c r="H539" s="1"/>
      <c r="L539" s="1"/>
      <c r="P539" s="1"/>
      <c r="T539" s="1"/>
      <c r="X539" s="1"/>
    </row>
    <row r="540" spans="4:24" ht="13">
      <c r="D540" s="1"/>
      <c r="H540" s="1"/>
      <c r="L540" s="1"/>
      <c r="P540" s="1"/>
      <c r="T540" s="1"/>
      <c r="X540" s="1"/>
    </row>
    <row r="541" spans="4:24" ht="13">
      <c r="D541" s="1"/>
      <c r="H541" s="1"/>
      <c r="L541" s="1"/>
      <c r="P541" s="1"/>
      <c r="T541" s="1"/>
      <c r="X541" s="1"/>
    </row>
    <row r="542" spans="4:24" ht="13">
      <c r="D542" s="1"/>
      <c r="H542" s="1"/>
      <c r="L542" s="1"/>
      <c r="P542" s="1"/>
      <c r="T542" s="1"/>
      <c r="X542" s="1"/>
    </row>
    <row r="543" spans="4:24" ht="13">
      <c r="D543" s="1"/>
      <c r="H543" s="1"/>
      <c r="L543" s="1"/>
      <c r="P543" s="1"/>
      <c r="T543" s="1"/>
      <c r="X543" s="1"/>
    </row>
    <row r="544" spans="4:24" ht="13">
      <c r="D544" s="1"/>
      <c r="H544" s="1"/>
      <c r="L544" s="1"/>
      <c r="P544" s="1"/>
      <c r="T544" s="1"/>
      <c r="X544" s="1"/>
    </row>
    <row r="545" spans="4:24" ht="13">
      <c r="D545" s="1"/>
      <c r="H545" s="1"/>
      <c r="L545" s="1"/>
      <c r="P545" s="1"/>
      <c r="T545" s="1"/>
      <c r="X545" s="1"/>
    </row>
    <row r="546" spans="4:24" ht="13">
      <c r="D546" s="1"/>
      <c r="H546" s="1"/>
      <c r="L546" s="1"/>
      <c r="P546" s="1"/>
      <c r="T546" s="1"/>
      <c r="X546" s="1"/>
    </row>
    <row r="547" spans="4:24" ht="13">
      <c r="D547" s="1"/>
      <c r="H547" s="1"/>
      <c r="L547" s="1"/>
      <c r="P547" s="1"/>
      <c r="T547" s="1"/>
      <c r="X547" s="1"/>
    </row>
    <row r="548" spans="4:24" ht="13">
      <c r="D548" s="1"/>
      <c r="H548" s="1"/>
      <c r="L548" s="1"/>
      <c r="P548" s="1"/>
      <c r="T548" s="1"/>
      <c r="X548" s="1"/>
    </row>
    <row r="549" spans="4:24" ht="13">
      <c r="D549" s="1"/>
      <c r="H549" s="1"/>
      <c r="L549" s="1"/>
      <c r="P549" s="1"/>
      <c r="T549" s="1"/>
      <c r="X549" s="1"/>
    </row>
    <row r="550" spans="4:24" ht="13">
      <c r="D550" s="1"/>
      <c r="H550" s="1"/>
      <c r="L550" s="1"/>
      <c r="P550" s="1"/>
      <c r="T550" s="1"/>
      <c r="X550" s="1"/>
    </row>
    <row r="551" spans="4:24" ht="13">
      <c r="D551" s="1"/>
      <c r="H551" s="1"/>
      <c r="L551" s="1"/>
      <c r="P551" s="1"/>
      <c r="T551" s="1"/>
      <c r="X551" s="1"/>
    </row>
    <row r="552" spans="4:24" ht="13">
      <c r="D552" s="1"/>
      <c r="H552" s="1"/>
      <c r="L552" s="1"/>
      <c r="P552" s="1"/>
      <c r="T552" s="1"/>
      <c r="X552" s="1"/>
    </row>
    <row r="553" spans="4:24" ht="13">
      <c r="D553" s="1"/>
      <c r="H553" s="1"/>
      <c r="L553" s="1"/>
      <c r="P553" s="1"/>
      <c r="T553" s="1"/>
      <c r="X553" s="1"/>
    </row>
    <row r="554" spans="4:24" ht="13">
      <c r="D554" s="1"/>
      <c r="H554" s="1"/>
      <c r="L554" s="1"/>
      <c r="P554" s="1"/>
      <c r="T554" s="1"/>
      <c r="X554" s="1"/>
    </row>
    <row r="555" spans="4:24" ht="13">
      <c r="D555" s="1"/>
      <c r="H555" s="1"/>
      <c r="L555" s="1"/>
      <c r="P555" s="1"/>
      <c r="T555" s="1"/>
      <c r="X555" s="1"/>
    </row>
    <row r="556" spans="4:24" ht="13">
      <c r="D556" s="1"/>
      <c r="H556" s="1"/>
      <c r="L556" s="1"/>
      <c r="P556" s="1"/>
      <c r="T556" s="1"/>
      <c r="X556" s="1"/>
    </row>
    <row r="557" spans="4:24" ht="13">
      <c r="D557" s="1"/>
      <c r="H557" s="1"/>
      <c r="L557" s="1"/>
      <c r="P557" s="1"/>
      <c r="T557" s="1"/>
      <c r="X557" s="1"/>
    </row>
    <row r="558" spans="4:24" ht="13">
      <c r="D558" s="1"/>
      <c r="H558" s="1"/>
      <c r="L558" s="1"/>
      <c r="P558" s="1"/>
      <c r="T558" s="1"/>
      <c r="X558" s="1"/>
    </row>
    <row r="559" spans="4:24" ht="13">
      <c r="D559" s="1"/>
      <c r="H559" s="1"/>
      <c r="L559" s="1"/>
      <c r="P559" s="1"/>
      <c r="T559" s="1"/>
      <c r="X559" s="1"/>
    </row>
    <row r="560" spans="4:24" ht="13">
      <c r="D560" s="1"/>
      <c r="H560" s="1"/>
      <c r="L560" s="1"/>
      <c r="P560" s="1"/>
      <c r="T560" s="1"/>
      <c r="X560" s="1"/>
    </row>
    <row r="561" spans="4:24" ht="13">
      <c r="D561" s="1"/>
      <c r="H561" s="1"/>
      <c r="L561" s="1"/>
      <c r="P561" s="1"/>
      <c r="T561" s="1"/>
      <c r="X561" s="1"/>
    </row>
    <row r="562" spans="4:24" ht="13">
      <c r="D562" s="1"/>
      <c r="H562" s="1"/>
      <c r="L562" s="1"/>
      <c r="P562" s="1"/>
      <c r="T562" s="1"/>
      <c r="X562" s="1"/>
    </row>
    <row r="563" spans="4:24" ht="13">
      <c r="D563" s="1"/>
      <c r="H563" s="1"/>
      <c r="L563" s="1"/>
      <c r="P563" s="1"/>
      <c r="T563" s="1"/>
      <c r="X563" s="1"/>
    </row>
    <row r="564" spans="4:24" ht="13">
      <c r="D564" s="1"/>
      <c r="H564" s="1"/>
      <c r="L564" s="1"/>
      <c r="P564" s="1"/>
      <c r="T564" s="1"/>
      <c r="X564" s="1"/>
    </row>
    <row r="565" spans="4:24" ht="13">
      <c r="D565" s="1"/>
      <c r="H565" s="1"/>
      <c r="L565" s="1"/>
      <c r="P565" s="1"/>
      <c r="T565" s="1"/>
      <c r="X565" s="1"/>
    </row>
    <row r="566" spans="4:24" ht="13">
      <c r="D566" s="1"/>
      <c r="H566" s="1"/>
      <c r="L566" s="1"/>
      <c r="P566" s="1"/>
      <c r="T566" s="1"/>
      <c r="X566" s="1"/>
    </row>
    <row r="567" spans="4:24" ht="13">
      <c r="D567" s="1"/>
      <c r="H567" s="1"/>
      <c r="L567" s="1"/>
      <c r="P567" s="1"/>
      <c r="T567" s="1"/>
      <c r="X567" s="1"/>
    </row>
    <row r="568" spans="4:24" ht="13">
      <c r="D568" s="1"/>
      <c r="H568" s="1"/>
      <c r="L568" s="1"/>
      <c r="P568" s="1"/>
      <c r="T568" s="1"/>
      <c r="X568" s="1"/>
    </row>
    <row r="569" spans="4:24" ht="13">
      <c r="D569" s="1"/>
      <c r="H569" s="1"/>
      <c r="L569" s="1"/>
      <c r="P569" s="1"/>
      <c r="T569" s="1"/>
      <c r="X569" s="1"/>
    </row>
    <row r="570" spans="4:24" ht="13">
      <c r="D570" s="1"/>
      <c r="H570" s="1"/>
      <c r="L570" s="1"/>
      <c r="P570" s="1"/>
      <c r="T570" s="1"/>
      <c r="X570" s="1"/>
    </row>
    <row r="571" spans="4:24" ht="13">
      <c r="D571" s="1"/>
      <c r="H571" s="1"/>
      <c r="L571" s="1"/>
      <c r="P571" s="1"/>
      <c r="T571" s="1"/>
      <c r="X571" s="1"/>
    </row>
    <row r="572" spans="4:24" ht="13">
      <c r="D572" s="1"/>
      <c r="H572" s="1"/>
      <c r="L572" s="1"/>
      <c r="P572" s="1"/>
      <c r="T572" s="1"/>
      <c r="X572" s="1"/>
    </row>
    <row r="573" spans="4:24" ht="13">
      <c r="D573" s="1"/>
      <c r="H573" s="1"/>
      <c r="L573" s="1"/>
      <c r="P573" s="1"/>
      <c r="T573" s="1"/>
      <c r="X573" s="1"/>
    </row>
    <row r="574" spans="4:24" ht="13">
      <c r="D574" s="1"/>
      <c r="H574" s="1"/>
      <c r="L574" s="1"/>
      <c r="P574" s="1"/>
      <c r="T574" s="1"/>
      <c r="X574" s="1"/>
    </row>
    <row r="575" spans="4:24" ht="13">
      <c r="D575" s="1"/>
      <c r="H575" s="1"/>
      <c r="L575" s="1"/>
      <c r="P575" s="1"/>
      <c r="T575" s="1"/>
      <c r="X575" s="1"/>
    </row>
    <row r="576" spans="4:24" ht="13">
      <c r="D576" s="1"/>
      <c r="H576" s="1"/>
      <c r="L576" s="1"/>
      <c r="P576" s="1"/>
      <c r="T576" s="1"/>
      <c r="X576" s="1"/>
    </row>
    <row r="577" spans="4:24" ht="13">
      <c r="D577" s="1"/>
      <c r="H577" s="1"/>
      <c r="L577" s="1"/>
      <c r="P577" s="1"/>
      <c r="T577" s="1"/>
      <c r="X577" s="1"/>
    </row>
    <row r="578" spans="4:24" ht="13">
      <c r="D578" s="1"/>
      <c r="H578" s="1"/>
      <c r="L578" s="1"/>
      <c r="P578" s="1"/>
      <c r="T578" s="1"/>
      <c r="X578" s="1"/>
    </row>
    <row r="579" spans="4:24" ht="13">
      <c r="D579" s="1"/>
      <c r="H579" s="1"/>
      <c r="L579" s="1"/>
      <c r="P579" s="1"/>
      <c r="T579" s="1"/>
      <c r="X579" s="1"/>
    </row>
    <row r="580" spans="4:24" ht="13">
      <c r="D580" s="1"/>
      <c r="H580" s="1"/>
      <c r="L580" s="1"/>
      <c r="P580" s="1"/>
      <c r="T580" s="1"/>
      <c r="X580" s="1"/>
    </row>
    <row r="581" spans="4:24" ht="13">
      <c r="D581" s="1"/>
      <c r="H581" s="1"/>
      <c r="L581" s="1"/>
      <c r="P581" s="1"/>
      <c r="T581" s="1"/>
      <c r="X581" s="1"/>
    </row>
    <row r="582" spans="4:24" ht="13">
      <c r="D582" s="1"/>
      <c r="H582" s="1"/>
      <c r="L582" s="1"/>
      <c r="P582" s="1"/>
      <c r="T582" s="1"/>
      <c r="X582" s="1"/>
    </row>
    <row r="583" spans="4:24" ht="13">
      <c r="D583" s="1"/>
      <c r="H583" s="1"/>
      <c r="L583" s="1"/>
      <c r="P583" s="1"/>
      <c r="T583" s="1"/>
      <c r="X583" s="1"/>
    </row>
    <row r="584" spans="4:24" ht="13">
      <c r="D584" s="1"/>
      <c r="H584" s="1"/>
      <c r="L584" s="1"/>
      <c r="P584" s="1"/>
      <c r="T584" s="1"/>
      <c r="X584" s="1"/>
    </row>
    <row r="585" spans="4:24" ht="13">
      <c r="D585" s="1"/>
      <c r="H585" s="1"/>
      <c r="L585" s="1"/>
      <c r="P585" s="1"/>
      <c r="T585" s="1"/>
      <c r="X585" s="1"/>
    </row>
    <row r="586" spans="4:24" ht="13">
      <c r="D586" s="1"/>
      <c r="H586" s="1"/>
      <c r="L586" s="1"/>
      <c r="P586" s="1"/>
      <c r="T586" s="1"/>
      <c r="X586" s="1"/>
    </row>
    <row r="587" spans="4:24" ht="13">
      <c r="D587" s="1"/>
      <c r="H587" s="1"/>
      <c r="L587" s="1"/>
      <c r="P587" s="1"/>
      <c r="T587" s="1"/>
      <c r="X587" s="1"/>
    </row>
    <row r="588" spans="4:24" ht="13">
      <c r="D588" s="1"/>
      <c r="H588" s="1"/>
      <c r="L588" s="1"/>
      <c r="P588" s="1"/>
      <c r="T588" s="1"/>
      <c r="X588" s="1"/>
    </row>
    <row r="589" spans="4:24" ht="13">
      <c r="D589" s="1"/>
      <c r="H589" s="1"/>
      <c r="L589" s="1"/>
      <c r="P589" s="1"/>
      <c r="T589" s="1"/>
      <c r="X589" s="1"/>
    </row>
    <row r="590" spans="4:24" ht="13">
      <c r="D590" s="1"/>
      <c r="H590" s="1"/>
      <c r="L590" s="1"/>
      <c r="P590" s="1"/>
      <c r="T590" s="1"/>
      <c r="X590" s="1"/>
    </row>
    <row r="591" spans="4:24" ht="13">
      <c r="D591" s="1"/>
      <c r="H591" s="1"/>
      <c r="L591" s="1"/>
      <c r="P591" s="1"/>
      <c r="T591" s="1"/>
      <c r="X591" s="1"/>
    </row>
    <row r="592" spans="4:24" ht="13">
      <c r="D592" s="1"/>
      <c r="H592" s="1"/>
      <c r="L592" s="1"/>
      <c r="P592" s="1"/>
      <c r="T592" s="1"/>
      <c r="X592" s="1"/>
    </row>
    <row r="593" spans="4:24" ht="13">
      <c r="D593" s="1"/>
      <c r="H593" s="1"/>
      <c r="L593" s="1"/>
      <c r="P593" s="1"/>
      <c r="T593" s="1"/>
      <c r="X593" s="1"/>
    </row>
    <row r="594" spans="4:24" ht="13">
      <c r="D594" s="1"/>
      <c r="H594" s="1"/>
      <c r="L594" s="1"/>
      <c r="P594" s="1"/>
      <c r="T594" s="1"/>
      <c r="X594" s="1"/>
    </row>
    <row r="595" spans="4:24" ht="13">
      <c r="D595" s="1"/>
      <c r="H595" s="1"/>
      <c r="L595" s="1"/>
      <c r="P595" s="1"/>
      <c r="T595" s="1"/>
      <c r="X595" s="1"/>
    </row>
    <row r="596" spans="4:24" ht="13">
      <c r="D596" s="1"/>
      <c r="H596" s="1"/>
      <c r="L596" s="1"/>
      <c r="P596" s="1"/>
      <c r="T596" s="1"/>
      <c r="X596" s="1"/>
    </row>
    <row r="597" spans="4:24" ht="13">
      <c r="D597" s="1"/>
      <c r="H597" s="1"/>
      <c r="L597" s="1"/>
      <c r="P597" s="1"/>
      <c r="T597" s="1"/>
      <c r="X597" s="1"/>
    </row>
    <row r="598" spans="4:24" ht="13">
      <c r="D598" s="1"/>
      <c r="H598" s="1"/>
      <c r="L598" s="1"/>
      <c r="P598" s="1"/>
      <c r="T598" s="1"/>
      <c r="X598" s="1"/>
    </row>
    <row r="599" spans="4:24" ht="13">
      <c r="D599" s="1"/>
      <c r="H599" s="1"/>
      <c r="L599" s="1"/>
      <c r="P599" s="1"/>
      <c r="T599" s="1"/>
      <c r="X599" s="1"/>
    </row>
    <row r="600" spans="4:24" ht="13">
      <c r="D600" s="1"/>
      <c r="H600" s="1"/>
      <c r="L600" s="1"/>
      <c r="P600" s="1"/>
      <c r="T600" s="1"/>
      <c r="X600" s="1"/>
    </row>
    <row r="601" spans="4:24" ht="13">
      <c r="D601" s="1"/>
      <c r="H601" s="1"/>
      <c r="L601" s="1"/>
      <c r="P601" s="1"/>
      <c r="T601" s="1"/>
      <c r="X601" s="1"/>
    </row>
    <row r="602" spans="4:24" ht="13">
      <c r="D602" s="1"/>
      <c r="H602" s="1"/>
      <c r="L602" s="1"/>
      <c r="P602" s="1"/>
      <c r="T602" s="1"/>
      <c r="X602" s="1"/>
    </row>
    <row r="603" spans="4:24" ht="13">
      <c r="D603" s="1"/>
      <c r="H603" s="1"/>
      <c r="L603" s="1"/>
      <c r="P603" s="1"/>
      <c r="T603" s="1"/>
      <c r="X603" s="1"/>
    </row>
    <row r="604" spans="4:24" ht="13">
      <c r="D604" s="1"/>
      <c r="H604" s="1"/>
      <c r="L604" s="1"/>
      <c r="P604" s="1"/>
      <c r="T604" s="1"/>
      <c r="X604" s="1"/>
    </row>
    <row r="605" spans="4:24" ht="13">
      <c r="D605" s="1"/>
      <c r="H605" s="1"/>
      <c r="L605" s="1"/>
      <c r="P605" s="1"/>
      <c r="T605" s="1"/>
      <c r="X605" s="1"/>
    </row>
    <row r="606" spans="4:24" ht="13">
      <c r="D606" s="1"/>
      <c r="H606" s="1"/>
      <c r="L606" s="1"/>
      <c r="P606" s="1"/>
      <c r="T606" s="1"/>
      <c r="X606" s="1"/>
    </row>
    <row r="607" spans="4:24" ht="13">
      <c r="D607" s="1"/>
      <c r="H607" s="1"/>
      <c r="L607" s="1"/>
      <c r="P607" s="1"/>
      <c r="T607" s="1"/>
      <c r="X607" s="1"/>
    </row>
    <row r="608" spans="4:24" ht="13">
      <c r="D608" s="1"/>
      <c r="H608" s="1"/>
      <c r="L608" s="1"/>
      <c r="P608" s="1"/>
      <c r="T608" s="1"/>
      <c r="X608" s="1"/>
    </row>
    <row r="609" spans="4:24" ht="13">
      <c r="D609" s="1"/>
      <c r="H609" s="1"/>
      <c r="L609" s="1"/>
      <c r="P609" s="1"/>
      <c r="T609" s="1"/>
      <c r="X609" s="1"/>
    </row>
    <row r="610" spans="4:24" ht="13">
      <c r="D610" s="1"/>
      <c r="H610" s="1"/>
      <c r="L610" s="1"/>
      <c r="P610" s="1"/>
      <c r="T610" s="1"/>
      <c r="X610" s="1"/>
    </row>
    <row r="611" spans="4:24" ht="13">
      <c r="D611" s="1"/>
      <c r="H611" s="1"/>
      <c r="L611" s="1"/>
      <c r="P611" s="1"/>
      <c r="T611" s="1"/>
      <c r="X611" s="1"/>
    </row>
    <row r="612" spans="4:24" ht="13">
      <c r="D612" s="1"/>
      <c r="H612" s="1"/>
      <c r="L612" s="1"/>
      <c r="P612" s="1"/>
      <c r="T612" s="1"/>
      <c r="X612" s="1"/>
    </row>
    <row r="613" spans="4:24" ht="13">
      <c r="D613" s="1"/>
      <c r="H613" s="1"/>
      <c r="L613" s="1"/>
      <c r="P613" s="1"/>
      <c r="T613" s="1"/>
      <c r="X613" s="1"/>
    </row>
    <row r="614" spans="4:24" ht="13">
      <c r="D614" s="1"/>
      <c r="H614" s="1"/>
      <c r="L614" s="1"/>
      <c r="P614" s="1"/>
      <c r="T614" s="1"/>
      <c r="X614" s="1"/>
    </row>
    <row r="615" spans="4:24" ht="13">
      <c r="D615" s="1"/>
      <c r="H615" s="1"/>
      <c r="L615" s="1"/>
      <c r="P615" s="1"/>
      <c r="T615" s="1"/>
      <c r="X615" s="1"/>
    </row>
    <row r="616" spans="4:24" ht="13">
      <c r="D616" s="1"/>
      <c r="H616" s="1"/>
      <c r="L616" s="1"/>
      <c r="P616" s="1"/>
      <c r="T616" s="1"/>
      <c r="X616" s="1"/>
    </row>
    <row r="617" spans="4:24" ht="13">
      <c r="D617" s="1"/>
      <c r="H617" s="1"/>
      <c r="L617" s="1"/>
      <c r="P617" s="1"/>
      <c r="T617" s="1"/>
      <c r="X617" s="1"/>
    </row>
    <row r="618" spans="4:24" ht="13">
      <c r="D618" s="1"/>
      <c r="H618" s="1"/>
      <c r="L618" s="1"/>
      <c r="P618" s="1"/>
      <c r="T618" s="1"/>
      <c r="X618" s="1"/>
    </row>
    <row r="619" spans="4:24" ht="13">
      <c r="D619" s="1"/>
      <c r="H619" s="1"/>
      <c r="L619" s="1"/>
      <c r="P619" s="1"/>
      <c r="T619" s="1"/>
      <c r="X619" s="1"/>
    </row>
    <row r="620" spans="4:24" ht="13">
      <c r="D620" s="1"/>
      <c r="H620" s="1"/>
      <c r="L620" s="1"/>
      <c r="P620" s="1"/>
      <c r="T620" s="1"/>
      <c r="X620" s="1"/>
    </row>
    <row r="621" spans="4:24" ht="13">
      <c r="D621" s="1"/>
      <c r="H621" s="1"/>
      <c r="L621" s="1"/>
      <c r="P621" s="1"/>
      <c r="T621" s="1"/>
      <c r="X621" s="1"/>
    </row>
    <row r="622" spans="4:24" ht="13">
      <c r="D622" s="1"/>
      <c r="H622" s="1"/>
      <c r="L622" s="1"/>
      <c r="P622" s="1"/>
      <c r="T622" s="1"/>
      <c r="X622" s="1"/>
    </row>
    <row r="623" spans="4:24" ht="13">
      <c r="D623" s="1"/>
      <c r="H623" s="1"/>
      <c r="L623" s="1"/>
      <c r="P623" s="1"/>
      <c r="T623" s="1"/>
      <c r="X623" s="1"/>
    </row>
    <row r="624" spans="4:24" ht="13">
      <c r="D624" s="1"/>
      <c r="H624" s="1"/>
      <c r="L624" s="1"/>
      <c r="P624" s="1"/>
      <c r="T624" s="1"/>
      <c r="X624" s="1"/>
    </row>
    <row r="625" spans="4:24" ht="13">
      <c r="D625" s="1"/>
      <c r="H625" s="1"/>
      <c r="L625" s="1"/>
      <c r="P625" s="1"/>
      <c r="T625" s="1"/>
      <c r="X625" s="1"/>
    </row>
    <row r="626" spans="4:24" ht="13">
      <c r="D626" s="1"/>
      <c r="H626" s="1"/>
      <c r="L626" s="1"/>
      <c r="P626" s="1"/>
      <c r="T626" s="1"/>
      <c r="X626" s="1"/>
    </row>
    <row r="627" spans="4:24" ht="13">
      <c r="D627" s="1"/>
      <c r="H627" s="1"/>
      <c r="L627" s="1"/>
      <c r="P627" s="1"/>
      <c r="T627" s="1"/>
      <c r="X627" s="1"/>
    </row>
    <row r="628" spans="4:24" ht="13">
      <c r="D628" s="1"/>
      <c r="H628" s="1"/>
      <c r="L628" s="1"/>
      <c r="P628" s="1"/>
      <c r="T628" s="1"/>
      <c r="X628" s="1"/>
    </row>
    <row r="629" spans="4:24" ht="13">
      <c r="D629" s="1"/>
      <c r="H629" s="1"/>
      <c r="L629" s="1"/>
      <c r="P629" s="1"/>
      <c r="T629" s="1"/>
      <c r="X629" s="1"/>
    </row>
    <row r="630" spans="4:24" ht="13">
      <c r="D630" s="1"/>
      <c r="H630" s="1"/>
      <c r="L630" s="1"/>
      <c r="P630" s="1"/>
      <c r="T630" s="1"/>
      <c r="X630" s="1"/>
    </row>
    <row r="631" spans="4:24" ht="13">
      <c r="D631" s="1"/>
      <c r="H631" s="1"/>
      <c r="L631" s="1"/>
      <c r="P631" s="1"/>
      <c r="T631" s="1"/>
      <c r="X631" s="1"/>
    </row>
    <row r="632" spans="4:24" ht="13">
      <c r="D632" s="1"/>
      <c r="H632" s="1"/>
      <c r="L632" s="1"/>
      <c r="P632" s="1"/>
      <c r="T632" s="1"/>
      <c r="X632" s="1"/>
    </row>
    <row r="633" spans="4:24" ht="13">
      <c r="D633" s="1"/>
      <c r="H633" s="1"/>
      <c r="L633" s="1"/>
      <c r="P633" s="1"/>
      <c r="T633" s="1"/>
      <c r="X633" s="1"/>
    </row>
    <row r="634" spans="4:24" ht="13">
      <c r="D634" s="1"/>
      <c r="H634" s="1"/>
      <c r="L634" s="1"/>
      <c r="P634" s="1"/>
      <c r="T634" s="1"/>
      <c r="X634" s="1"/>
    </row>
    <row r="635" spans="4:24" ht="13">
      <c r="D635" s="1"/>
      <c r="H635" s="1"/>
      <c r="L635" s="1"/>
      <c r="P635" s="1"/>
      <c r="T635" s="1"/>
      <c r="X635" s="1"/>
    </row>
    <row r="636" spans="4:24" ht="13">
      <c r="D636" s="1"/>
      <c r="H636" s="1"/>
      <c r="L636" s="1"/>
      <c r="P636" s="1"/>
      <c r="T636" s="1"/>
      <c r="X636" s="1"/>
    </row>
    <row r="637" spans="4:24" ht="13">
      <c r="D637" s="1"/>
      <c r="H637" s="1"/>
      <c r="L637" s="1"/>
      <c r="P637" s="1"/>
      <c r="T637" s="1"/>
      <c r="X637" s="1"/>
    </row>
    <row r="638" spans="4:24" ht="13">
      <c r="D638" s="1"/>
      <c r="H638" s="1"/>
      <c r="L638" s="1"/>
      <c r="P638" s="1"/>
      <c r="T638" s="1"/>
      <c r="X638" s="1"/>
    </row>
    <row r="639" spans="4:24" ht="13">
      <c r="D639" s="1"/>
      <c r="H639" s="1"/>
      <c r="L639" s="1"/>
      <c r="P639" s="1"/>
      <c r="T639" s="1"/>
      <c r="X639" s="1"/>
    </row>
    <row r="640" spans="4:24" ht="13">
      <c r="D640" s="1"/>
      <c r="H640" s="1"/>
      <c r="L640" s="1"/>
      <c r="P640" s="1"/>
      <c r="T640" s="1"/>
      <c r="X640" s="1"/>
    </row>
    <row r="641" spans="4:24" ht="13">
      <c r="D641" s="1"/>
      <c r="H641" s="1"/>
      <c r="L641" s="1"/>
      <c r="P641" s="1"/>
      <c r="T641" s="1"/>
      <c r="X641" s="1"/>
    </row>
    <row r="642" spans="4:24" ht="13">
      <c r="D642" s="1"/>
      <c r="H642" s="1"/>
      <c r="L642" s="1"/>
      <c r="P642" s="1"/>
      <c r="T642" s="1"/>
      <c r="X642" s="1"/>
    </row>
    <row r="643" spans="4:24" ht="13">
      <c r="D643" s="1"/>
      <c r="H643" s="1"/>
      <c r="L643" s="1"/>
      <c r="P643" s="1"/>
      <c r="T643" s="1"/>
      <c r="X643" s="1"/>
    </row>
    <row r="644" spans="4:24" ht="13">
      <c r="D644" s="1"/>
      <c r="H644" s="1"/>
      <c r="L644" s="1"/>
      <c r="P644" s="1"/>
      <c r="T644" s="1"/>
      <c r="X644" s="1"/>
    </row>
    <row r="645" spans="4:24" ht="13">
      <c r="D645" s="1"/>
      <c r="H645" s="1"/>
      <c r="L645" s="1"/>
      <c r="P645" s="1"/>
      <c r="T645" s="1"/>
      <c r="X645" s="1"/>
    </row>
    <row r="646" spans="4:24" ht="13">
      <c r="D646" s="1"/>
      <c r="H646" s="1"/>
      <c r="L646" s="1"/>
      <c r="P646" s="1"/>
      <c r="T646" s="1"/>
      <c r="X646" s="1"/>
    </row>
    <row r="647" spans="4:24" ht="13">
      <c r="D647" s="1"/>
      <c r="H647" s="1"/>
      <c r="L647" s="1"/>
      <c r="P647" s="1"/>
      <c r="T647" s="1"/>
      <c r="X647" s="1"/>
    </row>
    <row r="648" spans="4:24" ht="13">
      <c r="D648" s="1"/>
      <c r="H648" s="1"/>
      <c r="L648" s="1"/>
      <c r="P648" s="1"/>
      <c r="T648" s="1"/>
      <c r="X648" s="1"/>
    </row>
    <row r="649" spans="4:24" ht="13">
      <c r="D649" s="1"/>
      <c r="H649" s="1"/>
      <c r="L649" s="1"/>
      <c r="P649" s="1"/>
      <c r="T649" s="1"/>
      <c r="X649" s="1"/>
    </row>
    <row r="650" spans="4:24" ht="13">
      <c r="D650" s="1"/>
      <c r="H650" s="1"/>
      <c r="L650" s="1"/>
      <c r="P650" s="1"/>
      <c r="T650" s="1"/>
      <c r="X650" s="1"/>
    </row>
    <row r="651" spans="4:24" ht="13">
      <c r="D651" s="1"/>
      <c r="H651" s="1"/>
      <c r="L651" s="1"/>
      <c r="P651" s="1"/>
      <c r="T651" s="1"/>
      <c r="X651" s="1"/>
    </row>
    <row r="652" spans="4:24" ht="13">
      <c r="D652" s="1"/>
      <c r="H652" s="1"/>
      <c r="L652" s="1"/>
      <c r="P652" s="1"/>
      <c r="T652" s="1"/>
      <c r="X652" s="1"/>
    </row>
    <row r="653" spans="4:24" ht="13">
      <c r="D653" s="1"/>
      <c r="H653" s="1"/>
      <c r="L653" s="1"/>
      <c r="P653" s="1"/>
      <c r="T653" s="1"/>
      <c r="X653" s="1"/>
    </row>
    <row r="654" spans="4:24" ht="13">
      <c r="D654" s="1"/>
      <c r="H654" s="1"/>
      <c r="L654" s="1"/>
      <c r="P654" s="1"/>
      <c r="T654" s="1"/>
      <c r="X654" s="1"/>
    </row>
    <row r="655" spans="4:24" ht="13">
      <c r="D655" s="1"/>
      <c r="H655" s="1"/>
      <c r="L655" s="1"/>
      <c r="P655" s="1"/>
      <c r="T655" s="1"/>
      <c r="X655" s="1"/>
    </row>
    <row r="656" spans="4:24" ht="13">
      <c r="D656" s="1"/>
      <c r="H656" s="1"/>
      <c r="L656" s="1"/>
      <c r="P656" s="1"/>
      <c r="T656" s="1"/>
      <c r="X656" s="1"/>
    </row>
    <row r="657" spans="4:24" ht="13">
      <c r="D657" s="1"/>
      <c r="H657" s="1"/>
      <c r="L657" s="1"/>
      <c r="P657" s="1"/>
      <c r="T657" s="1"/>
      <c r="X657" s="1"/>
    </row>
    <row r="658" spans="4:24" ht="13">
      <c r="D658" s="1"/>
      <c r="H658" s="1"/>
      <c r="L658" s="1"/>
      <c r="P658" s="1"/>
      <c r="T658" s="1"/>
      <c r="X658" s="1"/>
    </row>
    <row r="659" spans="4:24" ht="13">
      <c r="D659" s="1"/>
      <c r="H659" s="1"/>
      <c r="L659" s="1"/>
      <c r="P659" s="1"/>
      <c r="T659" s="1"/>
      <c r="X659" s="1"/>
    </row>
    <row r="660" spans="4:24" ht="13">
      <c r="D660" s="1"/>
      <c r="H660" s="1"/>
      <c r="L660" s="1"/>
      <c r="P660" s="1"/>
      <c r="T660" s="1"/>
      <c r="X660" s="1"/>
    </row>
    <row r="661" spans="4:24" ht="13">
      <c r="D661" s="1"/>
      <c r="H661" s="1"/>
      <c r="L661" s="1"/>
      <c r="P661" s="1"/>
      <c r="T661" s="1"/>
      <c r="X661" s="1"/>
    </row>
    <row r="662" spans="4:24" ht="13">
      <c r="D662" s="1"/>
      <c r="H662" s="1"/>
      <c r="L662" s="1"/>
      <c r="P662" s="1"/>
      <c r="T662" s="1"/>
      <c r="X662" s="1"/>
    </row>
    <row r="663" spans="4:24" ht="13">
      <c r="D663" s="1"/>
      <c r="H663" s="1"/>
      <c r="L663" s="1"/>
      <c r="P663" s="1"/>
      <c r="T663" s="1"/>
      <c r="X663" s="1"/>
    </row>
    <row r="664" spans="4:24" ht="13">
      <c r="D664" s="1"/>
      <c r="H664" s="1"/>
      <c r="L664" s="1"/>
      <c r="P664" s="1"/>
      <c r="T664" s="1"/>
      <c r="X664" s="1"/>
    </row>
    <row r="665" spans="4:24" ht="13">
      <c r="D665" s="1"/>
      <c r="H665" s="1"/>
      <c r="L665" s="1"/>
      <c r="P665" s="1"/>
      <c r="T665" s="1"/>
      <c r="X665" s="1"/>
    </row>
    <row r="666" spans="4:24" ht="13">
      <c r="D666" s="1"/>
      <c r="H666" s="1"/>
      <c r="L666" s="1"/>
      <c r="P666" s="1"/>
      <c r="T666" s="1"/>
      <c r="X666" s="1"/>
    </row>
    <row r="667" spans="4:24" ht="13">
      <c r="D667" s="1"/>
      <c r="H667" s="1"/>
      <c r="L667" s="1"/>
      <c r="P667" s="1"/>
      <c r="T667" s="1"/>
      <c r="X667" s="1"/>
    </row>
    <row r="668" spans="4:24" ht="13">
      <c r="D668" s="1"/>
      <c r="H668" s="1"/>
      <c r="L668" s="1"/>
      <c r="P668" s="1"/>
      <c r="T668" s="1"/>
      <c r="X668" s="1"/>
    </row>
    <row r="669" spans="4:24" ht="13">
      <c r="D669" s="1"/>
      <c r="H669" s="1"/>
      <c r="L669" s="1"/>
      <c r="P669" s="1"/>
      <c r="T669" s="1"/>
      <c r="X669" s="1"/>
    </row>
    <row r="670" spans="4:24" ht="13">
      <c r="D670" s="1"/>
      <c r="H670" s="1"/>
      <c r="L670" s="1"/>
      <c r="P670" s="1"/>
      <c r="T670" s="1"/>
      <c r="X670" s="1"/>
    </row>
    <row r="671" spans="4:24" ht="13">
      <c r="D671" s="1"/>
      <c r="H671" s="1"/>
      <c r="L671" s="1"/>
      <c r="P671" s="1"/>
      <c r="T671" s="1"/>
      <c r="X671" s="1"/>
    </row>
    <row r="672" spans="4:24" ht="13">
      <c r="D672" s="1"/>
      <c r="H672" s="1"/>
      <c r="L672" s="1"/>
      <c r="P672" s="1"/>
      <c r="T672" s="1"/>
      <c r="X672" s="1"/>
    </row>
    <row r="673" spans="4:24" ht="13">
      <c r="D673" s="1"/>
      <c r="H673" s="1"/>
      <c r="L673" s="1"/>
      <c r="P673" s="1"/>
      <c r="T673" s="1"/>
      <c r="X673" s="1"/>
    </row>
    <row r="674" spans="4:24" ht="13">
      <c r="D674" s="1"/>
      <c r="H674" s="1"/>
      <c r="L674" s="1"/>
      <c r="P674" s="1"/>
      <c r="T674" s="1"/>
      <c r="X674" s="1"/>
    </row>
    <row r="675" spans="4:24" ht="13">
      <c r="D675" s="1"/>
      <c r="H675" s="1"/>
      <c r="L675" s="1"/>
      <c r="P675" s="1"/>
      <c r="T675" s="1"/>
      <c r="X675" s="1"/>
    </row>
    <row r="676" spans="4:24" ht="13">
      <c r="D676" s="1"/>
      <c r="H676" s="1"/>
      <c r="L676" s="1"/>
      <c r="P676" s="1"/>
      <c r="T676" s="1"/>
      <c r="X676" s="1"/>
    </row>
    <row r="677" spans="4:24" ht="13">
      <c r="D677" s="1"/>
      <c r="H677" s="1"/>
      <c r="L677" s="1"/>
      <c r="P677" s="1"/>
      <c r="T677" s="1"/>
      <c r="X677" s="1"/>
    </row>
    <row r="678" spans="4:24" ht="13">
      <c r="D678" s="1"/>
      <c r="H678" s="1"/>
      <c r="L678" s="1"/>
      <c r="P678" s="1"/>
      <c r="T678" s="1"/>
      <c r="X678" s="1"/>
    </row>
    <row r="679" spans="4:24" ht="13">
      <c r="D679" s="1"/>
      <c r="H679" s="1"/>
      <c r="L679" s="1"/>
      <c r="P679" s="1"/>
      <c r="T679" s="1"/>
      <c r="X679" s="1"/>
    </row>
    <row r="680" spans="4:24" ht="13">
      <c r="D680" s="1"/>
      <c r="H680" s="1"/>
      <c r="L680" s="1"/>
      <c r="P680" s="1"/>
      <c r="T680" s="1"/>
      <c r="X680" s="1"/>
    </row>
    <row r="681" spans="4:24" ht="13">
      <c r="D681" s="1"/>
      <c r="H681" s="1"/>
      <c r="L681" s="1"/>
      <c r="P681" s="1"/>
      <c r="T681" s="1"/>
      <c r="X681" s="1"/>
    </row>
    <row r="682" spans="4:24" ht="13">
      <c r="D682" s="1"/>
      <c r="H682" s="1"/>
      <c r="L682" s="1"/>
      <c r="P682" s="1"/>
      <c r="T682" s="1"/>
      <c r="X682" s="1"/>
    </row>
    <row r="683" spans="4:24" ht="13">
      <c r="D683" s="1"/>
      <c r="H683" s="1"/>
      <c r="L683" s="1"/>
      <c r="P683" s="1"/>
      <c r="T683" s="1"/>
      <c r="X683" s="1"/>
    </row>
    <row r="684" spans="4:24" ht="13">
      <c r="D684" s="1"/>
      <c r="H684" s="1"/>
      <c r="L684" s="1"/>
      <c r="P684" s="1"/>
      <c r="T684" s="1"/>
      <c r="X684" s="1"/>
    </row>
    <row r="685" spans="4:24" ht="13">
      <c r="D685" s="1"/>
      <c r="H685" s="1"/>
      <c r="L685" s="1"/>
      <c r="P685" s="1"/>
      <c r="T685" s="1"/>
      <c r="X685" s="1"/>
    </row>
    <row r="686" spans="4:24" ht="13">
      <c r="D686" s="1"/>
      <c r="H686" s="1"/>
      <c r="L686" s="1"/>
      <c r="P686" s="1"/>
      <c r="T686" s="1"/>
      <c r="X686" s="1"/>
    </row>
    <row r="687" spans="4:24" ht="13">
      <c r="D687" s="1"/>
      <c r="H687" s="1"/>
      <c r="L687" s="1"/>
      <c r="P687" s="1"/>
      <c r="T687" s="1"/>
      <c r="X687" s="1"/>
    </row>
    <row r="688" spans="4:24" ht="13">
      <c r="D688" s="1"/>
      <c r="H688" s="1"/>
      <c r="L688" s="1"/>
      <c r="P688" s="1"/>
      <c r="T688" s="1"/>
      <c r="X688" s="1"/>
    </row>
    <row r="689" spans="4:24" ht="13">
      <c r="D689" s="1"/>
      <c r="H689" s="1"/>
      <c r="L689" s="1"/>
      <c r="P689" s="1"/>
      <c r="T689" s="1"/>
      <c r="X689" s="1"/>
    </row>
    <row r="690" spans="4:24" ht="13">
      <c r="D690" s="1"/>
      <c r="H690" s="1"/>
      <c r="L690" s="1"/>
      <c r="P690" s="1"/>
      <c r="T690" s="1"/>
      <c r="X690" s="1"/>
    </row>
    <row r="691" spans="4:24" ht="13">
      <c r="D691" s="1"/>
      <c r="H691" s="1"/>
      <c r="L691" s="1"/>
      <c r="P691" s="1"/>
      <c r="T691" s="1"/>
      <c r="X691" s="1"/>
    </row>
    <row r="692" spans="4:24" ht="13">
      <c r="D692" s="1"/>
      <c r="H692" s="1"/>
      <c r="L692" s="1"/>
      <c r="P692" s="1"/>
      <c r="T692" s="1"/>
      <c r="X692" s="1"/>
    </row>
    <row r="693" spans="4:24" ht="13">
      <c r="D693" s="1"/>
      <c r="H693" s="1"/>
      <c r="L693" s="1"/>
      <c r="P693" s="1"/>
      <c r="T693" s="1"/>
      <c r="X693" s="1"/>
    </row>
    <row r="694" spans="4:24" ht="13">
      <c r="D694" s="1"/>
      <c r="H694" s="1"/>
      <c r="L694" s="1"/>
      <c r="P694" s="1"/>
      <c r="T694" s="1"/>
      <c r="X694" s="1"/>
    </row>
    <row r="695" spans="4:24" ht="13">
      <c r="D695" s="1"/>
      <c r="H695" s="1"/>
      <c r="L695" s="1"/>
      <c r="P695" s="1"/>
      <c r="T695" s="1"/>
      <c r="X695" s="1"/>
    </row>
    <row r="696" spans="4:24" ht="13">
      <c r="D696" s="1"/>
      <c r="H696" s="1"/>
      <c r="L696" s="1"/>
      <c r="P696" s="1"/>
      <c r="T696" s="1"/>
      <c r="X696" s="1"/>
    </row>
    <row r="697" spans="4:24" ht="13">
      <c r="D697" s="1"/>
      <c r="H697" s="1"/>
      <c r="L697" s="1"/>
      <c r="P697" s="1"/>
      <c r="T697" s="1"/>
      <c r="X697" s="1"/>
    </row>
    <row r="698" spans="4:24" ht="13">
      <c r="D698" s="1"/>
      <c r="H698" s="1"/>
      <c r="L698" s="1"/>
      <c r="P698" s="1"/>
      <c r="T698" s="1"/>
      <c r="X698" s="1"/>
    </row>
    <row r="699" spans="4:24" ht="13">
      <c r="D699" s="1"/>
      <c r="H699" s="1"/>
      <c r="L699" s="1"/>
      <c r="P699" s="1"/>
      <c r="T699" s="1"/>
      <c r="X699" s="1"/>
    </row>
    <row r="700" spans="4:24" ht="13">
      <c r="D700" s="1"/>
      <c r="H700" s="1"/>
      <c r="L700" s="1"/>
      <c r="P700" s="1"/>
      <c r="T700" s="1"/>
      <c r="X700" s="1"/>
    </row>
    <row r="701" spans="4:24" ht="13">
      <c r="D701" s="1"/>
      <c r="H701" s="1"/>
      <c r="L701" s="1"/>
      <c r="P701" s="1"/>
      <c r="T701" s="1"/>
      <c r="X701" s="1"/>
    </row>
    <row r="702" spans="4:24" ht="13">
      <c r="D702" s="1"/>
      <c r="H702" s="1"/>
      <c r="L702" s="1"/>
      <c r="P702" s="1"/>
      <c r="T702" s="1"/>
      <c r="X702" s="1"/>
    </row>
    <row r="703" spans="4:24" ht="13">
      <c r="D703" s="1"/>
      <c r="H703" s="1"/>
      <c r="L703" s="1"/>
      <c r="P703" s="1"/>
      <c r="T703" s="1"/>
      <c r="X703" s="1"/>
    </row>
    <row r="704" spans="4:24" ht="13">
      <c r="D704" s="1"/>
      <c r="H704" s="1"/>
      <c r="L704" s="1"/>
      <c r="P704" s="1"/>
      <c r="T704" s="1"/>
      <c r="X704" s="1"/>
    </row>
    <row r="705" spans="4:24" ht="13">
      <c r="D705" s="1"/>
      <c r="H705" s="1"/>
      <c r="L705" s="1"/>
      <c r="P705" s="1"/>
      <c r="T705" s="1"/>
      <c r="X705" s="1"/>
    </row>
    <row r="706" spans="4:24" ht="13">
      <c r="D706" s="1"/>
      <c r="H706" s="1"/>
      <c r="L706" s="1"/>
      <c r="P706" s="1"/>
      <c r="T706" s="1"/>
      <c r="X706" s="1"/>
    </row>
    <row r="707" spans="4:24" ht="13">
      <c r="D707" s="1"/>
      <c r="H707" s="1"/>
      <c r="L707" s="1"/>
      <c r="P707" s="1"/>
      <c r="T707" s="1"/>
      <c r="X707" s="1"/>
    </row>
    <row r="708" spans="4:24" ht="13">
      <c r="D708" s="1"/>
      <c r="H708" s="1"/>
      <c r="L708" s="1"/>
      <c r="P708" s="1"/>
      <c r="T708" s="1"/>
      <c r="X708" s="1"/>
    </row>
    <row r="709" spans="4:24" ht="13">
      <c r="D709" s="1"/>
      <c r="H709" s="1"/>
      <c r="L709" s="1"/>
      <c r="P709" s="1"/>
      <c r="T709" s="1"/>
      <c r="X709" s="1"/>
    </row>
    <row r="710" spans="4:24" ht="13">
      <c r="D710" s="1"/>
      <c r="H710" s="1"/>
      <c r="L710" s="1"/>
      <c r="P710" s="1"/>
      <c r="T710" s="1"/>
      <c r="X710" s="1"/>
    </row>
    <row r="711" spans="4:24" ht="13">
      <c r="D711" s="1"/>
      <c r="H711" s="1"/>
      <c r="L711" s="1"/>
      <c r="P711" s="1"/>
      <c r="T711" s="1"/>
      <c r="X711" s="1"/>
    </row>
    <row r="712" spans="4:24" ht="13">
      <c r="D712" s="1"/>
      <c r="H712" s="1"/>
      <c r="L712" s="1"/>
      <c r="P712" s="1"/>
      <c r="T712" s="1"/>
      <c r="X712" s="1"/>
    </row>
    <row r="713" spans="4:24" ht="13">
      <c r="D713" s="1"/>
      <c r="H713" s="1"/>
      <c r="L713" s="1"/>
      <c r="P713" s="1"/>
      <c r="T713" s="1"/>
      <c r="X713" s="1"/>
    </row>
    <row r="714" spans="4:24" ht="13">
      <c r="D714" s="1"/>
      <c r="H714" s="1"/>
      <c r="L714" s="1"/>
      <c r="P714" s="1"/>
      <c r="T714" s="1"/>
      <c r="X714" s="1"/>
    </row>
    <row r="715" spans="4:24" ht="13">
      <c r="D715" s="1"/>
      <c r="H715" s="1"/>
      <c r="L715" s="1"/>
      <c r="P715" s="1"/>
      <c r="T715" s="1"/>
      <c r="X715" s="1"/>
    </row>
    <row r="716" spans="4:24" ht="13">
      <c r="D716" s="1"/>
      <c r="H716" s="1"/>
      <c r="L716" s="1"/>
      <c r="P716" s="1"/>
      <c r="T716" s="1"/>
      <c r="X716" s="1"/>
    </row>
    <row r="717" spans="4:24" ht="13">
      <c r="D717" s="1"/>
      <c r="H717" s="1"/>
      <c r="L717" s="1"/>
      <c r="P717" s="1"/>
      <c r="T717" s="1"/>
      <c r="X717" s="1"/>
    </row>
    <row r="718" spans="4:24" ht="13">
      <c r="D718" s="1"/>
      <c r="H718" s="1"/>
      <c r="L718" s="1"/>
      <c r="P718" s="1"/>
      <c r="T718" s="1"/>
      <c r="X718" s="1"/>
    </row>
    <row r="719" spans="4:24" ht="13">
      <c r="D719" s="1"/>
      <c r="H719" s="1"/>
      <c r="L719" s="1"/>
      <c r="P719" s="1"/>
      <c r="T719" s="1"/>
      <c r="X719" s="1"/>
    </row>
    <row r="720" spans="4:24" ht="13">
      <c r="D720" s="1"/>
      <c r="H720" s="1"/>
      <c r="L720" s="1"/>
      <c r="P720" s="1"/>
      <c r="T720" s="1"/>
      <c r="X720" s="1"/>
    </row>
    <row r="721" spans="4:24" ht="13">
      <c r="D721" s="1"/>
      <c r="H721" s="1"/>
      <c r="L721" s="1"/>
      <c r="P721" s="1"/>
      <c r="T721" s="1"/>
      <c r="X721" s="1"/>
    </row>
    <row r="722" spans="4:24" ht="13">
      <c r="D722" s="1"/>
      <c r="H722" s="1"/>
      <c r="L722" s="1"/>
      <c r="P722" s="1"/>
      <c r="T722" s="1"/>
      <c r="X722" s="1"/>
    </row>
    <row r="723" spans="4:24" ht="13">
      <c r="D723" s="1"/>
      <c r="H723" s="1"/>
      <c r="L723" s="1"/>
      <c r="P723" s="1"/>
      <c r="T723" s="1"/>
      <c r="X723" s="1"/>
    </row>
    <row r="724" spans="4:24" ht="13">
      <c r="D724" s="1"/>
      <c r="H724" s="1"/>
      <c r="L724" s="1"/>
      <c r="P724" s="1"/>
      <c r="T724" s="1"/>
      <c r="X724" s="1"/>
    </row>
    <row r="725" spans="4:24" ht="13">
      <c r="D725" s="1"/>
      <c r="H725" s="1"/>
      <c r="L725" s="1"/>
      <c r="P725" s="1"/>
      <c r="T725" s="1"/>
      <c r="X725" s="1"/>
    </row>
    <row r="726" spans="4:24" ht="13">
      <c r="D726" s="1"/>
      <c r="H726" s="1"/>
      <c r="L726" s="1"/>
      <c r="P726" s="1"/>
      <c r="T726" s="1"/>
      <c r="X726" s="1"/>
    </row>
    <row r="727" spans="4:24" ht="13">
      <c r="D727" s="1"/>
      <c r="H727" s="1"/>
      <c r="L727" s="1"/>
      <c r="P727" s="1"/>
      <c r="T727" s="1"/>
      <c r="X727" s="1"/>
    </row>
    <row r="728" spans="4:24" ht="13">
      <c r="D728" s="1"/>
      <c r="H728" s="1"/>
      <c r="L728" s="1"/>
      <c r="P728" s="1"/>
      <c r="T728" s="1"/>
      <c r="X728" s="1"/>
    </row>
    <row r="729" spans="4:24" ht="13">
      <c r="D729" s="1"/>
      <c r="H729" s="1"/>
      <c r="L729" s="1"/>
      <c r="P729" s="1"/>
      <c r="T729" s="1"/>
      <c r="X729" s="1"/>
    </row>
    <row r="730" spans="4:24" ht="13">
      <c r="D730" s="1"/>
      <c r="H730" s="1"/>
      <c r="L730" s="1"/>
      <c r="P730" s="1"/>
      <c r="T730" s="1"/>
      <c r="X730" s="1"/>
    </row>
    <row r="731" spans="4:24" ht="13">
      <c r="D731" s="1"/>
      <c r="H731" s="1"/>
      <c r="L731" s="1"/>
      <c r="P731" s="1"/>
      <c r="T731" s="1"/>
      <c r="X731" s="1"/>
    </row>
    <row r="732" spans="4:24" ht="13">
      <c r="D732" s="1"/>
      <c r="H732" s="1"/>
      <c r="L732" s="1"/>
      <c r="P732" s="1"/>
      <c r="T732" s="1"/>
      <c r="X732" s="1"/>
    </row>
    <row r="733" spans="4:24" ht="13">
      <c r="D733" s="1"/>
      <c r="H733" s="1"/>
      <c r="L733" s="1"/>
      <c r="P733" s="1"/>
      <c r="T733" s="1"/>
      <c r="X733" s="1"/>
    </row>
    <row r="734" spans="4:24" ht="13">
      <c r="D734" s="1"/>
      <c r="H734" s="1"/>
      <c r="L734" s="1"/>
      <c r="P734" s="1"/>
      <c r="T734" s="1"/>
      <c r="X734" s="1"/>
    </row>
    <row r="735" spans="4:24" ht="13">
      <c r="D735" s="1"/>
      <c r="H735" s="1"/>
      <c r="L735" s="1"/>
      <c r="P735" s="1"/>
      <c r="T735" s="1"/>
      <c r="X735" s="1"/>
    </row>
    <row r="736" spans="4:24" ht="13">
      <c r="D736" s="1"/>
      <c r="H736" s="1"/>
      <c r="L736" s="1"/>
      <c r="P736" s="1"/>
      <c r="T736" s="1"/>
      <c r="X736" s="1"/>
    </row>
    <row r="737" spans="4:24" ht="13">
      <c r="D737" s="1"/>
      <c r="H737" s="1"/>
      <c r="L737" s="1"/>
      <c r="P737" s="1"/>
      <c r="T737" s="1"/>
      <c r="X737" s="1"/>
    </row>
    <row r="738" spans="4:24" ht="13">
      <c r="D738" s="1"/>
      <c r="H738" s="1"/>
      <c r="L738" s="1"/>
      <c r="P738" s="1"/>
      <c r="T738" s="1"/>
      <c r="X738" s="1"/>
    </row>
    <row r="739" spans="4:24" ht="13">
      <c r="D739" s="1"/>
      <c r="H739" s="1"/>
      <c r="L739" s="1"/>
      <c r="P739" s="1"/>
      <c r="T739" s="1"/>
      <c r="X739" s="1"/>
    </row>
    <row r="740" spans="4:24" ht="13">
      <c r="D740" s="1"/>
      <c r="H740" s="1"/>
      <c r="L740" s="1"/>
      <c r="P740" s="1"/>
      <c r="T740" s="1"/>
      <c r="X740" s="1"/>
    </row>
    <row r="741" spans="4:24" ht="13">
      <c r="D741" s="1"/>
      <c r="H741" s="1"/>
      <c r="L741" s="1"/>
      <c r="P741" s="1"/>
      <c r="T741" s="1"/>
      <c r="X741" s="1"/>
    </row>
    <row r="742" spans="4:24" ht="13">
      <c r="D742" s="1"/>
      <c r="H742" s="1"/>
      <c r="L742" s="1"/>
      <c r="P742" s="1"/>
      <c r="T742" s="1"/>
      <c r="X742" s="1"/>
    </row>
    <row r="743" spans="4:24" ht="13">
      <c r="D743" s="1"/>
      <c r="H743" s="1"/>
      <c r="L743" s="1"/>
      <c r="P743" s="1"/>
      <c r="T743" s="1"/>
      <c r="X743" s="1"/>
    </row>
    <row r="744" spans="4:24" ht="13">
      <c r="D744" s="1"/>
      <c r="H744" s="1"/>
      <c r="L744" s="1"/>
      <c r="P744" s="1"/>
      <c r="T744" s="1"/>
      <c r="X744" s="1"/>
    </row>
    <row r="745" spans="4:24" ht="13">
      <c r="D745" s="1"/>
      <c r="H745" s="1"/>
      <c r="L745" s="1"/>
      <c r="P745" s="1"/>
      <c r="T745" s="1"/>
      <c r="X745" s="1"/>
    </row>
    <row r="746" spans="4:24" ht="13">
      <c r="D746" s="1"/>
      <c r="H746" s="1"/>
      <c r="L746" s="1"/>
      <c r="P746" s="1"/>
      <c r="T746" s="1"/>
      <c r="X746" s="1"/>
    </row>
    <row r="747" spans="4:24" ht="13">
      <c r="D747" s="1"/>
      <c r="H747" s="1"/>
      <c r="L747" s="1"/>
      <c r="P747" s="1"/>
      <c r="T747" s="1"/>
      <c r="X747" s="1"/>
    </row>
    <row r="748" spans="4:24" ht="13">
      <c r="D748" s="1"/>
      <c r="H748" s="1"/>
      <c r="L748" s="1"/>
      <c r="P748" s="1"/>
      <c r="T748" s="1"/>
      <c r="X748" s="1"/>
    </row>
    <row r="749" spans="4:24" ht="13">
      <c r="D749" s="1"/>
      <c r="H749" s="1"/>
      <c r="L749" s="1"/>
      <c r="P749" s="1"/>
      <c r="T749" s="1"/>
      <c r="X749" s="1"/>
    </row>
    <row r="750" spans="4:24" ht="13">
      <c r="D750" s="1"/>
      <c r="H750" s="1"/>
      <c r="L750" s="1"/>
      <c r="P750" s="1"/>
      <c r="T750" s="1"/>
      <c r="X750" s="1"/>
    </row>
    <row r="751" spans="4:24" ht="13">
      <c r="D751" s="1"/>
      <c r="H751" s="1"/>
      <c r="L751" s="1"/>
      <c r="P751" s="1"/>
      <c r="T751" s="1"/>
      <c r="X751" s="1"/>
    </row>
    <row r="752" spans="4:24" ht="13">
      <c r="D752" s="1"/>
      <c r="H752" s="1"/>
      <c r="L752" s="1"/>
      <c r="P752" s="1"/>
      <c r="T752" s="1"/>
      <c r="X752" s="1"/>
    </row>
    <row r="753" spans="4:24" ht="13">
      <c r="D753" s="1"/>
      <c r="H753" s="1"/>
      <c r="L753" s="1"/>
      <c r="P753" s="1"/>
      <c r="T753" s="1"/>
      <c r="X753" s="1"/>
    </row>
    <row r="754" spans="4:24" ht="13">
      <c r="D754" s="1"/>
      <c r="H754" s="1"/>
      <c r="L754" s="1"/>
      <c r="P754" s="1"/>
      <c r="T754" s="1"/>
      <c r="X754" s="1"/>
    </row>
    <row r="755" spans="4:24" ht="13">
      <c r="D755" s="1"/>
      <c r="H755" s="1"/>
      <c r="L755" s="1"/>
      <c r="P755" s="1"/>
      <c r="T755" s="1"/>
      <c r="X755" s="1"/>
    </row>
    <row r="756" spans="4:24" ht="13">
      <c r="D756" s="1"/>
      <c r="H756" s="1"/>
      <c r="L756" s="1"/>
      <c r="P756" s="1"/>
      <c r="T756" s="1"/>
      <c r="X756" s="1"/>
    </row>
    <row r="757" spans="4:24" ht="13">
      <c r="D757" s="1"/>
      <c r="H757" s="1"/>
      <c r="L757" s="1"/>
      <c r="P757" s="1"/>
      <c r="T757" s="1"/>
      <c r="X757" s="1"/>
    </row>
    <row r="758" spans="4:24" ht="13">
      <c r="D758" s="1"/>
      <c r="H758" s="1"/>
      <c r="L758" s="1"/>
      <c r="P758" s="1"/>
      <c r="T758" s="1"/>
      <c r="X758" s="1"/>
    </row>
    <row r="759" spans="4:24" ht="13">
      <c r="D759" s="1"/>
      <c r="H759" s="1"/>
      <c r="L759" s="1"/>
      <c r="P759" s="1"/>
      <c r="T759" s="1"/>
      <c r="X759" s="1"/>
    </row>
    <row r="760" spans="4:24" ht="13">
      <c r="D760" s="1"/>
      <c r="H760" s="1"/>
      <c r="L760" s="1"/>
      <c r="P760" s="1"/>
      <c r="T760" s="1"/>
      <c r="X760" s="1"/>
    </row>
    <row r="761" spans="4:24" ht="13">
      <c r="D761" s="1"/>
      <c r="H761" s="1"/>
      <c r="L761" s="1"/>
      <c r="P761" s="1"/>
      <c r="T761" s="1"/>
      <c r="X761" s="1"/>
    </row>
    <row r="762" spans="4:24" ht="13">
      <c r="D762" s="1"/>
      <c r="H762" s="1"/>
      <c r="L762" s="1"/>
      <c r="P762" s="1"/>
      <c r="T762" s="1"/>
      <c r="X762" s="1"/>
    </row>
    <row r="763" spans="4:24" ht="13">
      <c r="D763" s="1"/>
      <c r="H763" s="1"/>
      <c r="L763" s="1"/>
      <c r="P763" s="1"/>
      <c r="T763" s="1"/>
      <c r="X763" s="1"/>
    </row>
    <row r="764" spans="4:24" ht="13">
      <c r="D764" s="1"/>
      <c r="H764" s="1"/>
      <c r="L764" s="1"/>
      <c r="P764" s="1"/>
      <c r="T764" s="1"/>
      <c r="X764" s="1"/>
    </row>
    <row r="765" spans="4:24" ht="13">
      <c r="D765" s="1"/>
      <c r="H765" s="1"/>
      <c r="L765" s="1"/>
      <c r="P765" s="1"/>
      <c r="T765" s="1"/>
      <c r="X765" s="1"/>
    </row>
    <row r="766" spans="4:24" ht="13">
      <c r="D766" s="1"/>
      <c r="H766" s="1"/>
      <c r="L766" s="1"/>
      <c r="P766" s="1"/>
      <c r="T766" s="1"/>
      <c r="X766" s="1"/>
    </row>
    <row r="767" spans="4:24" ht="13">
      <c r="D767" s="1"/>
      <c r="H767" s="1"/>
      <c r="L767" s="1"/>
      <c r="P767" s="1"/>
      <c r="T767" s="1"/>
      <c r="X767" s="1"/>
    </row>
    <row r="768" spans="4:24" ht="13">
      <c r="D768" s="1"/>
      <c r="H768" s="1"/>
      <c r="L768" s="1"/>
      <c r="P768" s="1"/>
      <c r="T768" s="1"/>
      <c r="X768" s="1"/>
    </row>
    <row r="769" spans="4:24" ht="13">
      <c r="D769" s="1"/>
      <c r="H769" s="1"/>
      <c r="L769" s="1"/>
      <c r="P769" s="1"/>
      <c r="T769" s="1"/>
      <c r="X769" s="1"/>
    </row>
    <row r="770" spans="4:24" ht="13">
      <c r="D770" s="1"/>
      <c r="H770" s="1"/>
      <c r="L770" s="1"/>
      <c r="P770" s="1"/>
      <c r="T770" s="1"/>
      <c r="X770" s="1"/>
    </row>
    <row r="771" spans="4:24" ht="13">
      <c r="D771" s="1"/>
      <c r="H771" s="1"/>
      <c r="L771" s="1"/>
      <c r="P771" s="1"/>
      <c r="T771" s="1"/>
      <c r="X771" s="1"/>
    </row>
    <row r="772" spans="4:24" ht="13">
      <c r="D772" s="1"/>
      <c r="H772" s="1"/>
      <c r="L772" s="1"/>
      <c r="P772" s="1"/>
      <c r="T772" s="1"/>
      <c r="X772" s="1"/>
    </row>
    <row r="773" spans="4:24" ht="13">
      <c r="D773" s="1"/>
      <c r="H773" s="1"/>
      <c r="L773" s="1"/>
      <c r="P773" s="1"/>
      <c r="T773" s="1"/>
      <c r="X773" s="1"/>
    </row>
    <row r="774" spans="4:24" ht="13">
      <c r="D774" s="1"/>
      <c r="H774" s="1"/>
      <c r="L774" s="1"/>
      <c r="P774" s="1"/>
      <c r="T774" s="1"/>
      <c r="X774" s="1"/>
    </row>
    <row r="775" spans="4:24" ht="13">
      <c r="D775" s="1"/>
      <c r="H775" s="1"/>
      <c r="L775" s="1"/>
      <c r="P775" s="1"/>
      <c r="T775" s="1"/>
      <c r="X775" s="1"/>
    </row>
    <row r="776" spans="4:24" ht="13">
      <c r="D776" s="1"/>
      <c r="H776" s="1"/>
      <c r="L776" s="1"/>
      <c r="P776" s="1"/>
      <c r="T776" s="1"/>
      <c r="X776" s="1"/>
    </row>
    <row r="777" spans="4:24" ht="13">
      <c r="D777" s="1"/>
      <c r="H777" s="1"/>
      <c r="L777" s="1"/>
      <c r="P777" s="1"/>
      <c r="T777" s="1"/>
      <c r="X777" s="1"/>
    </row>
    <row r="778" spans="4:24" ht="13">
      <c r="D778" s="1"/>
      <c r="H778" s="1"/>
      <c r="L778" s="1"/>
      <c r="P778" s="1"/>
      <c r="T778" s="1"/>
      <c r="X778" s="1"/>
    </row>
    <row r="779" spans="4:24" ht="13">
      <c r="D779" s="1"/>
      <c r="H779" s="1"/>
      <c r="L779" s="1"/>
      <c r="P779" s="1"/>
      <c r="T779" s="1"/>
      <c r="X779" s="1"/>
    </row>
    <row r="780" spans="4:24" ht="13">
      <c r="D780" s="1"/>
      <c r="H780" s="1"/>
      <c r="L780" s="1"/>
      <c r="P780" s="1"/>
      <c r="T780" s="1"/>
      <c r="X780" s="1"/>
    </row>
    <row r="781" spans="4:24" ht="13">
      <c r="D781" s="1"/>
      <c r="H781" s="1"/>
      <c r="L781" s="1"/>
      <c r="P781" s="1"/>
      <c r="T781" s="1"/>
      <c r="X781" s="1"/>
    </row>
    <row r="782" spans="4:24" ht="13">
      <c r="D782" s="1"/>
      <c r="H782" s="1"/>
      <c r="L782" s="1"/>
      <c r="P782" s="1"/>
      <c r="T782" s="1"/>
      <c r="X782" s="1"/>
    </row>
    <row r="783" spans="4:24" ht="13">
      <c r="D783" s="1"/>
      <c r="H783" s="1"/>
      <c r="L783" s="1"/>
      <c r="P783" s="1"/>
      <c r="T783" s="1"/>
      <c r="X783" s="1"/>
    </row>
    <row r="784" spans="4:24" ht="13">
      <c r="D784" s="1"/>
      <c r="H784" s="1"/>
      <c r="L784" s="1"/>
      <c r="P784" s="1"/>
      <c r="T784" s="1"/>
      <c r="X784" s="1"/>
    </row>
    <row r="785" spans="4:24" ht="13">
      <c r="D785" s="1"/>
      <c r="H785" s="1"/>
      <c r="L785" s="1"/>
      <c r="P785" s="1"/>
      <c r="T785" s="1"/>
      <c r="X785" s="1"/>
    </row>
    <row r="786" spans="4:24" ht="13">
      <c r="D786" s="1"/>
      <c r="H786" s="1"/>
      <c r="L786" s="1"/>
      <c r="P786" s="1"/>
      <c r="T786" s="1"/>
      <c r="X786" s="1"/>
    </row>
    <row r="787" spans="4:24" ht="13">
      <c r="D787" s="1"/>
      <c r="H787" s="1"/>
      <c r="L787" s="1"/>
      <c r="P787" s="1"/>
      <c r="T787" s="1"/>
      <c r="X787" s="1"/>
    </row>
    <row r="788" spans="4:24" ht="13">
      <c r="D788" s="1"/>
      <c r="H788" s="1"/>
      <c r="L788" s="1"/>
      <c r="P788" s="1"/>
      <c r="T788" s="1"/>
      <c r="X788" s="1"/>
    </row>
    <row r="789" spans="4:24" ht="13">
      <c r="D789" s="1"/>
      <c r="H789" s="1"/>
      <c r="L789" s="1"/>
      <c r="P789" s="1"/>
      <c r="T789" s="1"/>
      <c r="X789" s="1"/>
    </row>
    <row r="790" spans="4:24" ht="13">
      <c r="D790" s="1"/>
      <c r="H790" s="1"/>
      <c r="L790" s="1"/>
      <c r="P790" s="1"/>
      <c r="T790" s="1"/>
      <c r="X790" s="1"/>
    </row>
    <row r="791" spans="4:24" ht="13">
      <c r="D791" s="1"/>
      <c r="H791" s="1"/>
      <c r="L791" s="1"/>
      <c r="P791" s="1"/>
      <c r="T791" s="1"/>
      <c r="X791" s="1"/>
    </row>
    <row r="792" spans="4:24" ht="13">
      <c r="D792" s="1"/>
      <c r="H792" s="1"/>
      <c r="L792" s="1"/>
      <c r="P792" s="1"/>
      <c r="T792" s="1"/>
      <c r="X792" s="1"/>
    </row>
    <row r="793" spans="4:24" ht="13">
      <c r="D793" s="1"/>
      <c r="H793" s="1"/>
      <c r="L793" s="1"/>
      <c r="P793" s="1"/>
      <c r="T793" s="1"/>
      <c r="X793" s="1"/>
    </row>
    <row r="794" spans="4:24" ht="13">
      <c r="D794" s="1"/>
      <c r="H794" s="1"/>
      <c r="L794" s="1"/>
      <c r="P794" s="1"/>
      <c r="T794" s="1"/>
      <c r="X794" s="1"/>
    </row>
    <row r="795" spans="4:24" ht="13">
      <c r="D795" s="1"/>
      <c r="H795" s="1"/>
      <c r="L795" s="1"/>
      <c r="P795" s="1"/>
      <c r="T795" s="1"/>
      <c r="X795" s="1"/>
    </row>
    <row r="796" spans="4:24" ht="13">
      <c r="D796" s="1"/>
      <c r="H796" s="1"/>
      <c r="L796" s="1"/>
      <c r="P796" s="1"/>
      <c r="T796" s="1"/>
      <c r="X796" s="1"/>
    </row>
    <row r="797" spans="4:24" ht="13">
      <c r="D797" s="1"/>
      <c r="H797" s="1"/>
      <c r="L797" s="1"/>
      <c r="P797" s="1"/>
      <c r="T797" s="1"/>
      <c r="X797" s="1"/>
    </row>
    <row r="798" spans="4:24" ht="13">
      <c r="D798" s="1"/>
      <c r="H798" s="1"/>
      <c r="L798" s="1"/>
      <c r="P798" s="1"/>
      <c r="T798" s="1"/>
      <c r="X798" s="1"/>
    </row>
    <row r="799" spans="4:24" ht="13">
      <c r="D799" s="1"/>
      <c r="H799" s="1"/>
      <c r="L799" s="1"/>
      <c r="P799" s="1"/>
      <c r="T799" s="1"/>
      <c r="X799" s="1"/>
    </row>
    <row r="800" spans="4:24" ht="13">
      <c r="D800" s="1"/>
      <c r="H800" s="1"/>
      <c r="L800" s="1"/>
      <c r="P800" s="1"/>
      <c r="T800" s="1"/>
      <c r="X800" s="1"/>
    </row>
    <row r="801" spans="4:24" ht="13">
      <c r="D801" s="1"/>
      <c r="H801" s="1"/>
      <c r="L801" s="1"/>
      <c r="P801" s="1"/>
      <c r="T801" s="1"/>
      <c r="X801" s="1"/>
    </row>
    <row r="802" spans="4:24" ht="13">
      <c r="D802" s="1"/>
      <c r="H802" s="1"/>
      <c r="L802" s="1"/>
      <c r="P802" s="1"/>
      <c r="T802" s="1"/>
      <c r="X802" s="1"/>
    </row>
    <row r="803" spans="4:24" ht="13">
      <c r="D803" s="1"/>
      <c r="H803" s="1"/>
      <c r="L803" s="1"/>
      <c r="P803" s="1"/>
      <c r="T803" s="1"/>
      <c r="X803" s="1"/>
    </row>
    <row r="804" spans="4:24" ht="13">
      <c r="D804" s="1"/>
      <c r="H804" s="1"/>
      <c r="L804" s="1"/>
      <c r="P804" s="1"/>
      <c r="T804" s="1"/>
      <c r="X804" s="1"/>
    </row>
    <row r="805" spans="4:24" ht="13">
      <c r="D805" s="1"/>
      <c r="H805" s="1"/>
      <c r="L805" s="1"/>
      <c r="P805" s="1"/>
      <c r="T805" s="1"/>
      <c r="X805" s="1"/>
    </row>
    <row r="806" spans="4:24" ht="13">
      <c r="D806" s="1"/>
      <c r="H806" s="1"/>
      <c r="L806" s="1"/>
      <c r="P806" s="1"/>
      <c r="T806" s="1"/>
      <c r="X806" s="1"/>
    </row>
    <row r="807" spans="4:24" ht="13">
      <c r="D807" s="1"/>
      <c r="H807" s="1"/>
      <c r="L807" s="1"/>
      <c r="P807" s="1"/>
      <c r="T807" s="1"/>
      <c r="X807" s="1"/>
    </row>
    <row r="808" spans="4:24" ht="13">
      <c r="D808" s="1"/>
      <c r="H808" s="1"/>
      <c r="L808" s="1"/>
      <c r="P808" s="1"/>
      <c r="T808" s="1"/>
      <c r="X808" s="1"/>
    </row>
    <row r="809" spans="4:24" ht="13">
      <c r="D809" s="1"/>
      <c r="H809" s="1"/>
      <c r="L809" s="1"/>
      <c r="P809" s="1"/>
      <c r="T809" s="1"/>
      <c r="X809" s="1"/>
    </row>
    <row r="810" spans="4:24" ht="13">
      <c r="D810" s="1"/>
      <c r="H810" s="1"/>
      <c r="L810" s="1"/>
      <c r="P810" s="1"/>
      <c r="T810" s="1"/>
      <c r="X810" s="1"/>
    </row>
    <row r="811" spans="4:24" ht="13">
      <c r="D811" s="1"/>
      <c r="H811" s="1"/>
      <c r="L811" s="1"/>
      <c r="P811" s="1"/>
      <c r="T811" s="1"/>
      <c r="X811" s="1"/>
    </row>
    <row r="812" spans="4:24" ht="13">
      <c r="D812" s="1"/>
      <c r="H812" s="1"/>
      <c r="L812" s="1"/>
      <c r="P812" s="1"/>
      <c r="T812" s="1"/>
      <c r="X812" s="1"/>
    </row>
    <row r="813" spans="4:24" ht="13">
      <c r="D813" s="1"/>
      <c r="H813" s="1"/>
      <c r="L813" s="1"/>
      <c r="P813" s="1"/>
      <c r="T813" s="1"/>
      <c r="X813" s="1"/>
    </row>
    <row r="814" spans="4:24" ht="13">
      <c r="D814" s="1"/>
      <c r="H814" s="1"/>
      <c r="L814" s="1"/>
      <c r="P814" s="1"/>
      <c r="T814" s="1"/>
      <c r="X814" s="1"/>
    </row>
    <row r="815" spans="4:24" ht="13">
      <c r="D815" s="1"/>
      <c r="H815" s="1"/>
      <c r="L815" s="1"/>
      <c r="P815" s="1"/>
      <c r="T815" s="1"/>
      <c r="X815" s="1"/>
    </row>
    <row r="816" spans="4:24" ht="13">
      <c r="D816" s="1"/>
      <c r="H816" s="1"/>
      <c r="L816" s="1"/>
      <c r="P816" s="1"/>
      <c r="T816" s="1"/>
      <c r="X816" s="1"/>
    </row>
    <row r="817" spans="4:24" ht="13">
      <c r="D817" s="1"/>
      <c r="H817" s="1"/>
      <c r="L817" s="1"/>
      <c r="P817" s="1"/>
      <c r="T817" s="1"/>
      <c r="X817" s="1"/>
    </row>
    <row r="818" spans="4:24" ht="13">
      <c r="D818" s="1"/>
      <c r="H818" s="1"/>
      <c r="L818" s="1"/>
      <c r="P818" s="1"/>
      <c r="T818" s="1"/>
      <c r="X818" s="1"/>
    </row>
    <row r="819" spans="4:24" ht="13">
      <c r="D819" s="1"/>
      <c r="H819" s="1"/>
      <c r="L819" s="1"/>
      <c r="P819" s="1"/>
      <c r="T819" s="1"/>
      <c r="X819" s="1"/>
    </row>
    <row r="820" spans="4:24" ht="13">
      <c r="D820" s="1"/>
      <c r="H820" s="1"/>
      <c r="L820" s="1"/>
      <c r="P820" s="1"/>
      <c r="T820" s="1"/>
      <c r="X820" s="1"/>
    </row>
    <row r="821" spans="4:24" ht="13">
      <c r="D821" s="1"/>
      <c r="H821" s="1"/>
      <c r="L821" s="1"/>
      <c r="P821" s="1"/>
      <c r="T821" s="1"/>
      <c r="X821" s="1"/>
    </row>
    <row r="822" spans="4:24" ht="13">
      <c r="D822" s="1"/>
      <c r="H822" s="1"/>
      <c r="L822" s="1"/>
      <c r="P822" s="1"/>
      <c r="T822" s="1"/>
      <c r="X822" s="1"/>
    </row>
    <row r="823" spans="4:24" ht="13">
      <c r="D823" s="1"/>
      <c r="H823" s="1"/>
      <c r="L823" s="1"/>
      <c r="P823" s="1"/>
      <c r="T823" s="1"/>
      <c r="X823" s="1"/>
    </row>
    <row r="824" spans="4:24" ht="13">
      <c r="D824" s="1"/>
      <c r="H824" s="1"/>
      <c r="L824" s="1"/>
      <c r="P824" s="1"/>
      <c r="T824" s="1"/>
      <c r="X824" s="1"/>
    </row>
    <row r="825" spans="4:24" ht="13">
      <c r="D825" s="1"/>
      <c r="H825" s="1"/>
      <c r="L825" s="1"/>
      <c r="P825" s="1"/>
      <c r="T825" s="1"/>
      <c r="X825" s="1"/>
    </row>
    <row r="826" spans="4:24" ht="13">
      <c r="D826" s="1"/>
      <c r="H826" s="1"/>
      <c r="L826" s="1"/>
      <c r="P826" s="1"/>
      <c r="T826" s="1"/>
      <c r="X826" s="1"/>
    </row>
    <row r="827" spans="4:24" ht="13">
      <c r="D827" s="1"/>
      <c r="H827" s="1"/>
      <c r="L827" s="1"/>
      <c r="P827" s="1"/>
      <c r="T827" s="1"/>
      <c r="X827" s="1"/>
    </row>
    <row r="828" spans="4:24" ht="13">
      <c r="D828" s="1"/>
      <c r="H828" s="1"/>
      <c r="L828" s="1"/>
      <c r="P828" s="1"/>
      <c r="T828" s="1"/>
      <c r="X828" s="1"/>
    </row>
    <row r="829" spans="4:24" ht="13">
      <c r="D829" s="1"/>
      <c r="H829" s="1"/>
      <c r="L829" s="1"/>
      <c r="P829" s="1"/>
      <c r="T829" s="1"/>
      <c r="X829" s="1"/>
    </row>
    <row r="830" spans="4:24" ht="13">
      <c r="D830" s="1"/>
      <c r="H830" s="1"/>
      <c r="L830" s="1"/>
      <c r="P830" s="1"/>
      <c r="T830" s="1"/>
      <c r="X830" s="1"/>
    </row>
    <row r="831" spans="4:24" ht="13">
      <c r="D831" s="1"/>
      <c r="H831" s="1"/>
      <c r="L831" s="1"/>
      <c r="P831" s="1"/>
      <c r="T831" s="1"/>
      <c r="X831" s="1"/>
    </row>
    <row r="832" spans="4:24" ht="13">
      <c r="D832" s="1"/>
      <c r="H832" s="1"/>
      <c r="L832" s="1"/>
      <c r="P832" s="1"/>
      <c r="T832" s="1"/>
      <c r="X832" s="1"/>
    </row>
    <row r="833" spans="4:24" ht="13">
      <c r="D833" s="1"/>
      <c r="H833" s="1"/>
      <c r="L833" s="1"/>
      <c r="P833" s="1"/>
      <c r="T833" s="1"/>
      <c r="X833" s="1"/>
    </row>
    <row r="834" spans="4:24" ht="13">
      <c r="D834" s="1"/>
      <c r="H834" s="1"/>
      <c r="L834" s="1"/>
      <c r="P834" s="1"/>
      <c r="T834" s="1"/>
      <c r="X834" s="1"/>
    </row>
    <row r="835" spans="4:24" ht="13">
      <c r="D835" s="1"/>
      <c r="H835" s="1"/>
      <c r="L835" s="1"/>
      <c r="P835" s="1"/>
      <c r="T835" s="1"/>
      <c r="X835" s="1"/>
    </row>
    <row r="836" spans="4:24" ht="13">
      <c r="D836" s="1"/>
      <c r="H836" s="1"/>
      <c r="L836" s="1"/>
      <c r="P836" s="1"/>
      <c r="T836" s="1"/>
      <c r="X836" s="1"/>
    </row>
    <row r="837" spans="4:24" ht="13">
      <c r="D837" s="1"/>
      <c r="H837" s="1"/>
      <c r="L837" s="1"/>
      <c r="P837" s="1"/>
      <c r="T837" s="1"/>
      <c r="X837" s="1"/>
    </row>
    <row r="838" spans="4:24" ht="13">
      <c r="D838" s="1"/>
      <c r="H838" s="1"/>
      <c r="L838" s="1"/>
      <c r="P838" s="1"/>
      <c r="T838" s="1"/>
      <c r="X838" s="1"/>
    </row>
    <row r="839" spans="4:24" ht="13">
      <c r="D839" s="1"/>
      <c r="H839" s="1"/>
      <c r="L839" s="1"/>
      <c r="P839" s="1"/>
      <c r="T839" s="1"/>
      <c r="X839" s="1"/>
    </row>
    <row r="840" spans="4:24" ht="13">
      <c r="D840" s="1"/>
      <c r="H840" s="1"/>
      <c r="L840" s="1"/>
      <c r="P840" s="1"/>
      <c r="T840" s="1"/>
      <c r="X840" s="1"/>
    </row>
    <row r="841" spans="4:24" ht="13">
      <c r="D841" s="1"/>
      <c r="H841" s="1"/>
      <c r="L841" s="1"/>
      <c r="P841" s="1"/>
      <c r="T841" s="1"/>
      <c r="X841" s="1"/>
    </row>
    <row r="842" spans="4:24" ht="13">
      <c r="D842" s="1"/>
      <c r="H842" s="1"/>
      <c r="L842" s="1"/>
      <c r="P842" s="1"/>
      <c r="T842" s="1"/>
      <c r="X842" s="1"/>
    </row>
    <row r="843" spans="4:24" ht="13">
      <c r="D843" s="1"/>
      <c r="H843" s="1"/>
      <c r="L843" s="1"/>
      <c r="P843" s="1"/>
      <c r="T843" s="1"/>
      <c r="X843" s="1"/>
    </row>
    <row r="844" spans="4:24" ht="13">
      <c r="D844" s="1"/>
      <c r="H844" s="1"/>
      <c r="L844" s="1"/>
      <c r="P844" s="1"/>
      <c r="T844" s="1"/>
      <c r="X844" s="1"/>
    </row>
    <row r="845" spans="4:24" ht="13">
      <c r="D845" s="1"/>
      <c r="H845" s="1"/>
      <c r="L845" s="1"/>
      <c r="P845" s="1"/>
      <c r="T845" s="1"/>
      <c r="X845" s="1"/>
    </row>
    <row r="846" spans="4:24" ht="13">
      <c r="D846" s="1"/>
      <c r="H846" s="1"/>
      <c r="L846" s="1"/>
      <c r="P846" s="1"/>
      <c r="T846" s="1"/>
      <c r="X846" s="1"/>
    </row>
    <row r="847" spans="4:24" ht="13">
      <c r="D847" s="1"/>
      <c r="H847" s="1"/>
      <c r="L847" s="1"/>
      <c r="P847" s="1"/>
      <c r="T847" s="1"/>
      <c r="X847" s="1"/>
    </row>
    <row r="848" spans="4:24" ht="13">
      <c r="D848" s="1"/>
      <c r="H848" s="1"/>
      <c r="L848" s="1"/>
      <c r="P848" s="1"/>
      <c r="T848" s="1"/>
      <c r="X848" s="1"/>
    </row>
    <row r="849" spans="4:24" ht="13">
      <c r="D849" s="1"/>
      <c r="H849" s="1"/>
      <c r="L849" s="1"/>
      <c r="P849" s="1"/>
      <c r="T849" s="1"/>
      <c r="X849" s="1"/>
    </row>
    <row r="850" spans="4:24" ht="13">
      <c r="D850" s="1"/>
      <c r="H850" s="1"/>
      <c r="L850" s="1"/>
      <c r="P850" s="1"/>
      <c r="T850" s="1"/>
      <c r="X850" s="1"/>
    </row>
    <row r="851" spans="4:24" ht="13">
      <c r="D851" s="1"/>
      <c r="H851" s="1"/>
      <c r="L851" s="1"/>
      <c r="P851" s="1"/>
      <c r="T851" s="1"/>
      <c r="X851" s="1"/>
    </row>
    <row r="852" spans="4:24" ht="13">
      <c r="D852" s="1"/>
      <c r="H852" s="1"/>
      <c r="L852" s="1"/>
      <c r="P852" s="1"/>
      <c r="T852" s="1"/>
      <c r="X852" s="1"/>
    </row>
    <row r="853" spans="4:24" ht="13">
      <c r="D853" s="1"/>
      <c r="H853" s="1"/>
      <c r="L853" s="1"/>
      <c r="P853" s="1"/>
      <c r="T853" s="1"/>
      <c r="X853" s="1"/>
    </row>
    <row r="854" spans="4:24" ht="13">
      <c r="D854" s="1"/>
      <c r="H854" s="1"/>
      <c r="L854" s="1"/>
      <c r="P854" s="1"/>
      <c r="T854" s="1"/>
      <c r="X854" s="1"/>
    </row>
    <row r="855" spans="4:24" ht="13">
      <c r="D855" s="1"/>
      <c r="H855" s="1"/>
      <c r="L855" s="1"/>
      <c r="P855" s="1"/>
      <c r="T855" s="1"/>
      <c r="X855" s="1"/>
    </row>
    <row r="856" spans="4:24" ht="13">
      <c r="D856" s="1"/>
      <c r="H856" s="1"/>
      <c r="L856" s="1"/>
      <c r="P856" s="1"/>
      <c r="T856" s="1"/>
      <c r="X856" s="1"/>
    </row>
    <row r="857" spans="4:24" ht="13">
      <c r="D857" s="1"/>
      <c r="H857" s="1"/>
      <c r="L857" s="1"/>
      <c r="P857" s="1"/>
      <c r="T857" s="1"/>
      <c r="X857" s="1"/>
    </row>
    <row r="858" spans="4:24" ht="13">
      <c r="D858" s="1"/>
      <c r="H858" s="1"/>
      <c r="L858" s="1"/>
      <c r="P858" s="1"/>
      <c r="T858" s="1"/>
      <c r="X858" s="1"/>
    </row>
    <row r="859" spans="4:24" ht="13">
      <c r="D859" s="1"/>
      <c r="H859" s="1"/>
      <c r="L859" s="1"/>
      <c r="P859" s="1"/>
      <c r="T859" s="1"/>
      <c r="X859" s="1"/>
    </row>
    <row r="860" spans="4:24" ht="13">
      <c r="D860" s="1"/>
      <c r="H860" s="1"/>
      <c r="L860" s="1"/>
      <c r="P860" s="1"/>
      <c r="T860" s="1"/>
      <c r="X860" s="1"/>
    </row>
    <row r="861" spans="4:24" ht="13">
      <c r="D861" s="1"/>
      <c r="H861" s="1"/>
      <c r="L861" s="1"/>
      <c r="P861" s="1"/>
      <c r="T861" s="1"/>
      <c r="X861" s="1"/>
    </row>
    <row r="862" spans="4:24" ht="13">
      <c r="D862" s="1"/>
      <c r="H862" s="1"/>
      <c r="L862" s="1"/>
      <c r="P862" s="1"/>
      <c r="T862" s="1"/>
      <c r="X862" s="1"/>
    </row>
    <row r="863" spans="4:24" ht="13">
      <c r="D863" s="1"/>
      <c r="H863" s="1"/>
      <c r="L863" s="1"/>
      <c r="P863" s="1"/>
      <c r="T863" s="1"/>
      <c r="X863" s="1"/>
    </row>
    <row r="864" spans="4:24" ht="13">
      <c r="D864" s="1"/>
      <c r="H864" s="1"/>
      <c r="L864" s="1"/>
      <c r="P864" s="1"/>
      <c r="T864" s="1"/>
      <c r="X864" s="1"/>
    </row>
    <row r="865" spans="4:24" ht="13">
      <c r="D865" s="1"/>
      <c r="H865" s="1"/>
      <c r="L865" s="1"/>
      <c r="P865" s="1"/>
      <c r="T865" s="1"/>
      <c r="X865" s="1"/>
    </row>
    <row r="866" spans="4:24" ht="13">
      <c r="D866" s="1"/>
      <c r="H866" s="1"/>
      <c r="L866" s="1"/>
      <c r="P866" s="1"/>
      <c r="T866" s="1"/>
      <c r="X866" s="1"/>
    </row>
    <row r="867" spans="4:24" ht="13">
      <c r="D867" s="1"/>
      <c r="H867" s="1"/>
      <c r="L867" s="1"/>
      <c r="P867" s="1"/>
      <c r="T867" s="1"/>
      <c r="X867" s="1"/>
    </row>
    <row r="868" spans="4:24" ht="13">
      <c r="D868" s="1"/>
      <c r="H868" s="1"/>
      <c r="L868" s="1"/>
      <c r="P868" s="1"/>
      <c r="T868" s="1"/>
      <c r="X868" s="1"/>
    </row>
    <row r="869" spans="4:24" ht="13">
      <c r="D869" s="1"/>
      <c r="H869" s="1"/>
      <c r="L869" s="1"/>
      <c r="P869" s="1"/>
      <c r="T869" s="1"/>
      <c r="X869" s="1"/>
    </row>
    <row r="870" spans="4:24" ht="13">
      <c r="D870" s="1"/>
      <c r="H870" s="1"/>
      <c r="L870" s="1"/>
      <c r="P870" s="1"/>
      <c r="T870" s="1"/>
      <c r="X870" s="1"/>
    </row>
    <row r="871" spans="4:24" ht="13">
      <c r="D871" s="1"/>
      <c r="H871" s="1"/>
      <c r="L871" s="1"/>
      <c r="P871" s="1"/>
      <c r="T871" s="1"/>
      <c r="X871" s="1"/>
    </row>
    <row r="872" spans="4:24" ht="13">
      <c r="D872" s="1"/>
      <c r="H872" s="1"/>
      <c r="L872" s="1"/>
      <c r="P872" s="1"/>
      <c r="T872" s="1"/>
      <c r="X872" s="1"/>
    </row>
    <row r="873" spans="4:24" ht="13">
      <c r="D873" s="1"/>
      <c r="H873" s="1"/>
      <c r="L873" s="1"/>
      <c r="P873" s="1"/>
      <c r="T873" s="1"/>
      <c r="X873" s="1"/>
    </row>
    <row r="874" spans="4:24" ht="13">
      <c r="D874" s="1"/>
      <c r="H874" s="1"/>
      <c r="L874" s="1"/>
      <c r="P874" s="1"/>
      <c r="T874" s="1"/>
      <c r="X874" s="1"/>
    </row>
    <row r="875" spans="4:24" ht="13">
      <c r="D875" s="1"/>
      <c r="H875" s="1"/>
      <c r="L875" s="1"/>
      <c r="P875" s="1"/>
      <c r="T875" s="1"/>
      <c r="X875" s="1"/>
    </row>
    <row r="876" spans="4:24" ht="13">
      <c r="D876" s="1"/>
      <c r="H876" s="1"/>
      <c r="L876" s="1"/>
      <c r="P876" s="1"/>
      <c r="T876" s="1"/>
      <c r="X876" s="1"/>
    </row>
    <row r="877" spans="4:24" ht="13">
      <c r="D877" s="1"/>
      <c r="H877" s="1"/>
      <c r="L877" s="1"/>
      <c r="P877" s="1"/>
      <c r="T877" s="1"/>
      <c r="X877" s="1"/>
    </row>
    <row r="878" spans="4:24" ht="13">
      <c r="D878" s="1"/>
      <c r="H878" s="1"/>
      <c r="L878" s="1"/>
      <c r="P878" s="1"/>
      <c r="T878" s="1"/>
      <c r="X878" s="1"/>
    </row>
    <row r="879" spans="4:24" ht="13">
      <c r="D879" s="1"/>
      <c r="H879" s="1"/>
      <c r="L879" s="1"/>
      <c r="P879" s="1"/>
      <c r="T879" s="1"/>
      <c r="X879" s="1"/>
    </row>
    <row r="880" spans="4:24" ht="13">
      <c r="D880" s="1"/>
      <c r="H880" s="1"/>
      <c r="L880" s="1"/>
      <c r="P880" s="1"/>
      <c r="T880" s="1"/>
      <c r="X880" s="1"/>
    </row>
    <row r="881" spans="4:24" ht="13">
      <c r="D881" s="1"/>
      <c r="H881" s="1"/>
      <c r="L881" s="1"/>
      <c r="P881" s="1"/>
      <c r="T881" s="1"/>
      <c r="X881" s="1"/>
    </row>
    <row r="882" spans="4:24" ht="13">
      <c r="D882" s="1"/>
      <c r="H882" s="1"/>
      <c r="L882" s="1"/>
      <c r="P882" s="1"/>
      <c r="T882" s="1"/>
      <c r="X882" s="1"/>
    </row>
    <row r="883" spans="4:24" ht="13">
      <c r="D883" s="1"/>
      <c r="H883" s="1"/>
      <c r="L883" s="1"/>
      <c r="P883" s="1"/>
      <c r="T883" s="1"/>
      <c r="X883" s="1"/>
    </row>
    <row r="884" spans="4:24" ht="13">
      <c r="D884" s="1"/>
      <c r="H884" s="1"/>
      <c r="L884" s="1"/>
      <c r="P884" s="1"/>
      <c r="T884" s="1"/>
      <c r="X884" s="1"/>
    </row>
    <row r="885" spans="4:24" ht="13">
      <c r="D885" s="1"/>
      <c r="H885" s="1"/>
      <c r="L885" s="1"/>
      <c r="P885" s="1"/>
      <c r="T885" s="1"/>
      <c r="X885" s="1"/>
    </row>
    <row r="886" spans="4:24" ht="13">
      <c r="D886" s="1"/>
      <c r="H886" s="1"/>
      <c r="L886" s="1"/>
      <c r="P886" s="1"/>
      <c r="T886" s="1"/>
      <c r="X886" s="1"/>
    </row>
    <row r="887" spans="4:24" ht="13">
      <c r="D887" s="1"/>
      <c r="H887" s="1"/>
      <c r="L887" s="1"/>
      <c r="P887" s="1"/>
      <c r="T887" s="1"/>
      <c r="X887" s="1"/>
    </row>
    <row r="888" spans="4:24" ht="13">
      <c r="D888" s="1"/>
      <c r="H888" s="1"/>
      <c r="L888" s="1"/>
      <c r="P888" s="1"/>
      <c r="T888" s="1"/>
      <c r="X888" s="1"/>
    </row>
    <row r="889" spans="4:24" ht="13">
      <c r="D889" s="1"/>
      <c r="H889" s="1"/>
      <c r="L889" s="1"/>
      <c r="P889" s="1"/>
      <c r="T889" s="1"/>
      <c r="X889" s="1"/>
    </row>
    <row r="890" spans="4:24" ht="13">
      <c r="D890" s="1"/>
      <c r="H890" s="1"/>
      <c r="L890" s="1"/>
      <c r="P890" s="1"/>
      <c r="T890" s="1"/>
      <c r="X890" s="1"/>
    </row>
    <row r="891" spans="4:24" ht="13">
      <c r="D891" s="1"/>
      <c r="H891" s="1"/>
      <c r="L891" s="1"/>
      <c r="P891" s="1"/>
      <c r="T891" s="1"/>
      <c r="X891" s="1"/>
    </row>
    <row r="892" spans="4:24" ht="13">
      <c r="D892" s="1"/>
      <c r="H892" s="1"/>
      <c r="L892" s="1"/>
      <c r="P892" s="1"/>
      <c r="T892" s="1"/>
      <c r="X892" s="1"/>
    </row>
    <row r="893" spans="4:24" ht="13">
      <c r="D893" s="1"/>
      <c r="H893" s="1"/>
      <c r="L893" s="1"/>
      <c r="P893" s="1"/>
      <c r="T893" s="1"/>
      <c r="X893" s="1"/>
    </row>
    <row r="894" spans="4:24" ht="13">
      <c r="D894" s="1"/>
      <c r="H894" s="1"/>
      <c r="L894" s="1"/>
      <c r="P894" s="1"/>
      <c r="T894" s="1"/>
      <c r="X894" s="1"/>
    </row>
    <row r="895" spans="4:24" ht="13">
      <c r="D895" s="1"/>
      <c r="H895" s="1"/>
      <c r="L895" s="1"/>
      <c r="P895" s="1"/>
      <c r="T895" s="1"/>
      <c r="X895" s="1"/>
    </row>
    <row r="896" spans="4:24" ht="13">
      <c r="D896" s="1"/>
      <c r="H896" s="1"/>
      <c r="L896" s="1"/>
      <c r="P896" s="1"/>
      <c r="T896" s="1"/>
      <c r="X896" s="1"/>
    </row>
    <row r="897" spans="4:24" ht="13">
      <c r="D897" s="1"/>
      <c r="H897" s="1"/>
      <c r="L897" s="1"/>
      <c r="P897" s="1"/>
      <c r="T897" s="1"/>
      <c r="X897" s="1"/>
    </row>
    <row r="898" spans="4:24" ht="13">
      <c r="D898" s="1"/>
      <c r="H898" s="1"/>
      <c r="L898" s="1"/>
      <c r="P898" s="1"/>
      <c r="T898" s="1"/>
      <c r="X898" s="1"/>
    </row>
    <row r="899" spans="4:24" ht="13">
      <c r="D899" s="1"/>
      <c r="H899" s="1"/>
      <c r="L899" s="1"/>
      <c r="P899" s="1"/>
      <c r="T899" s="1"/>
      <c r="X899" s="1"/>
    </row>
    <row r="900" spans="4:24" ht="13">
      <c r="D900" s="1"/>
      <c r="H900" s="1"/>
      <c r="L900" s="1"/>
      <c r="P900" s="1"/>
      <c r="T900" s="1"/>
      <c r="X900" s="1"/>
    </row>
    <row r="901" spans="4:24" ht="13">
      <c r="D901" s="1"/>
      <c r="H901" s="1"/>
      <c r="L901" s="1"/>
      <c r="P901" s="1"/>
      <c r="T901" s="1"/>
      <c r="X901" s="1"/>
    </row>
    <row r="902" spans="4:24" ht="13">
      <c r="D902" s="1"/>
      <c r="H902" s="1"/>
      <c r="L902" s="1"/>
      <c r="P902" s="1"/>
      <c r="T902" s="1"/>
      <c r="X902" s="1"/>
    </row>
    <row r="903" spans="4:24" ht="13">
      <c r="D903" s="1"/>
      <c r="H903" s="1"/>
      <c r="L903" s="1"/>
      <c r="P903" s="1"/>
      <c r="T903" s="1"/>
      <c r="X903" s="1"/>
    </row>
    <row r="904" spans="4:24" ht="13">
      <c r="D904" s="1"/>
      <c r="H904" s="1"/>
      <c r="L904" s="1"/>
      <c r="P904" s="1"/>
      <c r="T904" s="1"/>
      <c r="X904" s="1"/>
    </row>
    <row r="905" spans="4:24" ht="13">
      <c r="D905" s="1"/>
      <c r="H905" s="1"/>
      <c r="L905" s="1"/>
      <c r="P905" s="1"/>
      <c r="T905" s="1"/>
      <c r="X905" s="1"/>
    </row>
    <row r="906" spans="4:24" ht="13">
      <c r="D906" s="1"/>
      <c r="H906" s="1"/>
      <c r="L906" s="1"/>
      <c r="P906" s="1"/>
      <c r="T906" s="1"/>
      <c r="X906" s="1"/>
    </row>
    <row r="907" spans="4:24" ht="13">
      <c r="D907" s="1"/>
      <c r="H907" s="1"/>
      <c r="L907" s="1"/>
      <c r="P907" s="1"/>
      <c r="T907" s="1"/>
      <c r="X907" s="1"/>
    </row>
    <row r="908" spans="4:24" ht="13">
      <c r="D908" s="1"/>
      <c r="H908" s="1"/>
      <c r="L908" s="1"/>
      <c r="P908" s="1"/>
      <c r="T908" s="1"/>
      <c r="X908" s="1"/>
    </row>
    <row r="909" spans="4:24" ht="13">
      <c r="D909" s="1"/>
      <c r="H909" s="1"/>
      <c r="L909" s="1"/>
      <c r="P909" s="1"/>
      <c r="T909" s="1"/>
      <c r="X909" s="1"/>
    </row>
    <row r="910" spans="4:24" ht="13">
      <c r="D910" s="1"/>
      <c r="H910" s="1"/>
      <c r="L910" s="1"/>
      <c r="P910" s="1"/>
      <c r="T910" s="1"/>
      <c r="X910" s="1"/>
    </row>
    <row r="911" spans="4:24" ht="13">
      <c r="D911" s="1"/>
      <c r="H911" s="1"/>
      <c r="L911" s="1"/>
      <c r="P911" s="1"/>
      <c r="T911" s="1"/>
      <c r="X911" s="1"/>
    </row>
    <row r="912" spans="4:24" ht="13">
      <c r="D912" s="1"/>
      <c r="H912" s="1"/>
      <c r="L912" s="1"/>
      <c r="P912" s="1"/>
      <c r="T912" s="1"/>
      <c r="X912" s="1"/>
    </row>
    <row r="913" spans="4:24" ht="13">
      <c r="D913" s="1"/>
      <c r="H913" s="1"/>
      <c r="L913" s="1"/>
      <c r="P913" s="1"/>
      <c r="T913" s="1"/>
      <c r="X913" s="1"/>
    </row>
    <row r="914" spans="4:24" ht="13">
      <c r="D914" s="1"/>
      <c r="H914" s="1"/>
      <c r="L914" s="1"/>
      <c r="P914" s="1"/>
      <c r="T914" s="1"/>
      <c r="X914" s="1"/>
    </row>
    <row r="915" spans="4:24" ht="13">
      <c r="D915" s="1"/>
      <c r="H915" s="1"/>
      <c r="L915" s="1"/>
      <c r="P915" s="1"/>
      <c r="T915" s="1"/>
      <c r="X915" s="1"/>
    </row>
    <row r="916" spans="4:24" ht="13">
      <c r="D916" s="1"/>
      <c r="H916" s="1"/>
      <c r="L916" s="1"/>
      <c r="P916" s="1"/>
      <c r="T916" s="1"/>
      <c r="X916" s="1"/>
    </row>
    <row r="917" spans="4:24" ht="13">
      <c r="D917" s="1"/>
      <c r="H917" s="1"/>
      <c r="L917" s="1"/>
      <c r="P917" s="1"/>
      <c r="T917" s="1"/>
      <c r="X917" s="1"/>
    </row>
    <row r="918" spans="4:24" ht="13">
      <c r="D918" s="1"/>
      <c r="H918" s="1"/>
      <c r="L918" s="1"/>
      <c r="P918" s="1"/>
      <c r="T918" s="1"/>
      <c r="X918" s="1"/>
    </row>
    <row r="919" spans="4:24" ht="13">
      <c r="D919" s="1"/>
      <c r="H919" s="1"/>
      <c r="L919" s="1"/>
      <c r="P919" s="1"/>
      <c r="T919" s="1"/>
      <c r="X919" s="1"/>
    </row>
    <row r="920" spans="4:24" ht="13">
      <c r="D920" s="1"/>
      <c r="H920" s="1"/>
      <c r="L920" s="1"/>
      <c r="P920" s="1"/>
      <c r="T920" s="1"/>
      <c r="X920" s="1"/>
    </row>
    <row r="921" spans="4:24" ht="13">
      <c r="D921" s="1"/>
      <c r="H921" s="1"/>
      <c r="L921" s="1"/>
      <c r="P921" s="1"/>
      <c r="T921" s="1"/>
      <c r="X921" s="1"/>
    </row>
    <row r="922" spans="4:24" ht="13">
      <c r="D922" s="1"/>
      <c r="H922" s="1"/>
      <c r="L922" s="1"/>
      <c r="P922" s="1"/>
      <c r="T922" s="1"/>
      <c r="X922" s="1"/>
    </row>
    <row r="923" spans="4:24" ht="13">
      <c r="D923" s="1"/>
      <c r="H923" s="1"/>
      <c r="L923" s="1"/>
      <c r="P923" s="1"/>
      <c r="T923" s="1"/>
      <c r="X923" s="1"/>
    </row>
    <row r="924" spans="4:24" ht="13">
      <c r="D924" s="1"/>
      <c r="H924" s="1"/>
      <c r="L924" s="1"/>
      <c r="P924" s="1"/>
      <c r="T924" s="1"/>
      <c r="X924" s="1"/>
    </row>
    <row r="925" spans="4:24" ht="13">
      <c r="D925" s="1"/>
      <c r="H925" s="1"/>
      <c r="L925" s="1"/>
      <c r="P925" s="1"/>
      <c r="T925" s="1"/>
      <c r="X925" s="1"/>
    </row>
    <row r="926" spans="4:24" ht="13">
      <c r="D926" s="1"/>
      <c r="H926" s="1"/>
      <c r="L926" s="1"/>
      <c r="P926" s="1"/>
      <c r="T926" s="1"/>
      <c r="X926" s="1"/>
    </row>
    <row r="927" spans="4:24" ht="13">
      <c r="D927" s="1"/>
      <c r="H927" s="1"/>
      <c r="L927" s="1"/>
      <c r="P927" s="1"/>
      <c r="T927" s="1"/>
      <c r="X927" s="1"/>
    </row>
    <row r="928" spans="4:24" ht="13">
      <c r="D928" s="1"/>
      <c r="H928" s="1"/>
      <c r="L928" s="1"/>
      <c r="P928" s="1"/>
      <c r="T928" s="1"/>
      <c r="X928" s="1"/>
    </row>
    <row r="929" spans="4:24" ht="13">
      <c r="D929" s="1"/>
      <c r="H929" s="1"/>
      <c r="L929" s="1"/>
      <c r="P929" s="1"/>
      <c r="T929" s="1"/>
      <c r="X929" s="1"/>
    </row>
    <row r="930" spans="4:24" ht="13">
      <c r="D930" s="1"/>
      <c r="H930" s="1"/>
      <c r="L930" s="1"/>
      <c r="P930" s="1"/>
      <c r="T930" s="1"/>
      <c r="X930" s="1"/>
    </row>
    <row r="931" spans="4:24" ht="13">
      <c r="D931" s="1"/>
      <c r="H931" s="1"/>
      <c r="L931" s="1"/>
      <c r="P931" s="1"/>
      <c r="T931" s="1"/>
      <c r="X931" s="1"/>
    </row>
    <row r="932" spans="4:24" ht="13">
      <c r="D932" s="1"/>
      <c r="H932" s="1"/>
      <c r="L932" s="1"/>
      <c r="P932" s="1"/>
      <c r="T932" s="1"/>
      <c r="X932" s="1"/>
    </row>
    <row r="933" spans="4:24" ht="13">
      <c r="D933" s="1"/>
      <c r="H933" s="1"/>
      <c r="L933" s="1"/>
      <c r="P933" s="1"/>
      <c r="T933" s="1"/>
      <c r="X933" s="1"/>
    </row>
    <row r="934" spans="4:24" ht="13">
      <c r="D934" s="1"/>
      <c r="H934" s="1"/>
      <c r="L934" s="1"/>
      <c r="P934" s="1"/>
      <c r="T934" s="1"/>
      <c r="X934" s="1"/>
    </row>
    <row r="935" spans="4:24" ht="13">
      <c r="D935" s="1"/>
      <c r="H935" s="1"/>
      <c r="L935" s="1"/>
      <c r="P935" s="1"/>
      <c r="T935" s="1"/>
      <c r="X935" s="1"/>
    </row>
    <row r="936" spans="4:24" ht="13">
      <c r="D936" s="1"/>
      <c r="H936" s="1"/>
      <c r="L936" s="1"/>
      <c r="P936" s="1"/>
      <c r="T936" s="1"/>
      <c r="X936" s="1"/>
    </row>
    <row r="937" spans="4:24" ht="13">
      <c r="D937" s="1"/>
      <c r="H937" s="1"/>
      <c r="L937" s="1"/>
      <c r="P937" s="1"/>
      <c r="T937" s="1"/>
      <c r="X937" s="1"/>
    </row>
    <row r="938" spans="4:24" ht="13">
      <c r="D938" s="1"/>
      <c r="H938" s="1"/>
      <c r="L938" s="1"/>
      <c r="P938" s="1"/>
      <c r="T938" s="1"/>
      <c r="X938" s="1"/>
    </row>
    <row r="939" spans="4:24" ht="13">
      <c r="D939" s="1"/>
      <c r="H939" s="1"/>
      <c r="L939" s="1"/>
      <c r="P939" s="1"/>
      <c r="T939" s="1"/>
      <c r="X939" s="1"/>
    </row>
    <row r="940" spans="4:24" ht="13">
      <c r="D940" s="1"/>
      <c r="H940" s="1"/>
      <c r="L940" s="1"/>
      <c r="P940" s="1"/>
      <c r="T940" s="1"/>
      <c r="X940" s="1"/>
    </row>
    <row r="941" spans="4:24" ht="13">
      <c r="D941" s="1"/>
      <c r="H941" s="1"/>
      <c r="L941" s="1"/>
      <c r="P941" s="1"/>
      <c r="T941" s="1"/>
      <c r="X941" s="1"/>
    </row>
    <row r="942" spans="4:24" ht="13">
      <c r="D942" s="1"/>
      <c r="H942" s="1"/>
      <c r="L942" s="1"/>
      <c r="P942" s="1"/>
      <c r="T942" s="1"/>
      <c r="X942" s="1"/>
    </row>
    <row r="943" spans="4:24" ht="13">
      <c r="D943" s="1"/>
      <c r="H943" s="1"/>
      <c r="L943" s="1"/>
      <c r="P943" s="1"/>
      <c r="T943" s="1"/>
      <c r="X943" s="1"/>
    </row>
    <row r="944" spans="4:24" ht="13">
      <c r="D944" s="1"/>
      <c r="H944" s="1"/>
      <c r="L944" s="1"/>
      <c r="P944" s="1"/>
      <c r="T944" s="1"/>
      <c r="X944" s="1"/>
    </row>
    <row r="945" spans="4:24" ht="13">
      <c r="D945" s="1"/>
      <c r="H945" s="1"/>
      <c r="L945" s="1"/>
      <c r="P945" s="1"/>
      <c r="T945" s="1"/>
      <c r="X945" s="1"/>
    </row>
    <row r="946" spans="4:24" ht="13">
      <c r="D946" s="1"/>
      <c r="H946" s="1"/>
      <c r="L946" s="1"/>
      <c r="P946" s="1"/>
      <c r="T946" s="1"/>
      <c r="X946" s="1"/>
    </row>
    <row r="947" spans="4:24" ht="13">
      <c r="D947" s="1"/>
      <c r="H947" s="1"/>
      <c r="L947" s="1"/>
      <c r="P947" s="1"/>
      <c r="T947" s="1"/>
      <c r="X947" s="1"/>
    </row>
    <row r="948" spans="4:24" ht="13">
      <c r="D948" s="1"/>
      <c r="H948" s="1"/>
      <c r="L948" s="1"/>
      <c r="P948" s="1"/>
      <c r="T948" s="1"/>
      <c r="X948" s="1"/>
    </row>
    <row r="949" spans="4:24" ht="13">
      <c r="D949" s="1"/>
      <c r="H949" s="1"/>
      <c r="L949" s="1"/>
      <c r="P949" s="1"/>
      <c r="T949" s="1"/>
      <c r="X949" s="1"/>
    </row>
    <row r="950" spans="4:24" ht="13">
      <c r="D950" s="1"/>
      <c r="H950" s="1"/>
      <c r="L950" s="1"/>
      <c r="P950" s="1"/>
      <c r="T950" s="1"/>
      <c r="X950" s="1"/>
    </row>
    <row r="951" spans="4:24" ht="13">
      <c r="D951" s="1"/>
      <c r="H951" s="1"/>
      <c r="L951" s="1"/>
      <c r="P951" s="1"/>
      <c r="T951" s="1"/>
      <c r="X951" s="1"/>
    </row>
    <row r="952" spans="4:24" ht="13">
      <c r="D952" s="1"/>
      <c r="H952" s="1"/>
      <c r="L952" s="1"/>
      <c r="P952" s="1"/>
      <c r="T952" s="1"/>
      <c r="X952" s="1"/>
    </row>
    <row r="953" spans="4:24" ht="13">
      <c r="D953" s="1"/>
      <c r="H953" s="1"/>
      <c r="L953" s="1"/>
      <c r="P953" s="1"/>
      <c r="T953" s="1"/>
      <c r="X953" s="1"/>
    </row>
    <row r="954" spans="4:24" ht="13">
      <c r="D954" s="1"/>
      <c r="H954" s="1"/>
      <c r="L954" s="1"/>
      <c r="P954" s="1"/>
      <c r="T954" s="1"/>
      <c r="X954" s="1"/>
    </row>
    <row r="955" spans="4:24" ht="13">
      <c r="D955" s="1"/>
      <c r="H955" s="1"/>
      <c r="L955" s="1"/>
      <c r="P955" s="1"/>
      <c r="T955" s="1"/>
      <c r="X955" s="1"/>
    </row>
    <row r="956" spans="4:24" ht="13">
      <c r="D956" s="1"/>
      <c r="H956" s="1"/>
      <c r="L956" s="1"/>
      <c r="P956" s="1"/>
      <c r="T956" s="1"/>
      <c r="X956" s="1"/>
    </row>
    <row r="957" spans="4:24" ht="13">
      <c r="D957" s="1"/>
      <c r="H957" s="1"/>
      <c r="L957" s="1"/>
      <c r="P957" s="1"/>
      <c r="T957" s="1"/>
      <c r="X957" s="1"/>
    </row>
    <row r="958" spans="4:24" ht="13">
      <c r="D958" s="1"/>
      <c r="H958" s="1"/>
      <c r="L958" s="1"/>
      <c r="P958" s="1"/>
      <c r="T958" s="1"/>
      <c r="X958" s="1"/>
    </row>
    <row r="959" spans="4:24" ht="13">
      <c r="D959" s="1"/>
      <c r="H959" s="1"/>
      <c r="L959" s="1"/>
      <c r="P959" s="1"/>
      <c r="T959" s="1"/>
      <c r="X959" s="1"/>
    </row>
    <row r="960" spans="4:24" ht="13">
      <c r="D960" s="1"/>
      <c r="H960" s="1"/>
      <c r="L960" s="1"/>
      <c r="P960" s="1"/>
      <c r="T960" s="1"/>
      <c r="X960" s="1"/>
    </row>
    <row r="961" spans="4:24" ht="13">
      <c r="D961" s="1"/>
      <c r="H961" s="1"/>
      <c r="L961" s="1"/>
      <c r="P961" s="1"/>
      <c r="T961" s="1"/>
      <c r="X961" s="1"/>
    </row>
    <row r="962" spans="4:24" ht="13">
      <c r="D962" s="1"/>
      <c r="H962" s="1"/>
      <c r="L962" s="1"/>
      <c r="P962" s="1"/>
      <c r="T962" s="1"/>
      <c r="X962" s="1"/>
    </row>
    <row r="963" spans="4:24" ht="13">
      <c r="D963" s="1"/>
      <c r="H963" s="1"/>
      <c r="L963" s="1"/>
      <c r="P963" s="1"/>
      <c r="T963" s="1"/>
      <c r="X963" s="1"/>
    </row>
    <row r="964" spans="4:24" ht="13">
      <c r="D964" s="1"/>
      <c r="H964" s="1"/>
      <c r="L964" s="1"/>
      <c r="P964" s="1"/>
      <c r="T964" s="1"/>
      <c r="X964" s="1"/>
    </row>
    <row r="965" spans="4:24" ht="13">
      <c r="D965" s="1"/>
      <c r="H965" s="1"/>
      <c r="L965" s="1"/>
      <c r="P965" s="1"/>
      <c r="T965" s="1"/>
      <c r="X965" s="1"/>
    </row>
    <row r="966" spans="4:24" ht="13">
      <c r="D966" s="1"/>
      <c r="H966" s="1"/>
      <c r="L966" s="1"/>
      <c r="P966" s="1"/>
      <c r="T966" s="1"/>
      <c r="X966" s="1"/>
    </row>
    <row r="967" spans="4:24" ht="13">
      <c r="D967" s="1"/>
      <c r="H967" s="1"/>
      <c r="L967" s="1"/>
      <c r="P967" s="1"/>
      <c r="T967" s="1"/>
      <c r="X967" s="1"/>
    </row>
    <row r="968" spans="4:24" ht="13">
      <c r="D968" s="1"/>
      <c r="H968" s="1"/>
      <c r="L968" s="1"/>
      <c r="P968" s="1"/>
      <c r="T968" s="1"/>
      <c r="X968" s="1"/>
    </row>
    <row r="969" spans="4:24" ht="13">
      <c r="D969" s="1"/>
      <c r="H969" s="1"/>
      <c r="L969" s="1"/>
      <c r="P969" s="1"/>
      <c r="T969" s="1"/>
      <c r="X969" s="1"/>
    </row>
    <row r="970" spans="4:24" ht="13">
      <c r="D970" s="1"/>
      <c r="H970" s="1"/>
      <c r="L970" s="1"/>
      <c r="P970" s="1"/>
      <c r="T970" s="1"/>
      <c r="X970" s="1"/>
    </row>
    <row r="971" spans="4:24" ht="13">
      <c r="D971" s="1"/>
      <c r="H971" s="1"/>
      <c r="L971" s="1"/>
      <c r="P971" s="1"/>
      <c r="T971" s="1"/>
      <c r="X971" s="1"/>
    </row>
    <row r="972" spans="4:24" ht="13">
      <c r="D972" s="1"/>
      <c r="H972" s="1"/>
      <c r="L972" s="1"/>
      <c r="P972" s="1"/>
      <c r="T972" s="1"/>
      <c r="X972" s="1"/>
    </row>
    <row r="973" spans="4:24" ht="13">
      <c r="D973" s="1"/>
      <c r="H973" s="1"/>
      <c r="L973" s="1"/>
      <c r="P973" s="1"/>
      <c r="T973" s="1"/>
      <c r="X973" s="1"/>
    </row>
    <row r="974" spans="4:24" ht="13">
      <c r="D974" s="1"/>
      <c r="H974" s="1"/>
      <c r="L974" s="1"/>
      <c r="P974" s="1"/>
      <c r="T974" s="1"/>
      <c r="X974" s="1"/>
    </row>
    <row r="975" spans="4:24" ht="13">
      <c r="D975" s="1"/>
      <c r="H975" s="1"/>
      <c r="L975" s="1"/>
      <c r="P975" s="1"/>
      <c r="T975" s="1"/>
      <c r="X975" s="1"/>
    </row>
    <row r="976" spans="4:24" ht="13">
      <c r="D976" s="1"/>
      <c r="H976" s="1"/>
      <c r="L976" s="1"/>
      <c r="P976" s="1"/>
      <c r="T976" s="1"/>
      <c r="X976" s="1"/>
    </row>
    <row r="977" spans="4:24" ht="13">
      <c r="D977" s="1"/>
      <c r="H977" s="1"/>
      <c r="L977" s="1"/>
      <c r="P977" s="1"/>
      <c r="T977" s="1"/>
      <c r="X977" s="1"/>
    </row>
    <row r="978" spans="4:24" ht="13">
      <c r="D978" s="1"/>
      <c r="H978" s="1"/>
      <c r="L978" s="1"/>
      <c r="P978" s="1"/>
      <c r="T978" s="1"/>
      <c r="X978" s="1"/>
    </row>
    <row r="979" spans="4:24" ht="13">
      <c r="D979" s="1"/>
      <c r="H979" s="1"/>
      <c r="L979" s="1"/>
      <c r="P979" s="1"/>
      <c r="T979" s="1"/>
      <c r="X979" s="1"/>
    </row>
    <row r="980" spans="4:24" ht="13">
      <c r="D980" s="1"/>
      <c r="H980" s="1"/>
      <c r="L980" s="1"/>
      <c r="P980" s="1"/>
      <c r="T980" s="1"/>
      <c r="X980" s="1"/>
    </row>
    <row r="981" spans="4:24" ht="13">
      <c r="D981" s="1"/>
      <c r="H981" s="1"/>
      <c r="L981" s="1"/>
      <c r="P981" s="1"/>
      <c r="T981" s="1"/>
      <c r="X981" s="1"/>
    </row>
    <row r="982" spans="4:24" ht="13">
      <c r="D982" s="1"/>
      <c r="H982" s="1"/>
      <c r="L982" s="1"/>
      <c r="P982" s="1"/>
      <c r="T982" s="1"/>
      <c r="X982" s="1"/>
    </row>
    <row r="983" spans="4:24" ht="13">
      <c r="D983" s="1"/>
      <c r="H983" s="1"/>
      <c r="L983" s="1"/>
      <c r="P983" s="1"/>
      <c r="T983" s="1"/>
      <c r="X983" s="1"/>
    </row>
    <row r="984" spans="4:24" ht="13">
      <c r="D984" s="1"/>
      <c r="H984" s="1"/>
      <c r="L984" s="1"/>
      <c r="P984" s="1"/>
      <c r="T984" s="1"/>
      <c r="X984" s="1"/>
    </row>
    <row r="985" spans="4:24" ht="13">
      <c r="D985" s="1"/>
      <c r="H985" s="1"/>
      <c r="L985" s="1"/>
      <c r="P985" s="1"/>
      <c r="T985" s="1"/>
      <c r="X985" s="1"/>
    </row>
    <row r="986" spans="4:24" ht="13">
      <c r="D986" s="1"/>
      <c r="H986" s="1"/>
      <c r="L986" s="1"/>
      <c r="P986" s="1"/>
      <c r="T986" s="1"/>
      <c r="X986" s="1"/>
    </row>
    <row r="987" spans="4:24" ht="13">
      <c r="D987" s="1"/>
      <c r="H987" s="1"/>
      <c r="L987" s="1"/>
      <c r="P987" s="1"/>
      <c r="T987" s="1"/>
      <c r="X987" s="1"/>
    </row>
    <row r="988" spans="4:24" ht="13">
      <c r="D988" s="1"/>
      <c r="H988" s="1"/>
      <c r="L988" s="1"/>
      <c r="P988" s="1"/>
      <c r="T988" s="1"/>
      <c r="X988" s="1"/>
    </row>
    <row r="989" spans="4:24" ht="13">
      <c r="D989" s="1"/>
      <c r="H989" s="1"/>
      <c r="L989" s="1"/>
      <c r="P989" s="1"/>
      <c r="T989" s="1"/>
      <c r="X989" s="1"/>
    </row>
    <row r="990" spans="4:24" ht="13">
      <c r="D990" s="1"/>
      <c r="H990" s="1"/>
      <c r="L990" s="1"/>
      <c r="P990" s="1"/>
      <c r="T990" s="1"/>
      <c r="X990" s="1"/>
    </row>
    <row r="991" spans="4:24" ht="13">
      <c r="D991" s="1"/>
      <c r="H991" s="1"/>
      <c r="L991" s="1"/>
      <c r="P991" s="1"/>
      <c r="T991" s="1"/>
      <c r="X991" s="1"/>
    </row>
    <row r="992" spans="4:24" ht="13">
      <c r="D992" s="1"/>
      <c r="H992" s="1"/>
      <c r="L992" s="1"/>
      <c r="P992" s="1"/>
      <c r="T992" s="1"/>
      <c r="X992" s="1"/>
    </row>
    <row r="993" spans="4:24" ht="13">
      <c r="D993" s="1"/>
      <c r="H993" s="1"/>
      <c r="L993" s="1"/>
      <c r="P993" s="1"/>
      <c r="T993" s="1"/>
      <c r="X993" s="1"/>
    </row>
    <row r="994" spans="4:24" ht="13">
      <c r="D994" s="1"/>
      <c r="H994" s="1"/>
      <c r="L994" s="1"/>
      <c r="P994" s="1"/>
      <c r="T994" s="1"/>
      <c r="X994" s="1"/>
    </row>
    <row r="995" spans="4:24" ht="13">
      <c r="D995" s="1"/>
      <c r="H995" s="1"/>
      <c r="L995" s="1"/>
      <c r="P995" s="1"/>
      <c r="T995" s="1"/>
      <c r="X995" s="1"/>
    </row>
    <row r="996" spans="4:24" ht="13">
      <c r="D996" s="1"/>
      <c r="H996" s="1"/>
      <c r="L996" s="1"/>
      <c r="P996" s="1"/>
      <c r="T996" s="1"/>
      <c r="X996" s="1"/>
    </row>
    <row r="997" spans="4:24" ht="13">
      <c r="D997" s="1"/>
      <c r="H997" s="1"/>
      <c r="L997" s="1"/>
      <c r="P997" s="1"/>
      <c r="T997" s="1"/>
      <c r="X997" s="1"/>
    </row>
    <row r="998" spans="4:24" ht="13">
      <c r="D998" s="1"/>
      <c r="H998" s="1"/>
      <c r="L998" s="1"/>
      <c r="P998" s="1"/>
      <c r="T998" s="1"/>
      <c r="X998" s="1"/>
    </row>
    <row r="999" spans="4:24" ht="13">
      <c r="D999" s="1"/>
      <c r="H999" s="1"/>
      <c r="L999" s="1"/>
      <c r="P999" s="1"/>
      <c r="T999" s="1"/>
      <c r="X999" s="1"/>
    </row>
    <row r="1000" spans="4:24" ht="13">
      <c r="D1000" s="1"/>
      <c r="H1000" s="1"/>
      <c r="L1000" s="1"/>
      <c r="P1000" s="1"/>
      <c r="T1000" s="1"/>
      <c r="X1000" s="1"/>
    </row>
  </sheetData>
  <mergeCells count="3">
    <mergeCell ref="A2:C2"/>
    <mergeCell ref="E2:G2"/>
    <mergeCell ref="I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N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cols>
    <col min="6" max="6" width="14.83203125" customWidth="1"/>
  </cols>
  <sheetData>
    <row r="1" spans="1:40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9" t="s">
        <v>89</v>
      </c>
      <c r="F1" s="10" t="s">
        <v>95</v>
      </c>
      <c r="G1" s="11" t="s">
        <v>96</v>
      </c>
      <c r="H1" s="11" t="s">
        <v>97</v>
      </c>
      <c r="I1" s="9" t="s">
        <v>98</v>
      </c>
      <c r="J1" s="29" t="s">
        <v>99</v>
      </c>
      <c r="K1" s="10" t="s">
        <v>100</v>
      </c>
      <c r="L1" s="9" t="s">
        <v>101</v>
      </c>
      <c r="M1" s="13" t="s">
        <v>102</v>
      </c>
      <c r="N1" s="9" t="s">
        <v>103</v>
      </c>
      <c r="O1" s="3" t="s">
        <v>104</v>
      </c>
      <c r="P1" s="14">
        <f ca="1">P4/P2</f>
        <v>0.65384615384615385</v>
      </c>
      <c r="Q1" s="160" t="s">
        <v>527</v>
      </c>
      <c r="R1" s="3" t="s">
        <v>659</v>
      </c>
      <c r="S1" s="15" t="s">
        <v>660</v>
      </c>
      <c r="T1" s="50" t="s">
        <v>187</v>
      </c>
      <c r="U1" s="9"/>
      <c r="V1" s="3" t="s">
        <v>97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15.75" customHeight="1">
      <c r="B2" s="17" t="s">
        <v>105</v>
      </c>
      <c r="C2" s="18">
        <v>45271</v>
      </c>
      <c r="D2" s="19">
        <f ca="1">TODAY()</f>
        <v>45396</v>
      </c>
      <c r="E2" s="20"/>
      <c r="F2" s="21" t="s">
        <v>106</v>
      </c>
      <c r="G2" s="21" t="e">
        <f ca="1">_xludf.DAYS(D2,C2)</f>
        <v>#NAME?</v>
      </c>
      <c r="H2" s="22"/>
      <c r="I2" s="23">
        <f ca="1">SUM(F2:F295)</f>
        <v>231034.35000000003</v>
      </c>
      <c r="J2" s="29"/>
      <c r="K2" s="24"/>
      <c r="L2" s="25">
        <f>SUM(K2:K115)</f>
        <v>3238742.5499999993</v>
      </c>
      <c r="M2" s="26">
        <f ca="1">N2/L2</f>
        <v>7.1334583232001592E-2</v>
      </c>
      <c r="N2" s="25">
        <f ca="1">I2+T6</f>
        <v>231034.35000000003</v>
      </c>
      <c r="O2" s="27" t="s">
        <v>107</v>
      </c>
      <c r="P2" s="28">
        <f ca="1">P3+P4</f>
        <v>26</v>
      </c>
      <c r="Q2" s="160" t="s">
        <v>529</v>
      </c>
      <c r="R2" s="3" t="s">
        <v>661</v>
      </c>
      <c r="S2" s="15"/>
      <c r="T2" s="56">
        <f ca="1">SUM(K3:K43)+I2</f>
        <v>3469776.8999999994</v>
      </c>
      <c r="V2" s="3"/>
    </row>
    <row r="3" spans="1:40" ht="13">
      <c r="L3" s="29" t="s">
        <v>108</v>
      </c>
      <c r="M3" s="17"/>
      <c r="O3" s="28" t="s">
        <v>109</v>
      </c>
      <c r="P3" s="28">
        <f ca="1">COUNTIF(F:F, "&lt;0")</f>
        <v>9</v>
      </c>
      <c r="Q3" s="160" t="s">
        <v>532</v>
      </c>
      <c r="R3" s="3">
        <v>5614</v>
      </c>
    </row>
    <row r="4" spans="1:40" ht="16">
      <c r="A4" s="3" t="s">
        <v>10</v>
      </c>
      <c r="B4" s="31" t="s">
        <v>346</v>
      </c>
      <c r="C4" s="126">
        <v>464.64</v>
      </c>
      <c r="D4" s="126">
        <v>330</v>
      </c>
      <c r="E4" s="20">
        <f ca="1">IFERROR(__xludf.DUMMYFUNCTION("GOOGLEFINANCE(A4,""price"")"),480)</f>
        <v>480</v>
      </c>
      <c r="F4" s="10">
        <f t="shared" ref="F4:F11" ca="1" si="0">(E4-C4)*D4</f>
        <v>5068.8000000000047</v>
      </c>
      <c r="J4" s="12">
        <f t="shared" ref="J4:J11" ca="1" si="1">(E4-C4)*100/C4</f>
        <v>3.3057851239669453</v>
      </c>
      <c r="K4" s="24">
        <f t="shared" ref="K4:K11" si="2">C4*D4</f>
        <v>153331.19999999998</v>
      </c>
      <c r="M4" s="162"/>
      <c r="O4" s="28" t="s">
        <v>110</v>
      </c>
      <c r="P4" s="28">
        <f ca="1">COUNTIF(F:F, "&gt;0")</f>
        <v>17</v>
      </c>
      <c r="Q4" s="160" t="s">
        <v>533</v>
      </c>
      <c r="R4" s="3" t="s">
        <v>662</v>
      </c>
    </row>
    <row r="5" spans="1:40">
      <c r="A5" s="31" t="s">
        <v>15</v>
      </c>
      <c r="B5" s="31" t="s">
        <v>616</v>
      </c>
      <c r="C5" s="126">
        <v>1088.6600000000001</v>
      </c>
      <c r="D5" s="126">
        <v>150</v>
      </c>
      <c r="E5" s="20">
        <f ca="1">IFERROR(__xludf.DUMMYFUNCTION("GOOGLEFINANCE(A5,""price"")"),1174)</f>
        <v>1174</v>
      </c>
      <c r="F5" s="10">
        <f t="shared" ca="1" si="0"/>
        <v>12800.999999999987</v>
      </c>
      <c r="J5" s="12">
        <f t="shared" ca="1" si="1"/>
        <v>7.8389947274631124</v>
      </c>
      <c r="K5" s="24">
        <f t="shared" si="2"/>
        <v>163299</v>
      </c>
      <c r="Q5" s="160" t="s">
        <v>536</v>
      </c>
      <c r="R5" s="3">
        <v>9910035614</v>
      </c>
    </row>
    <row r="6" spans="1:40">
      <c r="A6" s="3" t="s">
        <v>19</v>
      </c>
      <c r="B6" s="31" t="s">
        <v>618</v>
      </c>
      <c r="C6" s="126">
        <v>186.85</v>
      </c>
      <c r="D6" s="126">
        <v>550</v>
      </c>
      <c r="E6" s="20">
        <f ca="1">IFERROR(__xludf.DUMMYFUNCTION("GOOGLEFINANCE(A6,""price"")"),258)</f>
        <v>258</v>
      </c>
      <c r="F6" s="10">
        <f t="shared" ca="1" si="0"/>
        <v>39132.5</v>
      </c>
      <c r="J6" s="12">
        <f t="shared" ca="1" si="1"/>
        <v>38.078672732138088</v>
      </c>
      <c r="K6" s="24">
        <f t="shared" si="2"/>
        <v>102767.5</v>
      </c>
      <c r="S6" s="15" t="s">
        <v>111</v>
      </c>
      <c r="T6" s="163">
        <f>SUM(T9:T244)</f>
        <v>0</v>
      </c>
    </row>
    <row r="7" spans="1:40">
      <c r="A7" s="31" t="s">
        <v>11</v>
      </c>
      <c r="B7" s="31" t="s">
        <v>538</v>
      </c>
      <c r="C7" s="126">
        <v>115.24</v>
      </c>
      <c r="D7" s="126">
        <v>1000</v>
      </c>
      <c r="E7" s="20">
        <f ca="1">IFERROR(__xludf.DUMMYFUNCTION("GOOGLEFINANCE(A7,""price"")"),143.1)</f>
        <v>143.1</v>
      </c>
      <c r="F7" s="10">
        <f t="shared" ca="1" si="0"/>
        <v>27860</v>
      </c>
      <c r="J7" s="12">
        <f t="shared" ca="1" si="1"/>
        <v>24.175633460603958</v>
      </c>
      <c r="K7" s="24">
        <f t="shared" si="2"/>
        <v>115240</v>
      </c>
      <c r="S7" s="15"/>
    </row>
    <row r="8" spans="1:40" ht="16">
      <c r="A8" s="31" t="s">
        <v>13</v>
      </c>
      <c r="B8" s="31" t="s">
        <v>619</v>
      </c>
      <c r="C8" s="126">
        <v>73.67</v>
      </c>
      <c r="D8" s="126">
        <v>2000</v>
      </c>
      <c r="E8" s="20">
        <f ca="1">IFERROR(__xludf.DUMMYFUNCTION("GOOGLEFINANCE(A8,""price"")"),67.95)</f>
        <v>67.95</v>
      </c>
      <c r="F8" s="10">
        <f t="shared" ca="1" si="0"/>
        <v>-11439.999999999998</v>
      </c>
      <c r="J8" s="12">
        <f t="shared" ca="1" si="1"/>
        <v>-7.7643545540925736</v>
      </c>
      <c r="K8" s="24">
        <f t="shared" si="2"/>
        <v>147340</v>
      </c>
      <c r="M8" s="36" t="s">
        <v>112</v>
      </c>
      <c r="N8" s="17" t="s">
        <v>113</v>
      </c>
      <c r="O8" s="17" t="s">
        <v>93</v>
      </c>
      <c r="P8" s="17" t="s">
        <v>114</v>
      </c>
      <c r="Q8" s="3" t="s">
        <v>115</v>
      </c>
      <c r="R8" s="3" t="s">
        <v>116</v>
      </c>
      <c r="S8" s="15" t="s">
        <v>117</v>
      </c>
      <c r="T8" s="17" t="s">
        <v>118</v>
      </c>
      <c r="U8" s="17" t="s">
        <v>119</v>
      </c>
      <c r="V8" s="3" t="s">
        <v>100</v>
      </c>
      <c r="W8" s="17" t="s">
        <v>120</v>
      </c>
    </row>
    <row r="9" spans="1:40">
      <c r="A9" s="3" t="s">
        <v>16</v>
      </c>
      <c r="B9" s="31" t="s">
        <v>540</v>
      </c>
      <c r="C9" s="126">
        <v>1987</v>
      </c>
      <c r="D9" s="3">
        <v>65</v>
      </c>
      <c r="E9" s="20">
        <f ca="1">IFERROR(__xludf.DUMMYFUNCTION("GOOGLEFINANCE(A9,""price"")"),1715)</f>
        <v>1715</v>
      </c>
      <c r="F9" s="10">
        <f t="shared" ca="1" si="0"/>
        <v>-17680</v>
      </c>
      <c r="J9" s="12">
        <f t="shared" ca="1" si="1"/>
        <v>-13.688978359335682</v>
      </c>
      <c r="K9" s="24">
        <f t="shared" si="2"/>
        <v>129155</v>
      </c>
    </row>
    <row r="10" spans="1:40">
      <c r="A10" s="3" t="s">
        <v>21</v>
      </c>
      <c r="B10" s="31" t="s">
        <v>300</v>
      </c>
      <c r="C10" s="126">
        <v>6870.45</v>
      </c>
      <c r="D10" s="126">
        <v>22</v>
      </c>
      <c r="E10" s="20">
        <f ca="1">IFERROR(__xludf.DUMMYFUNCTION("GOOGLEFINANCE(A10,""price"")"),7829.95)</f>
        <v>7829.95</v>
      </c>
      <c r="F10" s="10">
        <f t="shared" ca="1" si="0"/>
        <v>21109</v>
      </c>
      <c r="J10" s="12">
        <f t="shared" ca="1" si="1"/>
        <v>13.965606328551987</v>
      </c>
      <c r="K10" s="24">
        <f t="shared" si="2"/>
        <v>151149.9</v>
      </c>
    </row>
    <row r="11" spans="1:40">
      <c r="A11" s="31" t="s">
        <v>30</v>
      </c>
      <c r="B11" s="31" t="s">
        <v>304</v>
      </c>
      <c r="C11" s="126">
        <v>54.59</v>
      </c>
      <c r="D11" s="126">
        <v>1500</v>
      </c>
      <c r="E11" s="20">
        <f ca="1">IFERROR(__xludf.DUMMYFUNCTION("GOOGLEFINANCE(A11,""price"")"),61.92)</f>
        <v>61.92</v>
      </c>
      <c r="F11" s="10">
        <f t="shared" ca="1" si="0"/>
        <v>10994.999999999998</v>
      </c>
      <c r="J11" s="12">
        <f t="shared" ca="1" si="1"/>
        <v>13.427367649752696</v>
      </c>
      <c r="K11" s="24">
        <f t="shared" si="2"/>
        <v>81885</v>
      </c>
    </row>
    <row r="12" spans="1:40">
      <c r="N12" s="3" t="s">
        <v>622</v>
      </c>
      <c r="O12" s="31" t="s">
        <v>623</v>
      </c>
      <c r="P12" s="126">
        <v>94.43</v>
      </c>
      <c r="Q12" s="126">
        <v>800</v>
      </c>
      <c r="R12" s="20">
        <f ca="1">IFERROR(__xludf.DUMMYFUNCTION("GOOGLEFINANCE(N12,""price"")"),94.4)</f>
        <v>94.4</v>
      </c>
      <c r="S12" s="10">
        <f t="shared" ref="S12:S43" ca="1" si="3">(R12-P12)*Q12</f>
        <v>-24.000000000000909</v>
      </c>
    </row>
    <row r="13" spans="1:40">
      <c r="A13" s="31" t="s">
        <v>26</v>
      </c>
      <c r="B13" s="31" t="s">
        <v>542</v>
      </c>
      <c r="C13" s="126">
        <v>81.489999999999995</v>
      </c>
      <c r="D13" s="126">
        <v>1500</v>
      </c>
      <c r="E13" s="20">
        <f ca="1">IFERROR(__xludf.DUMMYFUNCTION("GOOGLEFINANCE(A13,""price"")"),98.4)</f>
        <v>98.4</v>
      </c>
      <c r="F13" s="10">
        <f t="shared" ref="F13:F17" ca="1" si="4">(E13-C13)*D13</f>
        <v>25365.000000000015</v>
      </c>
      <c r="J13" s="12">
        <f t="shared" ref="J13:J17" ca="1" si="5">(E13-C13)*100/C13</f>
        <v>20.751012394158806</v>
      </c>
      <c r="K13" s="24">
        <f t="shared" ref="K13:K17" si="6">C13*D13</f>
        <v>122234.99999999999</v>
      </c>
      <c r="M13" s="22"/>
      <c r="N13" s="31" t="s">
        <v>545</v>
      </c>
      <c r="O13" s="31" t="s">
        <v>546</v>
      </c>
      <c r="P13" s="126">
        <v>2774.3</v>
      </c>
      <c r="Q13" s="126">
        <v>75</v>
      </c>
      <c r="R13" s="20">
        <f ca="1">IFERROR(__xludf.DUMMYFUNCTION("GOOGLEFINANCE(N13,""price"")"),2435)</f>
        <v>2435</v>
      </c>
      <c r="S13" s="10">
        <f t="shared" ca="1" si="3"/>
        <v>-25447.500000000015</v>
      </c>
    </row>
    <row r="14" spans="1:40">
      <c r="A14" s="31" t="s">
        <v>43</v>
      </c>
      <c r="B14" s="31" t="s">
        <v>625</v>
      </c>
      <c r="C14" s="126">
        <v>101.7</v>
      </c>
      <c r="D14" s="126">
        <v>1000</v>
      </c>
      <c r="E14" s="20">
        <f ca="1">IFERROR(__xludf.DUMMYFUNCTION("GOOGLEFINANCE(A14,""price"")"),205)</f>
        <v>205</v>
      </c>
      <c r="F14" s="10">
        <f t="shared" ca="1" si="4"/>
        <v>103300</v>
      </c>
      <c r="J14" s="12">
        <f t="shared" ca="1" si="5"/>
        <v>101.57325467059979</v>
      </c>
      <c r="K14" s="24">
        <f t="shared" si="6"/>
        <v>101700</v>
      </c>
      <c r="M14" s="165"/>
      <c r="N14" s="31" t="s">
        <v>159</v>
      </c>
      <c r="O14" s="31" t="s">
        <v>548</v>
      </c>
      <c r="P14" s="126">
        <v>171.11</v>
      </c>
      <c r="Q14" s="126">
        <v>700</v>
      </c>
      <c r="R14" s="20">
        <f ca="1">IFERROR(__xludf.DUMMYFUNCTION("GOOGLEFINANCE(N14,""price"")"),218.8)</f>
        <v>218.8</v>
      </c>
      <c r="S14" s="10">
        <f t="shared" ca="1" si="3"/>
        <v>33383</v>
      </c>
    </row>
    <row r="15" spans="1:40">
      <c r="A15" s="3" t="s">
        <v>36</v>
      </c>
      <c r="B15" s="31" t="s">
        <v>311</v>
      </c>
      <c r="C15" s="126">
        <v>539.61</v>
      </c>
      <c r="D15" s="126">
        <v>280</v>
      </c>
      <c r="E15" s="20">
        <f ca="1">IFERROR(__xludf.DUMMYFUNCTION("GOOGLEFINANCE(A15,""price"")"),524.6)</f>
        <v>524.6</v>
      </c>
      <c r="F15" s="10">
        <f t="shared" ca="1" si="4"/>
        <v>-4202.7999999999975</v>
      </c>
      <c r="J15" s="12">
        <f t="shared" ca="1" si="5"/>
        <v>-2.781638590834119</v>
      </c>
      <c r="K15" s="24">
        <f t="shared" si="6"/>
        <v>151090.80000000002</v>
      </c>
      <c r="M15" s="22"/>
      <c r="N15" s="31" t="s">
        <v>663</v>
      </c>
      <c r="O15" s="31" t="s">
        <v>664</v>
      </c>
      <c r="P15" s="126">
        <v>174.42</v>
      </c>
      <c r="Q15" s="126">
        <v>700</v>
      </c>
      <c r="R15" s="20">
        <f ca="1">IFERROR(__xludf.DUMMYFUNCTION("GOOGLEFINANCE(N15,""price"")"),171.1)</f>
        <v>171.1</v>
      </c>
      <c r="S15" s="10">
        <f t="shared" ca="1" si="3"/>
        <v>-2323.9999999999955</v>
      </c>
    </row>
    <row r="16" spans="1:40">
      <c r="A16" s="3" t="s">
        <v>22</v>
      </c>
      <c r="B16" s="31" t="s">
        <v>350</v>
      </c>
      <c r="C16" s="126">
        <v>140.59</v>
      </c>
      <c r="D16" s="126">
        <v>1100</v>
      </c>
      <c r="E16" s="20">
        <f ca="1">IFERROR(__xludf.DUMMYFUNCTION("GOOGLEFINANCE(A16,""price"")"),122)</f>
        <v>122</v>
      </c>
      <c r="F16" s="10">
        <f t="shared" ca="1" si="4"/>
        <v>-20449.000000000004</v>
      </c>
      <c r="J16" s="12">
        <f t="shared" ca="1" si="5"/>
        <v>-13.222846575147596</v>
      </c>
      <c r="K16" s="24">
        <f t="shared" si="6"/>
        <v>154649</v>
      </c>
      <c r="N16" s="31" t="s">
        <v>163</v>
      </c>
      <c r="O16" s="31" t="s">
        <v>552</v>
      </c>
      <c r="P16" s="126">
        <v>677.03</v>
      </c>
      <c r="Q16" s="126">
        <v>201</v>
      </c>
      <c r="R16" s="20">
        <f ca="1">IFERROR(__xludf.DUMMYFUNCTION("GOOGLEFINANCE(N16,""price"")"),486.5)</f>
        <v>486.5</v>
      </c>
      <c r="S16" s="10">
        <f t="shared" ca="1" si="3"/>
        <v>-38296.529999999992</v>
      </c>
    </row>
    <row r="17" spans="1:24">
      <c r="A17" s="31" t="s">
        <v>40</v>
      </c>
      <c r="B17" s="31" t="s">
        <v>318</v>
      </c>
      <c r="C17" s="126">
        <v>25.74</v>
      </c>
      <c r="D17" s="126">
        <v>5000</v>
      </c>
      <c r="E17" s="20">
        <f ca="1">IFERROR(__xludf.DUMMYFUNCTION("GOOGLEFINANCE(A17,""price"")"),20.6)</f>
        <v>20.6</v>
      </c>
      <c r="F17" s="10">
        <f t="shared" ca="1" si="4"/>
        <v>-25699.999999999985</v>
      </c>
      <c r="J17" s="12">
        <f t="shared" ca="1" si="5"/>
        <v>-19.968919968919955</v>
      </c>
      <c r="K17" s="24">
        <f t="shared" si="6"/>
        <v>128699.99999999999</v>
      </c>
      <c r="N17" s="31" t="s">
        <v>160</v>
      </c>
      <c r="O17" s="31" t="s">
        <v>626</v>
      </c>
      <c r="P17" s="126">
        <v>304.41000000000003</v>
      </c>
      <c r="Q17" s="126">
        <v>400</v>
      </c>
      <c r="R17" s="20">
        <f ca="1">IFERROR(__xludf.DUMMYFUNCTION("GOOGLEFINANCE(N17,""price"")"),267)</f>
        <v>267</v>
      </c>
      <c r="S17" s="10">
        <f t="shared" ca="1" si="3"/>
        <v>-14964.000000000011</v>
      </c>
    </row>
    <row r="18" spans="1:24">
      <c r="N18" s="3" t="s">
        <v>627</v>
      </c>
      <c r="O18" s="31" t="s">
        <v>628</v>
      </c>
      <c r="P18" s="126">
        <v>611.83000000000004</v>
      </c>
      <c r="Q18" s="126">
        <v>250</v>
      </c>
      <c r="R18" s="20">
        <f ca="1">IFERROR(__xludf.DUMMYFUNCTION("GOOGLEFINANCE(N18,""price"")"),545)</f>
        <v>545</v>
      </c>
      <c r="S18" s="10">
        <f t="shared" ca="1" si="3"/>
        <v>-16707.500000000011</v>
      </c>
    </row>
    <row r="19" spans="1:24">
      <c r="A19" s="3" t="s">
        <v>25</v>
      </c>
      <c r="B19" s="31" t="s">
        <v>356</v>
      </c>
      <c r="C19" s="126">
        <v>124.38</v>
      </c>
      <c r="D19" s="126">
        <v>1250</v>
      </c>
      <c r="E19" s="20">
        <f ca="1">IFERROR(__xludf.DUMMYFUNCTION("GOOGLEFINANCE(A19,""price"")"),104.85)</f>
        <v>104.85</v>
      </c>
      <c r="F19" s="10">
        <f t="shared" ref="F19:F31" ca="1" si="7">(E19-C19)*D19</f>
        <v>-24412.5</v>
      </c>
      <c r="J19" s="12">
        <f t="shared" ref="J19:J31" ca="1" si="8">(E19-C19)*100/C19</f>
        <v>-15.701881331403763</v>
      </c>
      <c r="K19" s="24">
        <f t="shared" ref="K19:K31" si="9">C19*D19</f>
        <v>155475</v>
      </c>
      <c r="N19" s="3" t="s">
        <v>558</v>
      </c>
      <c r="O19" s="31" t="s">
        <v>559</v>
      </c>
      <c r="P19" s="126">
        <v>791.37</v>
      </c>
      <c r="Q19" s="126">
        <v>100</v>
      </c>
      <c r="R19" s="20">
        <f ca="1">IFERROR(__xludf.DUMMYFUNCTION("GOOGLEFINANCE(N19,""price"")"),558)</f>
        <v>558</v>
      </c>
      <c r="S19" s="10">
        <f t="shared" ca="1" si="3"/>
        <v>-23337</v>
      </c>
    </row>
    <row r="20" spans="1:24">
      <c r="A20" s="129" t="s">
        <v>56</v>
      </c>
      <c r="B20" s="31" t="s">
        <v>322</v>
      </c>
      <c r="C20" s="126">
        <v>423.27</v>
      </c>
      <c r="D20" s="126">
        <v>360</v>
      </c>
      <c r="E20" s="20">
        <f ca="1">IFERROR(__xludf.DUMMYFUNCTION("GOOGLEFINANCE(A20,""price"")"),402)</f>
        <v>402</v>
      </c>
      <c r="F20" s="10">
        <f t="shared" ca="1" si="7"/>
        <v>-7657.1999999999935</v>
      </c>
      <c r="J20" s="12">
        <f t="shared" ca="1" si="8"/>
        <v>-5.025161244595644</v>
      </c>
      <c r="K20" s="24">
        <f t="shared" si="9"/>
        <v>152377.19999999998</v>
      </c>
      <c r="M20" s="3">
        <v>396.3</v>
      </c>
      <c r="N20" s="31" t="s">
        <v>564</v>
      </c>
      <c r="O20" s="31" t="s">
        <v>665</v>
      </c>
      <c r="P20" s="126">
        <v>418.2</v>
      </c>
      <c r="Q20" s="126">
        <v>100</v>
      </c>
      <c r="R20" s="20">
        <f ca="1">IFERROR(__xludf.DUMMYFUNCTION("GOOGLEFINANCE(N20,""price"")"),353.8)</f>
        <v>353.8</v>
      </c>
      <c r="S20" s="10">
        <f t="shared" ca="1" si="3"/>
        <v>-6439.9999999999982</v>
      </c>
      <c r="U20" s="3" t="s">
        <v>630</v>
      </c>
      <c r="W20" s="12">
        <f t="shared" ref="W20:W43" ca="1" si="10">(R20-P20)*100/P20</f>
        <v>-15.39933046389287</v>
      </c>
      <c r="X20" s="24">
        <f t="shared" ref="X20:X43" si="11">P20*Q20</f>
        <v>41820</v>
      </c>
    </row>
    <row r="21" spans="1:24">
      <c r="A21" s="31" t="s">
        <v>59</v>
      </c>
      <c r="B21" s="31" t="s">
        <v>638</v>
      </c>
      <c r="C21" s="126">
        <v>1412.22</v>
      </c>
      <c r="D21" s="126">
        <v>100</v>
      </c>
      <c r="E21" s="20">
        <f ca="1">IFERROR(__xludf.DUMMYFUNCTION("GOOGLEFINANCE(A21,""price"")"),1636.55)</f>
        <v>1636.55</v>
      </c>
      <c r="F21" s="10">
        <f t="shared" ca="1" si="7"/>
        <v>22432.999999999993</v>
      </c>
      <c r="J21" s="12">
        <f t="shared" ca="1" si="8"/>
        <v>15.884918780359994</v>
      </c>
      <c r="K21" s="24">
        <f t="shared" si="9"/>
        <v>141222</v>
      </c>
      <c r="M21" s="3">
        <v>438.7</v>
      </c>
      <c r="N21" s="31" t="s">
        <v>501</v>
      </c>
      <c r="O21" s="31" t="s">
        <v>631</v>
      </c>
      <c r="P21" s="126">
        <v>430.29</v>
      </c>
      <c r="Q21" s="126">
        <v>100</v>
      </c>
      <c r="R21" s="20">
        <f ca="1">IFERROR(__xludf.DUMMYFUNCTION("GOOGLEFINANCE(N21,""price"")"),451.7)</f>
        <v>451.7</v>
      </c>
      <c r="S21" s="10">
        <f t="shared" ca="1" si="3"/>
        <v>2140.9999999999968</v>
      </c>
      <c r="T21" s="31"/>
      <c r="U21" s="126"/>
      <c r="V21" s="126"/>
      <c r="W21" s="12">
        <f t="shared" ca="1" si="10"/>
        <v>4.9757140533128741</v>
      </c>
      <c r="X21" s="24">
        <f t="shared" si="11"/>
        <v>43029</v>
      </c>
    </row>
    <row r="22" spans="1:24">
      <c r="A22" s="31" t="s">
        <v>61</v>
      </c>
      <c r="B22" s="31" t="s">
        <v>666</v>
      </c>
      <c r="C22" s="126">
        <v>101.05</v>
      </c>
      <c r="D22" s="126">
        <v>1000</v>
      </c>
      <c r="E22" s="20">
        <f ca="1">IFERROR(__xludf.DUMMYFUNCTION("GOOGLEFINANCE(A22,""price"")"),116.05)</f>
        <v>116.05</v>
      </c>
      <c r="F22" s="10">
        <f t="shared" ca="1" si="7"/>
        <v>15000</v>
      </c>
      <c r="J22" s="12">
        <f t="shared" ca="1" si="8"/>
        <v>14.844136566056408</v>
      </c>
      <c r="K22" s="24">
        <f t="shared" si="9"/>
        <v>101050</v>
      </c>
      <c r="M22" s="3">
        <v>231.6</v>
      </c>
      <c r="N22" s="3" t="s">
        <v>168</v>
      </c>
      <c r="O22" s="31" t="s">
        <v>633</v>
      </c>
      <c r="P22" s="126">
        <v>164.03</v>
      </c>
      <c r="Q22" s="126">
        <v>800</v>
      </c>
      <c r="R22" s="20">
        <f ca="1">IFERROR(__xludf.DUMMYFUNCTION("GOOGLEFINANCE(N22,""price"")"),226.25)</f>
        <v>226.25</v>
      </c>
      <c r="S22" s="10">
        <f t="shared" ca="1" si="3"/>
        <v>49776</v>
      </c>
      <c r="T22" s="31"/>
      <c r="U22" s="126"/>
      <c r="V22" s="126"/>
      <c r="W22" s="12">
        <f t="shared" ca="1" si="10"/>
        <v>37.932085594098638</v>
      </c>
      <c r="X22" s="24">
        <f t="shared" si="11"/>
        <v>131224</v>
      </c>
    </row>
    <row r="23" spans="1:24">
      <c r="A23" s="31" t="s">
        <v>49</v>
      </c>
      <c r="B23" s="31" t="s">
        <v>326</v>
      </c>
      <c r="C23" s="126">
        <v>1612.74</v>
      </c>
      <c r="D23" s="126">
        <v>70</v>
      </c>
      <c r="E23" s="20">
        <f ca="1">IFERROR(__xludf.DUMMYFUNCTION("GOOGLEFINANCE(A23,""price"")"),2030)</f>
        <v>2030</v>
      </c>
      <c r="F23" s="10">
        <f t="shared" ca="1" si="7"/>
        <v>29208.2</v>
      </c>
      <c r="J23" s="12">
        <f t="shared" ca="1" si="8"/>
        <v>25.872738321118096</v>
      </c>
      <c r="K23" s="24">
        <f t="shared" si="9"/>
        <v>112891.8</v>
      </c>
      <c r="M23" s="3">
        <v>329.21</v>
      </c>
      <c r="N23" s="31" t="s">
        <v>237</v>
      </c>
      <c r="O23" s="31" t="s">
        <v>639</v>
      </c>
      <c r="P23" s="126">
        <v>298.44</v>
      </c>
      <c r="Q23" s="126">
        <v>500</v>
      </c>
      <c r="R23" s="20">
        <f ca="1">IFERROR(__xludf.DUMMYFUNCTION("GOOGLEFINANCE(N23,""price"")"),318)</f>
        <v>318</v>
      </c>
      <c r="S23" s="10">
        <f t="shared" ca="1" si="3"/>
        <v>9780.0000000000018</v>
      </c>
      <c r="T23" s="31"/>
      <c r="U23" s="126"/>
      <c r="V23" s="126"/>
      <c r="W23" s="12">
        <f t="shared" ca="1" si="10"/>
        <v>6.5540812223562535</v>
      </c>
      <c r="X23" s="24">
        <f t="shared" si="11"/>
        <v>149220</v>
      </c>
    </row>
    <row r="24" spans="1:24">
      <c r="A24" s="3" t="s">
        <v>66</v>
      </c>
      <c r="B24" s="31" t="s">
        <v>667</v>
      </c>
      <c r="C24" s="126">
        <v>7893.61</v>
      </c>
      <c r="D24" s="126">
        <v>15</v>
      </c>
      <c r="E24" s="20">
        <f ca="1">IFERROR(__xludf.DUMMYFUNCTION("GOOGLEFINANCE(A24,""price"")"),8540)</f>
        <v>8540</v>
      </c>
      <c r="F24" s="10">
        <f t="shared" ca="1" si="7"/>
        <v>9695.8500000000058</v>
      </c>
      <c r="J24" s="12">
        <f t="shared" ca="1" si="8"/>
        <v>8.1887754778865478</v>
      </c>
      <c r="K24" s="24">
        <f t="shared" si="9"/>
        <v>118404.15</v>
      </c>
      <c r="M24" s="3">
        <v>61.5</v>
      </c>
      <c r="N24" s="31" t="s">
        <v>565</v>
      </c>
      <c r="O24" s="31" t="s">
        <v>566</v>
      </c>
      <c r="P24" s="126">
        <v>57.77</v>
      </c>
      <c r="Q24" s="126">
        <v>2000</v>
      </c>
      <c r="R24" s="20">
        <f ca="1">IFERROR(__xludf.DUMMYFUNCTION("GOOGLEFINANCE(N24,""price"")"),54.25)</f>
        <v>54.25</v>
      </c>
      <c r="S24" s="10">
        <f t="shared" ca="1" si="3"/>
        <v>-7040.0000000000064</v>
      </c>
      <c r="T24" s="31"/>
      <c r="U24" s="126"/>
      <c r="V24" s="126"/>
      <c r="W24" s="12">
        <f t="shared" ca="1" si="10"/>
        <v>-6.0931279210663032</v>
      </c>
      <c r="X24" s="24">
        <f t="shared" si="11"/>
        <v>115540</v>
      </c>
    </row>
    <row r="25" spans="1:24">
      <c r="A25" s="31" t="s">
        <v>68</v>
      </c>
      <c r="B25" s="31" t="s">
        <v>382</v>
      </c>
      <c r="C25" s="126">
        <v>34.1</v>
      </c>
      <c r="D25" s="126">
        <v>5000</v>
      </c>
      <c r="E25" s="20">
        <f ca="1">IFERROR(__xludf.DUMMYFUNCTION("GOOGLEFINANCE(A25,""price"")"),30.2)</f>
        <v>30.2</v>
      </c>
      <c r="F25" s="10">
        <f t="shared" ca="1" si="7"/>
        <v>-19500.000000000011</v>
      </c>
      <c r="J25" s="12">
        <f t="shared" ca="1" si="8"/>
        <v>-11.436950146627572</v>
      </c>
      <c r="K25" s="24">
        <f t="shared" si="9"/>
        <v>170500</v>
      </c>
      <c r="M25" s="3">
        <v>815</v>
      </c>
      <c r="N25" s="31" t="s">
        <v>169</v>
      </c>
      <c r="O25" s="31" t="s">
        <v>668</v>
      </c>
      <c r="P25" s="126">
        <v>924.76</v>
      </c>
      <c r="Q25" s="126">
        <v>100</v>
      </c>
      <c r="R25" s="20">
        <f ca="1">IFERROR(__xludf.DUMMYFUNCTION("GOOGLEFINANCE(N25,""price"")"),770)</f>
        <v>770</v>
      </c>
      <c r="S25" s="10">
        <f t="shared" ca="1" si="3"/>
        <v>-15476</v>
      </c>
      <c r="T25" s="31"/>
      <c r="U25" s="126" t="s">
        <v>630</v>
      </c>
      <c r="V25" s="126"/>
      <c r="W25" s="12">
        <f t="shared" ca="1" si="10"/>
        <v>-16.735152904537394</v>
      </c>
      <c r="X25" s="24">
        <f t="shared" si="11"/>
        <v>92476</v>
      </c>
    </row>
    <row r="26" spans="1:24">
      <c r="A26" s="3" t="s">
        <v>52</v>
      </c>
      <c r="B26" s="31" t="s">
        <v>336</v>
      </c>
      <c r="C26" s="126">
        <v>620</v>
      </c>
      <c r="D26" s="126">
        <v>75</v>
      </c>
      <c r="E26" s="20">
        <f ca="1">IFERROR(__xludf.DUMMYFUNCTION("GOOGLEFINANCE(A26,""price"")"),658)</f>
        <v>658</v>
      </c>
      <c r="F26" s="10">
        <f t="shared" ca="1" si="7"/>
        <v>2850</v>
      </c>
      <c r="J26" s="12">
        <f t="shared" ca="1" si="8"/>
        <v>6.129032258064516</v>
      </c>
      <c r="K26" s="24">
        <f t="shared" si="9"/>
        <v>46500</v>
      </c>
      <c r="M26" s="3">
        <v>151.1</v>
      </c>
      <c r="N26" s="31" t="s">
        <v>239</v>
      </c>
      <c r="O26" s="31" t="s">
        <v>669</v>
      </c>
      <c r="P26" s="126">
        <v>147.94</v>
      </c>
      <c r="Q26" s="126">
        <v>500</v>
      </c>
      <c r="R26" s="20">
        <f ca="1">IFERROR(__xludf.DUMMYFUNCTION("GOOGLEFINANCE(N26,""price"")"),144.55)</f>
        <v>144.55000000000001</v>
      </c>
      <c r="S26" s="10">
        <f t="shared" ca="1" si="3"/>
        <v>-1694.9999999999932</v>
      </c>
      <c r="T26" s="31"/>
      <c r="U26" s="126" t="s">
        <v>630</v>
      </c>
      <c r="V26" s="126"/>
      <c r="W26" s="12">
        <f t="shared" ca="1" si="10"/>
        <v>-2.2914695146680994</v>
      </c>
      <c r="X26" s="24">
        <f t="shared" si="11"/>
        <v>73970</v>
      </c>
    </row>
    <row r="27" spans="1:24">
      <c r="A27" s="31" t="s">
        <v>71</v>
      </c>
      <c r="B27" s="31" t="s">
        <v>641</v>
      </c>
      <c r="C27" s="126">
        <v>180.14</v>
      </c>
      <c r="D27" s="126">
        <v>750</v>
      </c>
      <c r="E27" s="20">
        <f ca="1">IFERROR(__xludf.DUMMYFUNCTION("GOOGLEFINANCE(A27,""price"")"),228.25)</f>
        <v>228.25</v>
      </c>
      <c r="F27" s="10">
        <f t="shared" ca="1" si="7"/>
        <v>36082.500000000007</v>
      </c>
      <c r="J27" s="12">
        <f t="shared" ca="1" si="8"/>
        <v>26.707005662262695</v>
      </c>
      <c r="K27" s="24">
        <f t="shared" si="9"/>
        <v>135105</v>
      </c>
      <c r="M27" s="3">
        <v>1400</v>
      </c>
      <c r="N27" s="31" t="s">
        <v>634</v>
      </c>
      <c r="O27" s="31" t="s">
        <v>635</v>
      </c>
      <c r="P27" s="126">
        <v>1468.49</v>
      </c>
      <c r="Q27" s="126">
        <v>60</v>
      </c>
      <c r="R27" s="20">
        <f ca="1">IFERROR(__xludf.DUMMYFUNCTION("GOOGLEFINANCE(N27,""price"")"),1462.05)</f>
        <v>1462.05</v>
      </c>
      <c r="S27" s="10">
        <f t="shared" ca="1" si="3"/>
        <v>-386.40000000000327</v>
      </c>
      <c r="T27" s="31"/>
      <c r="U27" s="126" t="s">
        <v>630</v>
      </c>
      <c r="V27" s="126"/>
      <c r="W27" s="12">
        <f t="shared" ca="1" si="10"/>
        <v>-0.43854571702906076</v>
      </c>
      <c r="X27" s="24">
        <f t="shared" si="11"/>
        <v>88109.4</v>
      </c>
    </row>
    <row r="28" spans="1:24">
      <c r="A28" s="3" t="s">
        <v>54</v>
      </c>
      <c r="B28" s="31" t="s">
        <v>339</v>
      </c>
      <c r="C28" s="126">
        <v>2345.3000000000002</v>
      </c>
      <c r="D28" s="3">
        <v>30</v>
      </c>
      <c r="E28" s="20">
        <f ca="1">IFERROR(__xludf.DUMMYFUNCTION("GOOGLEFINANCE(A28,""price"")"),2410)</f>
        <v>2410</v>
      </c>
      <c r="F28" s="10">
        <f t="shared" ca="1" si="7"/>
        <v>1940.9999999999945</v>
      </c>
      <c r="J28" s="12">
        <f t="shared" ca="1" si="8"/>
        <v>2.7587089071760462</v>
      </c>
      <c r="K28" s="24">
        <f t="shared" si="9"/>
        <v>70359</v>
      </c>
      <c r="M28" s="3">
        <v>99.55</v>
      </c>
      <c r="N28" s="31" t="s">
        <v>577</v>
      </c>
      <c r="O28" s="31" t="s">
        <v>640</v>
      </c>
      <c r="P28" s="126">
        <v>112.66</v>
      </c>
      <c r="Q28" s="126">
        <v>1300</v>
      </c>
      <c r="R28" s="20">
        <f ca="1">IFERROR(__xludf.DUMMYFUNCTION("GOOGLEFINANCE(N28,""price"")"),104.35)</f>
        <v>104.35</v>
      </c>
      <c r="S28" s="10">
        <f t="shared" ca="1" si="3"/>
        <v>-10803.000000000004</v>
      </c>
      <c r="W28" s="12">
        <f t="shared" ca="1" si="10"/>
        <v>-7.3761761050949781</v>
      </c>
      <c r="X28" s="24">
        <f t="shared" si="11"/>
        <v>146458</v>
      </c>
    </row>
    <row r="29" spans="1:24">
      <c r="A29" s="3" t="s">
        <v>73</v>
      </c>
      <c r="B29" s="31" t="s">
        <v>343</v>
      </c>
      <c r="C29" s="126">
        <v>4230.5200000000004</v>
      </c>
      <c r="D29" s="3">
        <v>25</v>
      </c>
      <c r="E29" s="20">
        <f ca="1">IFERROR(__xludf.DUMMYFUNCTION("GOOGLEFINANCE(A29,""price"")"),4003.8)</f>
        <v>4003.8</v>
      </c>
      <c r="F29" s="10">
        <f t="shared" ca="1" si="7"/>
        <v>-5668.0000000000064</v>
      </c>
      <c r="J29" s="12">
        <f t="shared" ca="1" si="8"/>
        <v>-5.3591520664126451</v>
      </c>
      <c r="K29" s="24">
        <f t="shared" si="9"/>
        <v>105763.00000000001</v>
      </c>
      <c r="N29" s="31" t="s">
        <v>178</v>
      </c>
      <c r="O29" s="31" t="s">
        <v>644</v>
      </c>
      <c r="P29" s="126">
        <v>62.57</v>
      </c>
      <c r="Q29" s="126">
        <v>3000</v>
      </c>
      <c r="R29" s="20">
        <f ca="1">IFERROR(__xludf.DUMMYFUNCTION("GOOGLEFINANCE(N29,""price"")"),61.15)</f>
        <v>61.15</v>
      </c>
      <c r="S29" s="10">
        <f t="shared" ca="1" si="3"/>
        <v>-4260.0000000000055</v>
      </c>
      <c r="W29" s="12">
        <f t="shared" ca="1" si="10"/>
        <v>-2.2694582068083773</v>
      </c>
      <c r="X29" s="24">
        <f t="shared" si="11"/>
        <v>187710</v>
      </c>
    </row>
    <row r="30" spans="1:24">
      <c r="A30" s="31" t="s">
        <v>77</v>
      </c>
      <c r="B30" s="31" t="s">
        <v>645</v>
      </c>
      <c r="C30" s="126">
        <v>166.88</v>
      </c>
      <c r="D30" s="126">
        <v>1000</v>
      </c>
      <c r="E30" s="20">
        <f ca="1">IFERROR(__xludf.DUMMYFUNCTION("GOOGLEFINANCE(A30,""price"")"),170.2)</f>
        <v>170.2</v>
      </c>
      <c r="F30" s="10">
        <f t="shared" ca="1" si="7"/>
        <v>3319.9999999999932</v>
      </c>
      <c r="J30" s="12">
        <f t="shared" ca="1" si="8"/>
        <v>1.9894534995206097</v>
      </c>
      <c r="K30" s="24">
        <f t="shared" si="9"/>
        <v>166880</v>
      </c>
      <c r="N30" s="31" t="s">
        <v>172</v>
      </c>
      <c r="O30" s="31" t="s">
        <v>649</v>
      </c>
      <c r="P30" s="126">
        <v>206.51</v>
      </c>
      <c r="Q30" s="126">
        <v>700</v>
      </c>
      <c r="R30" s="20">
        <f ca="1">IFERROR(__xludf.DUMMYFUNCTION("GOOGLEFINANCE(N30,""price"")"),199.25)</f>
        <v>199.25</v>
      </c>
      <c r="S30" s="10">
        <f t="shared" ca="1" si="3"/>
        <v>-5081.9999999999936</v>
      </c>
      <c r="W30" s="12">
        <f t="shared" ca="1" si="10"/>
        <v>-3.5155682533533441</v>
      </c>
      <c r="X30" s="24">
        <f t="shared" si="11"/>
        <v>144557</v>
      </c>
    </row>
    <row r="31" spans="1:24">
      <c r="A31" s="3" t="s">
        <v>58</v>
      </c>
      <c r="B31" s="31" t="s">
        <v>650</v>
      </c>
      <c r="C31" s="126">
        <v>596.73</v>
      </c>
      <c r="D31" s="126">
        <v>100</v>
      </c>
      <c r="E31" s="20">
        <f ca="1">IFERROR(__xludf.DUMMYFUNCTION("GOOGLEFINANCE(A31,""price"")"),612.55)</f>
        <v>612.54999999999995</v>
      </c>
      <c r="F31" s="10">
        <f t="shared" ca="1" si="7"/>
        <v>1581.9999999999936</v>
      </c>
      <c r="J31" s="12">
        <f t="shared" ca="1" si="8"/>
        <v>2.6511152447505464</v>
      </c>
      <c r="K31" s="24">
        <f t="shared" si="9"/>
        <v>59673</v>
      </c>
      <c r="N31" s="31" t="s">
        <v>646</v>
      </c>
      <c r="O31" s="31" t="s">
        <v>647</v>
      </c>
      <c r="P31" s="126">
        <v>1564.68</v>
      </c>
      <c r="Q31" s="126">
        <v>60</v>
      </c>
      <c r="R31" s="20">
        <f ca="1">IFERROR(__xludf.DUMMYFUNCTION("GOOGLEFINANCE(N31,""price"")"),1555)</f>
        <v>1555</v>
      </c>
      <c r="S31" s="10">
        <f t="shared" ca="1" si="3"/>
        <v>-580.80000000000382</v>
      </c>
      <c r="W31" s="12">
        <f t="shared" ca="1" si="10"/>
        <v>-0.6186568499629358</v>
      </c>
      <c r="X31" s="24">
        <f t="shared" si="11"/>
        <v>93880.8</v>
      </c>
    </row>
    <row r="32" spans="1:24">
      <c r="N32" s="31" t="s">
        <v>651</v>
      </c>
      <c r="O32" s="31" t="s">
        <v>652</v>
      </c>
      <c r="P32" s="126">
        <v>292.83</v>
      </c>
      <c r="Q32" s="126">
        <v>200</v>
      </c>
      <c r="R32" s="20">
        <f ca="1">IFERROR(__xludf.DUMMYFUNCTION("GOOGLEFINANCE(N32,""price"")"),319)</f>
        <v>319</v>
      </c>
      <c r="S32" s="10">
        <f t="shared" ca="1" si="3"/>
        <v>5234.0000000000036</v>
      </c>
      <c r="W32" s="12">
        <f t="shared" ca="1" si="10"/>
        <v>8.9369258614213098</v>
      </c>
      <c r="X32" s="24">
        <f t="shared" si="11"/>
        <v>58566</v>
      </c>
    </row>
    <row r="33" spans="13:24">
      <c r="M33" s="3">
        <v>250</v>
      </c>
      <c r="N33" s="31" t="s">
        <v>29</v>
      </c>
      <c r="O33" s="31" t="s">
        <v>653</v>
      </c>
      <c r="P33" s="126">
        <v>265.49</v>
      </c>
      <c r="Q33" s="126">
        <v>600</v>
      </c>
      <c r="R33" s="20">
        <f ca="1">IFERROR(__xludf.DUMMYFUNCTION("GOOGLEFINANCE(N33,""price"")"),296.25)</f>
        <v>296.25</v>
      </c>
      <c r="S33" s="10">
        <f t="shared" ca="1" si="3"/>
        <v>18455.999999999993</v>
      </c>
      <c r="W33" s="12">
        <f t="shared" ca="1" si="10"/>
        <v>11.586123771140151</v>
      </c>
      <c r="X33" s="24">
        <f t="shared" si="11"/>
        <v>159294</v>
      </c>
    </row>
    <row r="34" spans="13:24">
      <c r="M34" s="3">
        <v>1670</v>
      </c>
      <c r="N34" s="31" t="s">
        <v>179</v>
      </c>
      <c r="O34" s="31" t="s">
        <v>509</v>
      </c>
      <c r="P34" s="126">
        <v>1975.91</v>
      </c>
      <c r="Q34" s="126">
        <v>80</v>
      </c>
      <c r="R34" s="20">
        <f ca="1">IFERROR(__xludf.DUMMYFUNCTION("GOOGLEFINANCE(N34,""price"")"),1865.55)</f>
        <v>1865.55</v>
      </c>
      <c r="S34" s="10">
        <f t="shared" ca="1" si="3"/>
        <v>-8828.8000000000102</v>
      </c>
      <c r="W34" s="12">
        <f t="shared" ca="1" si="10"/>
        <v>-5.5852746329539364</v>
      </c>
      <c r="X34" s="24">
        <f t="shared" si="11"/>
        <v>158072.80000000002</v>
      </c>
    </row>
    <row r="35" spans="13:24">
      <c r="M35" s="3">
        <v>410</v>
      </c>
      <c r="N35" s="31" t="s">
        <v>241</v>
      </c>
      <c r="O35" s="31" t="s">
        <v>654</v>
      </c>
      <c r="P35" s="126">
        <v>295.38</v>
      </c>
      <c r="Q35" s="126">
        <v>400</v>
      </c>
      <c r="R35" s="20">
        <f ca="1">IFERROR(__xludf.DUMMYFUNCTION("GOOGLEFINANCE(N35,""price"")"),399.8)</f>
        <v>399.8</v>
      </c>
      <c r="S35" s="10">
        <f t="shared" ca="1" si="3"/>
        <v>41768.000000000007</v>
      </c>
      <c r="W35" s="12">
        <f t="shared" ca="1" si="10"/>
        <v>35.351073193851995</v>
      </c>
      <c r="X35" s="24">
        <f t="shared" si="11"/>
        <v>118152</v>
      </c>
    </row>
    <row r="36" spans="13:24">
      <c r="M36" s="3">
        <v>238.42</v>
      </c>
      <c r="N36" s="3" t="s">
        <v>200</v>
      </c>
      <c r="O36" s="31" t="s">
        <v>513</v>
      </c>
      <c r="P36" s="126">
        <v>293.89999999999998</v>
      </c>
      <c r="Q36" s="126">
        <v>600</v>
      </c>
      <c r="R36" s="20">
        <f ca="1">IFERROR(__xludf.DUMMYFUNCTION("GOOGLEFINANCE(N36,""price"")"),265)</f>
        <v>265</v>
      </c>
      <c r="S36" s="10">
        <f t="shared" ca="1" si="3"/>
        <v>-17339.999999999985</v>
      </c>
      <c r="W36" s="12">
        <f t="shared" ca="1" si="10"/>
        <v>-9.8332766247022736</v>
      </c>
      <c r="X36" s="24">
        <f t="shared" si="11"/>
        <v>176340</v>
      </c>
    </row>
    <row r="37" spans="13:24">
      <c r="N37" s="3" t="s">
        <v>591</v>
      </c>
      <c r="O37" s="31" t="s">
        <v>629</v>
      </c>
      <c r="P37" s="126">
        <v>2993.03</v>
      </c>
      <c r="Q37" s="126">
        <v>20</v>
      </c>
      <c r="R37" s="20">
        <f ca="1">IFERROR(__xludf.DUMMYFUNCTION("GOOGLEFINANCE(N37,""price"")"),3375)</f>
        <v>3375</v>
      </c>
      <c r="S37" s="10">
        <f t="shared" ca="1" si="3"/>
        <v>7639.399999999996</v>
      </c>
      <c r="W37" s="12">
        <f t="shared" ca="1" si="10"/>
        <v>12.761983675405851</v>
      </c>
      <c r="X37" s="24">
        <f t="shared" si="11"/>
        <v>59860.600000000006</v>
      </c>
    </row>
    <row r="38" spans="13:24">
      <c r="N38" s="31" t="s">
        <v>520</v>
      </c>
      <c r="O38" s="31" t="s">
        <v>521</v>
      </c>
      <c r="P38" s="126">
        <v>35.39</v>
      </c>
      <c r="Q38" s="126">
        <v>4000</v>
      </c>
      <c r="R38" s="20">
        <f ca="1">IFERROR(__xludf.DUMMYFUNCTION("GOOGLEFINANCE(N38,""price"")"),32.7)</f>
        <v>32.700000000000003</v>
      </c>
      <c r="S38" s="10">
        <f t="shared" ca="1" si="3"/>
        <v>-10759.999999999991</v>
      </c>
      <c r="W38" s="12">
        <f t="shared" ca="1" si="10"/>
        <v>-7.6010172365074817</v>
      </c>
      <c r="X38" s="24">
        <f t="shared" si="11"/>
        <v>141560</v>
      </c>
    </row>
    <row r="39" spans="13:24">
      <c r="N39" s="31" t="s">
        <v>201</v>
      </c>
      <c r="O39" s="31" t="s">
        <v>595</v>
      </c>
      <c r="P39" s="126">
        <v>149.44999999999999</v>
      </c>
      <c r="Q39" s="126">
        <v>1000</v>
      </c>
      <c r="R39" s="20">
        <f ca="1">IFERROR(__xludf.DUMMYFUNCTION("GOOGLEFINANCE(N39,""price"")"),128.65)</f>
        <v>128.65</v>
      </c>
      <c r="S39" s="10">
        <f t="shared" ca="1" si="3"/>
        <v>-20799.999999999982</v>
      </c>
      <c r="W39" s="12">
        <f t="shared" ca="1" si="10"/>
        <v>-13.917698226831705</v>
      </c>
      <c r="X39" s="24">
        <f t="shared" si="11"/>
        <v>149450</v>
      </c>
    </row>
    <row r="40" spans="13:24">
      <c r="N40" s="31" t="s">
        <v>596</v>
      </c>
      <c r="O40" s="31" t="s">
        <v>656</v>
      </c>
      <c r="P40" s="126">
        <v>169.51</v>
      </c>
      <c r="Q40" s="126">
        <v>1000</v>
      </c>
      <c r="R40" s="20">
        <f ca="1">IFERROR(__xludf.DUMMYFUNCTION("GOOGLEFINANCE(N40,""price"")"),220.45)</f>
        <v>220.45</v>
      </c>
      <c r="S40" s="10">
        <f t="shared" ca="1" si="3"/>
        <v>50940</v>
      </c>
      <c r="W40" s="12">
        <f t="shared" ca="1" si="10"/>
        <v>30.051324405639786</v>
      </c>
      <c r="X40" s="24">
        <f t="shared" si="11"/>
        <v>169510</v>
      </c>
    </row>
    <row r="41" spans="13:24">
      <c r="M41" s="3">
        <v>841</v>
      </c>
      <c r="N41" s="31" t="s">
        <v>657</v>
      </c>
      <c r="O41" s="31" t="s">
        <v>658</v>
      </c>
      <c r="P41" s="126">
        <v>528.58000000000004</v>
      </c>
      <c r="Q41" s="126">
        <v>225</v>
      </c>
      <c r="R41" s="20">
        <f ca="1">IFERROR(__xludf.DUMMYFUNCTION("GOOGLEFINANCE(N41,""price"")"),893.75)</f>
        <v>893.75</v>
      </c>
      <c r="S41" s="10">
        <f t="shared" ca="1" si="3"/>
        <v>82163.249999999985</v>
      </c>
      <c r="W41" s="12">
        <f t="shared" ca="1" si="10"/>
        <v>69.085095917363489</v>
      </c>
      <c r="X41" s="24">
        <f t="shared" si="11"/>
        <v>118930.50000000001</v>
      </c>
    </row>
    <row r="42" spans="13:24">
      <c r="M42" s="3">
        <v>312.55</v>
      </c>
      <c r="N42" s="31" t="s">
        <v>42</v>
      </c>
      <c r="O42" s="31" t="s">
        <v>624</v>
      </c>
      <c r="P42" s="126">
        <v>299.20999999999998</v>
      </c>
      <c r="Q42" s="126">
        <v>925</v>
      </c>
      <c r="R42" s="20">
        <f ca="1">IFERROR(__xludf.DUMMYFUNCTION("GOOGLEFINANCE(N42,""price"")"),307.95)</f>
        <v>307.95</v>
      </c>
      <c r="S42" s="10">
        <f t="shared" ca="1" si="3"/>
        <v>8084.5000000000082</v>
      </c>
      <c r="W42" s="12">
        <f t="shared" ca="1" si="10"/>
        <v>2.9210253667992414</v>
      </c>
      <c r="X42" s="24">
        <f t="shared" si="11"/>
        <v>276769.25</v>
      </c>
    </row>
    <row r="43" spans="13:24">
      <c r="M43" s="3">
        <v>838</v>
      </c>
      <c r="N43" s="3" t="s">
        <v>204</v>
      </c>
      <c r="O43" s="31" t="s">
        <v>511</v>
      </c>
      <c r="P43" s="126">
        <v>887.05</v>
      </c>
      <c r="Q43" s="126">
        <v>170</v>
      </c>
      <c r="R43" s="20">
        <f ca="1">IFERROR(__xludf.DUMMYFUNCTION("GOOGLEFINANCE(N43,""price"")"),827)</f>
        <v>827</v>
      </c>
      <c r="S43" s="10">
        <f t="shared" ca="1" si="3"/>
        <v>-10208.499999999993</v>
      </c>
      <c r="W43" s="12">
        <f t="shared" ca="1" si="10"/>
        <v>-6.7696296713826678</v>
      </c>
      <c r="X43" s="24">
        <f t="shared" si="11"/>
        <v>150798.5</v>
      </c>
    </row>
  </sheetData>
  <conditionalFormatting sqref="F1">
    <cfRule type="cellIs" dxfId="56" priority="5" operator="greaterThan">
      <formula>0</formula>
    </cfRule>
  </conditionalFormatting>
  <conditionalFormatting sqref="J1:J2 J4:J5 J8:J11 J13:J17 J19:J44 W20:W43 G31:G42 T36">
    <cfRule type="cellIs" dxfId="55" priority="12" operator="lessThan">
      <formula>0</formula>
    </cfRule>
    <cfRule type="cellIs" dxfId="54" priority="11" operator="lessThan">
      <formula>-7</formula>
    </cfRule>
  </conditionalFormatting>
  <conditionalFormatting sqref="J1:J2">
    <cfRule type="cellIs" dxfId="53" priority="9" operator="greaterThan">
      <formula>20</formula>
    </cfRule>
    <cfRule type="cellIs" dxfId="52" priority="10" operator="greaterThan">
      <formula>0</formula>
    </cfRule>
  </conditionalFormatting>
  <conditionalFormatting sqref="J4:J5 J8:J11 J13:J17 J19:J44 W20:W43 G31:G42 T36 M2 S5:S8">
    <cfRule type="cellIs" dxfId="51" priority="8" operator="greaterThan">
      <formula>0</formula>
    </cfRule>
  </conditionalFormatting>
  <conditionalFormatting sqref="J4:J5 J8:J11 J13:J17 J19:J44 W20:W43 G31:G42 T36">
    <cfRule type="cellIs" dxfId="50" priority="3" operator="greaterThan">
      <formula>20</formula>
    </cfRule>
  </conditionalFormatting>
  <conditionalFormatting sqref="M2">
    <cfRule type="cellIs" dxfId="49" priority="7" operator="lessThan">
      <formula>0</formula>
    </cfRule>
  </conditionalFormatting>
  <conditionalFormatting sqref="N2">
    <cfRule type="cellIs" dxfId="48" priority="4" operator="greaterThan">
      <formula>100</formula>
    </cfRule>
  </conditionalFormatting>
  <conditionalFormatting sqref="S1:S2">
    <cfRule type="cellIs" dxfId="47" priority="13" operator="greaterThan">
      <formula>0</formula>
    </cfRule>
  </conditionalFormatting>
  <conditionalFormatting sqref="T1:T2">
    <cfRule type="cellIs" dxfId="46" priority="6" operator="lessThan">
      <formula>1</formula>
    </cfRule>
    <cfRule type="cellIs" dxfId="45" priority="2" operator="greaterThan">
      <formula>5</formula>
    </cfRule>
    <cfRule type="cellIs" dxfId="44" priority="1" operator="lessThan">
      <formula>-2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V19"/>
  <sheetViews>
    <sheetView workbookViewId="0"/>
  </sheetViews>
  <sheetFormatPr baseColWidth="10" defaultColWidth="12.6640625" defaultRowHeight="15" customHeight="1"/>
  <sheetData>
    <row r="1" spans="1:48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47" t="s">
        <v>186</v>
      </c>
      <c r="F1" s="9" t="s">
        <v>89</v>
      </c>
      <c r="G1" s="48" t="s">
        <v>95</v>
      </c>
      <c r="H1" s="11" t="s">
        <v>96</v>
      </c>
      <c r="I1" s="11" t="s">
        <v>97</v>
      </c>
      <c r="J1" s="9" t="s">
        <v>98</v>
      </c>
      <c r="K1" s="93" t="s">
        <v>99</v>
      </c>
      <c r="L1" s="10" t="s">
        <v>100</v>
      </c>
      <c r="M1" s="9" t="s">
        <v>101</v>
      </c>
      <c r="N1" s="13" t="s">
        <v>102</v>
      </c>
      <c r="O1" s="9" t="s">
        <v>103</v>
      </c>
      <c r="P1" s="3" t="s">
        <v>104</v>
      </c>
      <c r="Q1" s="49">
        <f ca="1">Q4/Q2</f>
        <v>0.53333333333333333</v>
      </c>
      <c r="R1" s="50" t="s">
        <v>187</v>
      </c>
      <c r="S1" s="9" t="s">
        <v>83</v>
      </c>
      <c r="T1" s="9" t="s">
        <v>92</v>
      </c>
      <c r="U1" s="9" t="s">
        <v>93</v>
      </c>
      <c r="V1" s="9" t="s">
        <v>94</v>
      </c>
      <c r="W1" s="9" t="s">
        <v>188</v>
      </c>
      <c r="X1" s="9" t="s">
        <v>189</v>
      </c>
      <c r="Y1" s="11" t="s">
        <v>190</v>
      </c>
      <c r="Z1" s="13" t="s">
        <v>99</v>
      </c>
      <c r="AA1" s="10" t="s">
        <v>100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5.75" customHeight="1">
      <c r="B2" s="3" t="s">
        <v>105</v>
      </c>
      <c r="C2" s="19">
        <f ca="1">TODAY()</f>
        <v>45396</v>
      </c>
      <c r="E2" s="51"/>
      <c r="F2" s="52"/>
      <c r="G2" s="53" t="s">
        <v>106</v>
      </c>
      <c r="H2" s="53" t="e">
        <f ca="1">_xludf.DAYS(C2,C3)</f>
        <v>#NAME?</v>
      </c>
      <c r="I2" s="22"/>
      <c r="J2" s="23">
        <f ca="1">SUM(G2:G226)</f>
        <v>10099.049999999988</v>
      </c>
      <c r="K2" s="93"/>
      <c r="L2" s="54" t="s">
        <v>670</v>
      </c>
      <c r="M2" s="25">
        <f>SUM(L4:L739)-X2</f>
        <v>2376162.25</v>
      </c>
      <c r="N2" s="55">
        <f ca="1">O2/M2</f>
        <v>-4.1980613907993881E-2</v>
      </c>
      <c r="O2" s="25">
        <f ca="1">J2+X2</f>
        <v>-99752.750000000029</v>
      </c>
      <c r="P2" s="27" t="s">
        <v>107</v>
      </c>
      <c r="Q2" s="28">
        <f ca="1">Q3+Q4</f>
        <v>15</v>
      </c>
      <c r="R2" s="56">
        <f ca="1">SUM(L4:L35)+J2</f>
        <v>2276409.5</v>
      </c>
      <c r="S2" s="57"/>
      <c r="U2" s="58"/>
      <c r="W2" s="9" t="s">
        <v>193</v>
      </c>
      <c r="X2" s="23">
        <f>SUM(X3:X991)</f>
        <v>-109851.80000000002</v>
      </c>
      <c r="Z2" s="59">
        <f>X2/AA2</f>
        <v>-0.18330437388607088</v>
      </c>
      <c r="AA2" s="60">
        <f>SUM(AA3:AA944)</f>
        <v>599286.29999999993</v>
      </c>
      <c r="AB2" s="61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</row>
    <row r="3" spans="1:48" ht="15.75" customHeight="1">
      <c r="C3" s="38">
        <v>45329</v>
      </c>
      <c r="E3" s="16"/>
      <c r="G3" s="63"/>
      <c r="K3" s="95"/>
      <c r="L3" s="1"/>
      <c r="M3" s="29" t="s">
        <v>108</v>
      </c>
      <c r="N3" s="26">
        <f ca="1">J2/M2</f>
        <v>4.2501516889261199E-3</v>
      </c>
      <c r="P3" s="28" t="s">
        <v>109</v>
      </c>
      <c r="Q3" s="28">
        <f ca="1">COUNTIF(G:G, "&lt;0")</f>
        <v>7</v>
      </c>
      <c r="S3" s="96"/>
      <c r="T3" s="97"/>
      <c r="U3" s="98"/>
      <c r="V3" s="98"/>
      <c r="W3" s="99"/>
      <c r="X3" s="100"/>
      <c r="Y3" s="97"/>
      <c r="Z3" s="101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</row>
    <row r="4" spans="1:48">
      <c r="P4" s="28" t="s">
        <v>110</v>
      </c>
      <c r="Q4" s="28">
        <f ca="1">COUNTIF(G:G, "&gt;0")</f>
        <v>8</v>
      </c>
      <c r="S4" s="31" t="s">
        <v>179</v>
      </c>
      <c r="U4" s="126">
        <v>1975.81</v>
      </c>
      <c r="V4" s="3">
        <v>70</v>
      </c>
      <c r="W4" s="3">
        <v>1670.85</v>
      </c>
      <c r="X4" s="8">
        <f t="shared" ref="X4:X7" si="0">(W4-U4)*V4</f>
        <v>-21347.200000000004</v>
      </c>
      <c r="Y4" s="1" t="s">
        <v>516</v>
      </c>
      <c r="Z4" s="166">
        <f t="shared" ref="Z4:Z7" si="1">X4/AA4</f>
        <v>-0.15434682484651868</v>
      </c>
      <c r="AA4" s="3">
        <f t="shared" ref="AA4:AA7" si="2">U4*V4</f>
        <v>138306.69999999998</v>
      </c>
      <c r="AC4" s="67"/>
      <c r="AD4" s="68"/>
    </row>
    <row r="5" spans="1:48">
      <c r="A5" s="3" t="s">
        <v>10</v>
      </c>
      <c r="C5" s="126">
        <v>466.4</v>
      </c>
      <c r="D5" s="126">
        <v>330</v>
      </c>
      <c r="E5" s="3" t="s">
        <v>198</v>
      </c>
      <c r="F5" s="8">
        <f ca="1">IFERROR(__xludf.DUMMYFUNCTION("GOOGLEFINANCE(A5,""price"")"),480)</f>
        <v>480</v>
      </c>
      <c r="G5" s="1">
        <f t="shared" ref="G5:G19" ca="1" si="3">(F5-C5)*D5</f>
        <v>4488.0000000000073</v>
      </c>
      <c r="H5" s="31" t="s">
        <v>346</v>
      </c>
      <c r="K5" s="67">
        <f t="shared" ref="K5:K19" ca="1" si="4">(F5-C5)*100/C5</f>
        <v>2.9159519725557512</v>
      </c>
      <c r="L5" s="68">
        <f t="shared" ref="L5:L19" si="5">C5*D5</f>
        <v>153912</v>
      </c>
      <c r="S5" s="3" t="s">
        <v>63</v>
      </c>
      <c r="T5" s="35">
        <v>45329</v>
      </c>
      <c r="U5" s="3">
        <v>63.39</v>
      </c>
      <c r="V5" s="3">
        <v>2500</v>
      </c>
      <c r="W5" s="3">
        <v>47.65</v>
      </c>
      <c r="X5" s="8">
        <f t="shared" si="0"/>
        <v>-39350.000000000007</v>
      </c>
      <c r="Y5" s="1" t="s">
        <v>516</v>
      </c>
      <c r="Z5" s="166">
        <f t="shared" si="1"/>
        <v>-0.24830414891938796</v>
      </c>
      <c r="AA5" s="3">
        <f t="shared" si="2"/>
        <v>158475</v>
      </c>
      <c r="AC5" s="67"/>
      <c r="AD5" s="68"/>
    </row>
    <row r="6" spans="1:48">
      <c r="A6" s="3" t="s">
        <v>16</v>
      </c>
      <c r="B6" s="167"/>
      <c r="C6" s="126">
        <v>1988</v>
      </c>
      <c r="D6" s="126">
        <v>75</v>
      </c>
      <c r="E6" s="3" t="s">
        <v>198</v>
      </c>
      <c r="F6" s="8">
        <f ca="1">IFERROR(__xludf.DUMMYFUNCTION("GOOGLEFINANCE(A6,""price"")"),1715)</f>
        <v>1715</v>
      </c>
      <c r="G6" s="1">
        <f t="shared" ca="1" si="3"/>
        <v>-20475</v>
      </c>
      <c r="H6" s="31" t="s">
        <v>540</v>
      </c>
      <c r="K6" s="67">
        <f t="shared" ca="1" si="4"/>
        <v>-13.732394366197184</v>
      </c>
      <c r="L6" s="68">
        <f t="shared" si="5"/>
        <v>149100</v>
      </c>
      <c r="S6" s="3" t="s">
        <v>200</v>
      </c>
      <c r="U6" s="126">
        <v>304.91000000000003</v>
      </c>
      <c r="V6" s="126">
        <v>500</v>
      </c>
      <c r="W6" s="3">
        <v>239.5</v>
      </c>
      <c r="X6" s="8">
        <f t="shared" si="0"/>
        <v>-32705.000000000011</v>
      </c>
      <c r="Y6" s="1" t="s">
        <v>516</v>
      </c>
      <c r="Z6" s="166">
        <f t="shared" si="1"/>
        <v>-0.21452231806106728</v>
      </c>
      <c r="AA6" s="3">
        <f t="shared" si="2"/>
        <v>152455</v>
      </c>
      <c r="AC6" s="67"/>
      <c r="AD6" s="68"/>
    </row>
    <row r="7" spans="1:48">
      <c r="A7" s="3" t="s">
        <v>21</v>
      </c>
      <c r="B7" s="35">
        <v>45341</v>
      </c>
      <c r="C7" s="126">
        <v>6815.39</v>
      </c>
      <c r="D7" s="126">
        <v>20</v>
      </c>
      <c r="E7" s="3" t="s">
        <v>198</v>
      </c>
      <c r="F7" s="8">
        <f ca="1">IFERROR(__xludf.DUMMYFUNCTION("GOOGLEFINANCE(A7,""price"")"),7829.95)</f>
        <v>7829.95</v>
      </c>
      <c r="G7" s="1">
        <f t="shared" ca="1" si="3"/>
        <v>20291.19999999999</v>
      </c>
      <c r="H7" s="31" t="s">
        <v>300</v>
      </c>
      <c r="K7" s="67">
        <f t="shared" ca="1" si="4"/>
        <v>14.886308780568674</v>
      </c>
      <c r="L7" s="68">
        <f t="shared" si="5"/>
        <v>136307.80000000002</v>
      </c>
      <c r="S7" s="3" t="s">
        <v>244</v>
      </c>
      <c r="U7" s="3">
        <v>937.81</v>
      </c>
      <c r="V7" s="3">
        <v>160</v>
      </c>
      <c r="W7" s="3">
        <v>835</v>
      </c>
      <c r="X7" s="8">
        <f t="shared" si="0"/>
        <v>-16449.599999999991</v>
      </c>
      <c r="Y7" s="1" t="s">
        <v>517</v>
      </c>
      <c r="Z7" s="166">
        <f t="shared" si="1"/>
        <v>-0.1096277497574135</v>
      </c>
      <c r="AA7" s="3">
        <f t="shared" si="2"/>
        <v>150049.59999999998</v>
      </c>
      <c r="AC7" s="67"/>
      <c r="AD7" s="68"/>
    </row>
    <row r="8" spans="1:48">
      <c r="A8" s="3" t="s">
        <v>24</v>
      </c>
      <c r="C8" s="3">
        <v>804.83</v>
      </c>
      <c r="D8" s="3">
        <v>175</v>
      </c>
      <c r="E8" s="3" t="s">
        <v>198</v>
      </c>
      <c r="F8" s="8">
        <f ca="1">IFERROR(__xludf.DUMMYFUNCTION("GOOGLEFINANCE(A8,""price"")"),896)</f>
        <v>896</v>
      </c>
      <c r="G8" s="1">
        <f t="shared" ca="1" si="3"/>
        <v>15954.749999999993</v>
      </c>
      <c r="H8" s="31" t="s">
        <v>671</v>
      </c>
      <c r="K8" s="67">
        <f t="shared" ca="1" si="4"/>
        <v>11.327858056980972</v>
      </c>
      <c r="L8" s="68">
        <f t="shared" si="5"/>
        <v>140845.25</v>
      </c>
      <c r="S8" s="9" t="s">
        <v>42</v>
      </c>
      <c r="T8" s="35">
        <v>45341</v>
      </c>
      <c r="U8" s="126">
        <v>320.95999999999998</v>
      </c>
      <c r="V8" s="126">
        <v>475</v>
      </c>
      <c r="W8" s="3" t="s">
        <v>198</v>
      </c>
      <c r="X8" s="8"/>
      <c r="Y8" s="1"/>
      <c r="Z8" s="31"/>
      <c r="AC8" s="67"/>
      <c r="AD8" s="68"/>
    </row>
    <row r="9" spans="1:48">
      <c r="A9" s="31" t="s">
        <v>26</v>
      </c>
      <c r="C9" s="126">
        <v>109.28</v>
      </c>
      <c r="D9" s="126">
        <v>1400</v>
      </c>
      <c r="E9" s="3" t="s">
        <v>198</v>
      </c>
      <c r="F9" s="8">
        <f ca="1">IFERROR(__xludf.DUMMYFUNCTION("GOOGLEFINANCE(A9,""price"")"),98.4)</f>
        <v>98.4</v>
      </c>
      <c r="G9" s="1">
        <f t="shared" ca="1" si="3"/>
        <v>-15231.999999999993</v>
      </c>
      <c r="H9" s="31" t="s">
        <v>542</v>
      </c>
      <c r="K9" s="67">
        <f t="shared" ca="1" si="4"/>
        <v>-9.956076134699849</v>
      </c>
      <c r="L9" s="68">
        <f t="shared" si="5"/>
        <v>152992</v>
      </c>
      <c r="S9" s="3" t="s">
        <v>63</v>
      </c>
      <c r="U9" s="3">
        <v>63.3</v>
      </c>
      <c r="V9" s="3">
        <v>1040</v>
      </c>
      <c r="W9" s="3" t="s">
        <v>198</v>
      </c>
      <c r="X9" s="8"/>
      <c r="Y9" s="1"/>
      <c r="Z9" s="31"/>
      <c r="AC9" s="67"/>
      <c r="AD9" s="68"/>
    </row>
    <row r="10" spans="1:48">
      <c r="A10" s="3" t="s">
        <v>31</v>
      </c>
      <c r="B10" s="35"/>
      <c r="C10" s="126">
        <v>336.01</v>
      </c>
      <c r="D10" s="126">
        <v>500</v>
      </c>
      <c r="E10" s="3" t="s">
        <v>198</v>
      </c>
      <c r="F10" s="8">
        <f ca="1">IFERROR(__xludf.DUMMYFUNCTION("GOOGLEFINANCE(A10,""price"")"),385)</f>
        <v>385</v>
      </c>
      <c r="G10" s="1">
        <f t="shared" ca="1" si="3"/>
        <v>24495.000000000004</v>
      </c>
      <c r="H10" s="31" t="s">
        <v>310</v>
      </c>
      <c r="K10" s="67">
        <f t="shared" ca="1" si="4"/>
        <v>14.579923216570938</v>
      </c>
      <c r="L10" s="68">
        <f t="shared" si="5"/>
        <v>168005</v>
      </c>
      <c r="S10" s="3" t="s">
        <v>672</v>
      </c>
      <c r="T10" s="35">
        <v>45329</v>
      </c>
      <c r="U10" s="3">
        <v>472.51</v>
      </c>
      <c r="V10" s="3">
        <v>350</v>
      </c>
      <c r="W10" s="3" t="s">
        <v>198</v>
      </c>
      <c r="X10" s="8"/>
      <c r="Y10" s="1"/>
      <c r="Z10" s="31"/>
      <c r="AC10" s="67"/>
      <c r="AD10" s="68"/>
    </row>
    <row r="11" spans="1:48">
      <c r="A11" s="3" t="s">
        <v>36</v>
      </c>
      <c r="C11" s="126">
        <v>540.52</v>
      </c>
      <c r="D11" s="126">
        <v>280</v>
      </c>
      <c r="E11" s="3" t="s">
        <v>198</v>
      </c>
      <c r="F11" s="8">
        <f ca="1">IFERROR(__xludf.DUMMYFUNCTION("GOOGLEFINANCE(A11,""price"")"),524.6)</f>
        <v>524.6</v>
      </c>
      <c r="G11" s="1">
        <f t="shared" ca="1" si="3"/>
        <v>-4457.5999999999885</v>
      </c>
      <c r="H11" s="31" t="s">
        <v>311</v>
      </c>
      <c r="K11" s="67">
        <f t="shared" ca="1" si="4"/>
        <v>-2.945311921853023</v>
      </c>
      <c r="L11" s="68">
        <f t="shared" si="5"/>
        <v>151345.60000000001</v>
      </c>
    </row>
    <row r="12" spans="1:48">
      <c r="A12" s="31" t="s">
        <v>38</v>
      </c>
      <c r="C12" s="126">
        <v>478.43</v>
      </c>
      <c r="D12" s="126">
        <v>350</v>
      </c>
      <c r="E12" s="3" t="s">
        <v>198</v>
      </c>
      <c r="F12" s="8">
        <f ca="1">IFERROR(__xludf.DUMMYFUNCTION("GOOGLEFINANCE(A12,""price"")"),461)</f>
        <v>461</v>
      </c>
      <c r="G12" s="1">
        <f t="shared" ca="1" si="3"/>
        <v>-6100.5000000000027</v>
      </c>
      <c r="H12" s="31" t="s">
        <v>315</v>
      </c>
      <c r="K12" s="67">
        <f t="shared" ca="1" si="4"/>
        <v>-3.6431661894112004</v>
      </c>
      <c r="L12" s="68">
        <f t="shared" si="5"/>
        <v>167450.5</v>
      </c>
    </row>
    <row r="13" spans="1:48">
      <c r="A13" s="3" t="s">
        <v>40</v>
      </c>
      <c r="B13" s="35">
        <v>45329</v>
      </c>
      <c r="C13" s="3">
        <v>28.62</v>
      </c>
      <c r="D13" s="3">
        <v>6000</v>
      </c>
      <c r="E13" s="3" t="s">
        <v>198</v>
      </c>
      <c r="F13" s="8">
        <f ca="1">IFERROR(__xludf.DUMMYFUNCTION("GOOGLEFINANCE(A13,""price"")"),20.6)</f>
        <v>20.6</v>
      </c>
      <c r="G13" s="1">
        <f t="shared" ca="1" si="3"/>
        <v>-48120</v>
      </c>
      <c r="H13" s="31" t="s">
        <v>318</v>
      </c>
      <c r="K13" s="67">
        <f t="shared" ca="1" si="4"/>
        <v>-28.022361984626134</v>
      </c>
      <c r="L13" s="68">
        <f t="shared" si="5"/>
        <v>171720</v>
      </c>
    </row>
    <row r="14" spans="1:48">
      <c r="A14" s="3" t="s">
        <v>45</v>
      </c>
      <c r="C14" s="3">
        <v>190.57</v>
      </c>
      <c r="D14" s="3">
        <v>800</v>
      </c>
      <c r="E14" s="3" t="s">
        <v>198</v>
      </c>
      <c r="F14" s="8">
        <f ca="1">IFERROR(__xludf.DUMMYFUNCTION("GOOGLEFINANCE(A14,""price"")"),175.6)</f>
        <v>175.6</v>
      </c>
      <c r="G14" s="1">
        <f t="shared" ca="1" si="3"/>
        <v>-11976</v>
      </c>
      <c r="H14" s="31" t="s">
        <v>673</v>
      </c>
      <c r="K14" s="67">
        <f t="shared" ca="1" si="4"/>
        <v>-7.8553812247468127</v>
      </c>
      <c r="L14" s="68">
        <f t="shared" si="5"/>
        <v>152456</v>
      </c>
    </row>
    <row r="15" spans="1:48">
      <c r="A15" s="3" t="s">
        <v>28</v>
      </c>
      <c r="C15" s="126">
        <v>528.38</v>
      </c>
      <c r="D15" s="3">
        <v>200</v>
      </c>
      <c r="E15" s="3" t="s">
        <v>198</v>
      </c>
      <c r="F15" s="8">
        <f ca="1">IFERROR(__xludf.DUMMYFUNCTION("GOOGLEFINANCE(A15,""price"")"),513.5)</f>
        <v>513.5</v>
      </c>
      <c r="G15" s="1">
        <f t="shared" ca="1" si="3"/>
        <v>-2975.9999999999991</v>
      </c>
      <c r="H15" s="31" t="s">
        <v>324</v>
      </c>
      <c r="K15" s="67">
        <f t="shared" ca="1" si="4"/>
        <v>-2.8161550399333803</v>
      </c>
      <c r="L15" s="68">
        <f t="shared" si="5"/>
        <v>105676</v>
      </c>
    </row>
    <row r="16" spans="1:48">
      <c r="A16" s="3" t="s">
        <v>49</v>
      </c>
      <c r="B16" s="35">
        <v>45329</v>
      </c>
      <c r="C16" s="3">
        <v>1607.81</v>
      </c>
      <c r="D16" s="3">
        <v>100</v>
      </c>
      <c r="E16" s="3" t="s">
        <v>198</v>
      </c>
      <c r="F16" s="8">
        <f ca="1">IFERROR(__xludf.DUMMYFUNCTION("GOOGLEFINANCE(A16,""price"")"),2030)</f>
        <v>2030</v>
      </c>
      <c r="G16" s="1">
        <f t="shared" ca="1" si="3"/>
        <v>42219.000000000007</v>
      </c>
      <c r="H16" s="31" t="s">
        <v>326</v>
      </c>
      <c r="K16" s="67">
        <f t="shared" ca="1" si="4"/>
        <v>26.258699721982079</v>
      </c>
      <c r="L16" s="68">
        <f t="shared" si="5"/>
        <v>160781</v>
      </c>
    </row>
    <row r="17" spans="1:12">
      <c r="A17" s="3" t="s">
        <v>52</v>
      </c>
      <c r="B17" s="35">
        <v>45329</v>
      </c>
      <c r="C17" s="3">
        <v>641.07000000000005</v>
      </c>
      <c r="D17" s="3">
        <v>240</v>
      </c>
      <c r="E17" s="3" t="s">
        <v>198</v>
      </c>
      <c r="F17" s="8">
        <f ca="1">IFERROR(__xludf.DUMMYFUNCTION("GOOGLEFINANCE(A17,""price"")"),658)</f>
        <v>658</v>
      </c>
      <c r="G17" s="1">
        <f t="shared" ca="1" si="3"/>
        <v>4063.199999999988</v>
      </c>
      <c r="H17" s="31" t="s">
        <v>336</v>
      </c>
      <c r="K17" s="67">
        <f t="shared" ca="1" si="4"/>
        <v>2.6408972499102981</v>
      </c>
      <c r="L17" s="68">
        <f t="shared" si="5"/>
        <v>153856.80000000002</v>
      </c>
    </row>
    <row r="18" spans="1:12">
      <c r="A18" s="3" t="s">
        <v>54</v>
      </c>
      <c r="C18" s="126">
        <v>2346</v>
      </c>
      <c r="D18" s="3">
        <v>65</v>
      </c>
      <c r="E18" s="3" t="s">
        <v>198</v>
      </c>
      <c r="F18" s="8">
        <f ca="1">IFERROR(__xludf.DUMMYFUNCTION("GOOGLEFINANCE(A18,""price"")"),2410)</f>
        <v>2410</v>
      </c>
      <c r="G18" s="1">
        <f t="shared" ca="1" si="3"/>
        <v>4160</v>
      </c>
      <c r="H18" s="31" t="s">
        <v>339</v>
      </c>
      <c r="K18" s="67">
        <f t="shared" ca="1" si="4"/>
        <v>2.7280477408354646</v>
      </c>
      <c r="L18" s="68">
        <f t="shared" si="5"/>
        <v>152490</v>
      </c>
    </row>
    <row r="19" spans="1:12">
      <c r="A19" s="3" t="s">
        <v>58</v>
      </c>
      <c r="B19" s="35">
        <v>45329</v>
      </c>
      <c r="C19" s="3">
        <v>597.49</v>
      </c>
      <c r="D19" s="3">
        <v>250</v>
      </c>
      <c r="E19" s="3" t="s">
        <v>198</v>
      </c>
      <c r="F19" s="8">
        <f ca="1">IFERROR(__xludf.DUMMYFUNCTION("GOOGLEFINANCE(A19,""price"")"),612.55)</f>
        <v>612.54999999999995</v>
      </c>
      <c r="G19" s="1">
        <f t="shared" ca="1" si="3"/>
        <v>3764.9999999999864</v>
      </c>
      <c r="H19" s="31" t="s">
        <v>650</v>
      </c>
      <c r="K19" s="67">
        <f t="shared" ca="1" si="4"/>
        <v>2.5205442768916542</v>
      </c>
      <c r="L19" s="68">
        <f t="shared" si="5"/>
        <v>149372.5</v>
      </c>
    </row>
  </sheetData>
  <conditionalFormatting sqref="G1 G3 AC4:AC10 K5:K24">
    <cfRule type="cellIs" dxfId="43" priority="8" operator="lessThan">
      <formula>0</formula>
    </cfRule>
    <cfRule type="cellIs" dxfId="42" priority="7" operator="greaterThan">
      <formula>0</formula>
    </cfRule>
  </conditionalFormatting>
  <conditionalFormatting sqref="J2">
    <cfRule type="cellIs" dxfId="41" priority="2" operator="greaterThan">
      <formula>0</formula>
    </cfRule>
  </conditionalFormatting>
  <conditionalFormatting sqref="K1:K3">
    <cfRule type="cellIs" dxfId="40" priority="12" operator="lessThan">
      <formula>0</formula>
    </cfRule>
    <cfRule type="cellIs" dxfId="39" priority="10" operator="greaterThan">
      <formula>0</formula>
    </cfRule>
  </conditionalFormatting>
  <conditionalFormatting sqref="N3">
    <cfRule type="cellIs" dxfId="38" priority="14" operator="lessThan">
      <formula>0</formula>
    </cfRule>
    <cfRule type="cellIs" dxfId="37" priority="13" operator="greaterThan">
      <formula>0</formula>
    </cfRule>
  </conditionalFormatting>
  <conditionalFormatting sqref="O2">
    <cfRule type="cellIs" dxfId="36" priority="6" operator="greaterThan">
      <formula>100</formula>
    </cfRule>
  </conditionalFormatting>
  <conditionalFormatting sqref="Q1:Q2">
    <cfRule type="cellIs" dxfId="35" priority="3" operator="lessThan">
      <formula>0</formula>
    </cfRule>
  </conditionalFormatting>
  <conditionalFormatting sqref="R1:R2">
    <cfRule type="cellIs" dxfId="34" priority="4" operator="lessThan">
      <formula>-2</formula>
    </cfRule>
    <cfRule type="cellIs" dxfId="33" priority="1" operator="lessThan">
      <formula>1</formula>
    </cfRule>
    <cfRule type="cellIs" dxfId="32" priority="5" operator="greaterThan">
      <formula>5</formula>
    </cfRule>
  </conditionalFormatting>
  <conditionalFormatting sqref="AC4:AC10 K5:K24 K1:K3">
    <cfRule type="cellIs" dxfId="31" priority="9" operator="greaterThan">
      <formula>20</formula>
    </cfRule>
    <cfRule type="cellIs" dxfId="30" priority="11" operator="lessThan">
      <formula>-7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4"/>
  <sheetViews>
    <sheetView workbookViewId="0"/>
  </sheetViews>
  <sheetFormatPr baseColWidth="10" defaultColWidth="12.6640625" defaultRowHeight="15" customHeight="1"/>
  <sheetData>
    <row r="1" spans="1:42" ht="15.75" customHeight="1">
      <c r="A1" s="9" t="s">
        <v>9</v>
      </c>
      <c r="B1" s="9" t="s">
        <v>92</v>
      </c>
      <c r="C1" s="9" t="s">
        <v>93</v>
      </c>
      <c r="D1" s="9" t="s">
        <v>89</v>
      </c>
      <c r="E1" s="93" t="s">
        <v>99</v>
      </c>
      <c r="F1" s="10" t="s">
        <v>100</v>
      </c>
      <c r="G1" s="9" t="s">
        <v>101</v>
      </c>
      <c r="H1" s="13" t="s">
        <v>102</v>
      </c>
      <c r="I1" s="9" t="s">
        <v>103</v>
      </c>
      <c r="J1" s="3" t="s">
        <v>104</v>
      </c>
      <c r="K1" s="49" t="e">
        <f>K4/K2</f>
        <v>#DIV/0!</v>
      </c>
      <c r="L1" s="50"/>
      <c r="M1" s="9" t="s">
        <v>83</v>
      </c>
      <c r="N1" s="9" t="s">
        <v>92</v>
      </c>
      <c r="O1" s="9" t="s">
        <v>93</v>
      </c>
      <c r="P1" s="9" t="s">
        <v>94</v>
      </c>
      <c r="Q1" s="9" t="s">
        <v>188</v>
      </c>
      <c r="R1" s="9" t="s">
        <v>189</v>
      </c>
      <c r="S1" s="11" t="s">
        <v>190</v>
      </c>
      <c r="T1" s="13" t="s">
        <v>99</v>
      </c>
      <c r="U1" s="10" t="s">
        <v>100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15.75" customHeight="1">
      <c r="C2" s="9"/>
      <c r="D2" s="52"/>
      <c r="E2" s="168">
        <f ca="1">AVERAGE(E3:E65)</f>
        <v>-4.5052454207698762</v>
      </c>
      <c r="F2" s="54"/>
      <c r="G2" s="25"/>
      <c r="H2" s="55"/>
      <c r="I2" s="25"/>
      <c r="J2" s="27"/>
      <c r="K2" s="28"/>
      <c r="L2" s="56"/>
      <c r="M2" s="57"/>
      <c r="O2" s="58"/>
      <c r="Q2" s="9" t="s">
        <v>193</v>
      </c>
      <c r="R2" s="23">
        <f>SUM(R3:R991)</f>
        <v>0</v>
      </c>
      <c r="T2" s="59" t="e">
        <f>R2/U2</f>
        <v>#DIV/0!</v>
      </c>
      <c r="U2" s="60">
        <f>SUM(U3:U944)</f>
        <v>0</v>
      </c>
      <c r="V2" s="61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</row>
    <row r="3" spans="1:42" ht="15.75" customHeight="1">
      <c r="C3" s="38"/>
      <c r="E3" s="95"/>
      <c r="F3" s="1"/>
      <c r="G3" s="29"/>
      <c r="H3" s="26"/>
      <c r="J3" s="28"/>
      <c r="K3" s="28"/>
      <c r="M3" s="96"/>
      <c r="N3" s="97"/>
      <c r="O3" s="98"/>
      <c r="P3" s="98"/>
      <c r="Q3" s="99"/>
      <c r="R3" s="100"/>
      <c r="S3" s="97"/>
      <c r="T3" s="101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pans="1:42">
      <c r="A4" s="31" t="s">
        <v>25</v>
      </c>
      <c r="C4" s="126">
        <v>133</v>
      </c>
      <c r="D4" s="8">
        <f ca="1">IFERROR(__xludf.DUMMYFUNCTION("GOOGLEFINANCE(A4,""price"")"),104.85)</f>
        <v>104.85</v>
      </c>
      <c r="E4" s="67">
        <f t="shared" ref="E4:E20" ca="1" si="0">(D4-C4)*100/C4</f>
        <v>-21.165413533834588</v>
      </c>
      <c r="F4" s="68"/>
      <c r="J4" s="28"/>
      <c r="K4" s="28"/>
    </row>
    <row r="5" spans="1:42">
      <c r="A5" s="3" t="s">
        <v>67</v>
      </c>
      <c r="C5" s="126">
        <v>282</v>
      </c>
      <c r="D5" s="8">
        <f ca="1">IFERROR(__xludf.DUMMYFUNCTION("GOOGLEFINANCE(A5,""price"")"),235.7)</f>
        <v>235.7</v>
      </c>
      <c r="E5" s="67">
        <f t="shared" ca="1" si="0"/>
        <v>-16.418439716312061</v>
      </c>
      <c r="F5" s="68"/>
    </row>
    <row r="6" spans="1:42">
      <c r="A6" s="3" t="s">
        <v>177</v>
      </c>
      <c r="B6" s="35"/>
      <c r="C6" s="126">
        <v>266</v>
      </c>
      <c r="D6" s="8">
        <f ca="1">IFERROR(__xludf.DUMMYFUNCTION("GOOGLEFINANCE(A6,""price"")"),224.9)</f>
        <v>224.9</v>
      </c>
      <c r="E6" s="67">
        <f t="shared" ca="1" si="0"/>
        <v>-15.451127819548869</v>
      </c>
      <c r="F6" s="68"/>
    </row>
    <row r="7" spans="1:42" ht="14">
      <c r="A7" s="3" t="s">
        <v>520</v>
      </c>
      <c r="C7" s="3">
        <v>35.799999999999997</v>
      </c>
      <c r="D7" s="8">
        <f ca="1">IFERROR(__xludf.DUMMYFUNCTION("GOOGLEFINANCE(A7,""price"")"),32.7)</f>
        <v>32.700000000000003</v>
      </c>
      <c r="E7" s="67">
        <f t="shared" ca="1" si="0"/>
        <v>-8.6592178770949566</v>
      </c>
      <c r="F7" s="68"/>
    </row>
    <row r="8" spans="1:42" ht="14">
      <c r="A8" s="3" t="s">
        <v>40</v>
      </c>
      <c r="C8" s="3">
        <v>26.6</v>
      </c>
      <c r="D8" s="8">
        <f ca="1">IFERROR(__xludf.DUMMYFUNCTION("GOOGLEFINANCE(A8,""price"")"),20.6)</f>
        <v>20.6</v>
      </c>
      <c r="E8" s="67">
        <f t="shared" ca="1" si="0"/>
        <v>-22.556390977443609</v>
      </c>
      <c r="F8" s="68"/>
    </row>
    <row r="9" spans="1:42">
      <c r="A9" s="9" t="s">
        <v>63</v>
      </c>
      <c r="B9" s="35"/>
      <c r="C9" s="126">
        <v>62</v>
      </c>
      <c r="D9" s="8">
        <f ca="1">IFERROR(__xludf.DUMMYFUNCTION("GOOGLEFINANCE(A9,""price"")"),53)</f>
        <v>53</v>
      </c>
      <c r="E9" s="67">
        <f t="shared" ca="1" si="0"/>
        <v>-14.516129032258064</v>
      </c>
      <c r="F9" s="68"/>
    </row>
    <row r="10" spans="1:42">
      <c r="A10" s="31" t="s">
        <v>672</v>
      </c>
      <c r="C10" s="126">
        <v>470</v>
      </c>
      <c r="D10" s="8">
        <f ca="1">IFERROR(__xludf.DUMMYFUNCTION("GOOGLEFINANCE(A10,""price"")"),464)</f>
        <v>464</v>
      </c>
      <c r="E10" s="67">
        <f t="shared" ca="1" si="0"/>
        <v>-1.2765957446808511</v>
      </c>
      <c r="F10" s="68"/>
    </row>
    <row r="11" spans="1:42">
      <c r="A11" s="3" t="s">
        <v>45</v>
      </c>
      <c r="C11" s="126">
        <v>186</v>
      </c>
      <c r="D11" s="8">
        <f ca="1">IFERROR(__xludf.DUMMYFUNCTION("GOOGLEFINANCE(A11,""price"")"),175.6)</f>
        <v>175.6</v>
      </c>
      <c r="E11" s="67">
        <f t="shared" ca="1" si="0"/>
        <v>-5.5913978494623677</v>
      </c>
      <c r="F11" s="68"/>
    </row>
    <row r="12" spans="1:42" ht="14">
      <c r="A12" s="3" t="s">
        <v>200</v>
      </c>
      <c r="B12" s="35"/>
      <c r="C12" s="3">
        <v>300</v>
      </c>
      <c r="D12" s="8">
        <f ca="1">IFERROR(__xludf.DUMMYFUNCTION("GOOGLEFINANCE(A12,""price"")"),265)</f>
        <v>265</v>
      </c>
      <c r="E12" s="67">
        <f t="shared" ca="1" si="0"/>
        <v>-11.666666666666666</v>
      </c>
      <c r="F12" s="68"/>
    </row>
    <row r="13" spans="1:42" ht="14">
      <c r="A13" s="3" t="s">
        <v>179</v>
      </c>
      <c r="B13" s="35"/>
      <c r="C13" s="3">
        <v>1965</v>
      </c>
      <c r="D13" s="8">
        <f ca="1">IFERROR(__xludf.DUMMYFUNCTION("GOOGLEFINANCE(A13,""price"")"),1865.55)</f>
        <v>1865.55</v>
      </c>
      <c r="E13" s="67">
        <f t="shared" ca="1" si="0"/>
        <v>-5.0610687022900782</v>
      </c>
      <c r="F13" s="68"/>
    </row>
    <row r="14" spans="1:42" ht="14">
      <c r="A14" s="3" t="s">
        <v>13</v>
      </c>
      <c r="C14" s="3">
        <v>71</v>
      </c>
      <c r="D14" s="8">
        <f ca="1">IFERROR(__xludf.DUMMYFUNCTION("GOOGLEFINANCE(A14,""price"")"),67.95)</f>
        <v>67.95</v>
      </c>
      <c r="E14" s="67">
        <f t="shared" ca="1" si="0"/>
        <v>-4.2957746478873196</v>
      </c>
      <c r="F14" s="68"/>
    </row>
    <row r="15" spans="1:42" ht="14">
      <c r="A15" s="3" t="s">
        <v>21</v>
      </c>
      <c r="B15" s="35"/>
      <c r="C15" s="3">
        <v>6785</v>
      </c>
      <c r="D15" s="8">
        <f ca="1">IFERROR(__xludf.DUMMYFUNCTION("GOOGLEFINANCE(A15,""price"")"),7829.95)</f>
        <v>7829.95</v>
      </c>
      <c r="E15" s="67">
        <f t="shared" ca="1" si="0"/>
        <v>15.400884303610905</v>
      </c>
      <c r="F15" s="68"/>
    </row>
    <row r="16" spans="1:42">
      <c r="A16" s="3" t="s">
        <v>10</v>
      </c>
      <c r="C16" s="126">
        <v>450</v>
      </c>
      <c r="D16" s="8">
        <f ca="1">IFERROR(__xludf.DUMMYFUNCTION("GOOGLEFINANCE(A16,""price"")"),480)</f>
        <v>480</v>
      </c>
      <c r="E16" s="67">
        <f t="shared" ca="1" si="0"/>
        <v>6.666666666666667</v>
      </c>
      <c r="F16" s="68"/>
    </row>
    <row r="17" spans="1:6" ht="14">
      <c r="A17" s="3" t="s">
        <v>12</v>
      </c>
      <c r="B17" s="35"/>
      <c r="C17" s="3">
        <v>825</v>
      </c>
      <c r="D17" s="8">
        <f ca="1">IFERROR(__xludf.DUMMYFUNCTION("GOOGLEFINANCE(A17,""price"")"),725)</f>
        <v>725</v>
      </c>
      <c r="E17" s="67">
        <f t="shared" ca="1" si="0"/>
        <v>-12.121212121212121</v>
      </c>
      <c r="F17" s="68"/>
    </row>
    <row r="18" spans="1:6" ht="14">
      <c r="A18" s="3" t="s">
        <v>31</v>
      </c>
      <c r="B18" s="35"/>
      <c r="C18" s="3">
        <v>330</v>
      </c>
      <c r="D18" s="8">
        <f ca="1">IFERROR(__xludf.DUMMYFUNCTION("GOOGLEFINANCE(A18,""price"")"),385)</f>
        <v>385</v>
      </c>
      <c r="E18" s="67">
        <f t="shared" ca="1" si="0"/>
        <v>16.666666666666668</v>
      </c>
      <c r="F18" s="68"/>
    </row>
    <row r="19" spans="1:6">
      <c r="A19" s="3" t="s">
        <v>16</v>
      </c>
      <c r="C19" s="126">
        <v>1943</v>
      </c>
      <c r="D19" s="8">
        <f ca="1">IFERROR(__xludf.DUMMYFUNCTION("GOOGLEFINANCE(A19,""price"")"),1715)</f>
        <v>1715</v>
      </c>
      <c r="E19" s="67">
        <f t="shared" ca="1" si="0"/>
        <v>-11.734431291816778</v>
      </c>
      <c r="F19" s="68"/>
    </row>
    <row r="20" spans="1:6" ht="14">
      <c r="A20" s="3" t="s">
        <v>72</v>
      </c>
      <c r="B20" s="35"/>
      <c r="C20" s="3">
        <v>105</v>
      </c>
      <c r="D20" s="8">
        <f ca="1">IFERROR(__xludf.DUMMYFUNCTION("GOOGLEFINANCE(A20,""price"")"),141.95)</f>
        <v>141.94999999999999</v>
      </c>
      <c r="E20" s="67">
        <f t="shared" ca="1" si="0"/>
        <v>35.190476190476183</v>
      </c>
      <c r="F20" s="68"/>
    </row>
    <row r="21" spans="1:6">
      <c r="B21" s="167"/>
      <c r="C21" s="126"/>
      <c r="D21" s="8"/>
      <c r="E21" s="67"/>
      <c r="F21" s="68"/>
    </row>
    <row r="22" spans="1:6">
      <c r="B22" s="35"/>
      <c r="C22" s="126"/>
      <c r="D22" s="8"/>
      <c r="E22" s="67"/>
      <c r="F22" s="68"/>
    </row>
    <row r="23" spans="1:6">
      <c r="A23" s="31"/>
      <c r="C23" s="126"/>
      <c r="D23" s="8"/>
      <c r="E23" s="67"/>
      <c r="F23" s="68"/>
    </row>
    <row r="24" spans="1:6">
      <c r="C24" s="126"/>
      <c r="D24" s="8"/>
      <c r="E24" s="67"/>
      <c r="F24" s="68"/>
    </row>
  </sheetData>
  <conditionalFormatting sqref="E1:E3">
    <cfRule type="cellIs" dxfId="29" priority="10" operator="lessThan">
      <formula>0</formula>
    </cfRule>
    <cfRule type="cellIs" dxfId="28" priority="8" operator="greaterThan">
      <formula>0</formula>
    </cfRule>
  </conditionalFormatting>
  <conditionalFormatting sqref="E1:E24">
    <cfRule type="cellIs" dxfId="27" priority="7" operator="greaterThan">
      <formula>20</formula>
    </cfRule>
    <cfRule type="cellIs" dxfId="26" priority="9" operator="lessThan">
      <formula>-7</formula>
    </cfRule>
  </conditionalFormatting>
  <conditionalFormatting sqref="E4:E24">
    <cfRule type="cellIs" dxfId="25" priority="5" operator="greaterThan">
      <formula>0</formula>
    </cfRule>
    <cfRule type="cellIs" dxfId="24" priority="6" operator="lessThan">
      <formula>0</formula>
    </cfRule>
  </conditionalFormatting>
  <conditionalFormatting sqref="H3">
    <cfRule type="cellIs" dxfId="23" priority="12" operator="lessThan">
      <formula>0</formula>
    </cfRule>
    <cfRule type="cellIs" dxfId="22" priority="11" operator="greaterThan">
      <formula>0</formula>
    </cfRule>
  </conditionalFormatting>
  <conditionalFormatting sqref="I2">
    <cfRule type="cellIs" dxfId="21" priority="4" operator="greaterThan">
      <formula>100</formula>
    </cfRule>
  </conditionalFormatting>
  <conditionalFormatting sqref="K1:K2">
    <cfRule type="cellIs" dxfId="20" priority="1" operator="lessThan">
      <formula>0</formula>
    </cfRule>
  </conditionalFormatting>
  <conditionalFormatting sqref="L1:L2">
    <cfRule type="cellIs" dxfId="19" priority="3" operator="greaterThan">
      <formula>5</formula>
    </cfRule>
    <cfRule type="cellIs" dxfId="18" priority="2" operator="lessThan">
      <formula>-2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L941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2.6640625" defaultRowHeight="15" customHeight="1"/>
  <cols>
    <col min="3" max="3" width="8.6640625" customWidth="1"/>
    <col min="4" max="4" width="7.5" customWidth="1"/>
    <col min="5" max="5" width="8.6640625" customWidth="1"/>
    <col min="6" max="6" width="8" customWidth="1"/>
    <col min="7" max="7" width="8.1640625" customWidth="1"/>
    <col min="8" max="8" width="7.5" customWidth="1"/>
    <col min="9" max="11" width="8" customWidth="1"/>
    <col min="12" max="12" width="8.1640625" customWidth="1"/>
    <col min="13" max="14" width="11.83203125" customWidth="1"/>
    <col min="15" max="15" width="10.83203125" customWidth="1"/>
    <col min="16" max="16" width="8.1640625" customWidth="1"/>
    <col min="17" max="17" width="9.33203125" customWidth="1"/>
    <col min="18" max="18" width="9" customWidth="1"/>
    <col min="19" max="20" width="8.6640625" customWidth="1"/>
    <col min="21" max="23" width="6.6640625" customWidth="1"/>
    <col min="24" max="24" width="8.1640625" customWidth="1"/>
    <col min="25" max="26" width="9.6640625" customWidth="1"/>
  </cols>
  <sheetData>
    <row r="1" spans="1:38" ht="13">
      <c r="B1" s="3"/>
      <c r="C1" s="3" t="s">
        <v>85</v>
      </c>
      <c r="D1" s="3" t="s">
        <v>86</v>
      </c>
      <c r="E1" s="3" t="s">
        <v>87</v>
      </c>
      <c r="F1" s="3" t="s">
        <v>3</v>
      </c>
      <c r="G1" s="3" t="s">
        <v>4</v>
      </c>
      <c r="H1" s="3" t="s">
        <v>5</v>
      </c>
      <c r="I1" s="3" t="s">
        <v>674</v>
      </c>
      <c r="J1" s="3" t="s">
        <v>675</v>
      </c>
      <c r="K1" s="3" t="s">
        <v>676</v>
      </c>
      <c r="L1" s="3" t="s">
        <v>677</v>
      </c>
      <c r="M1" s="12" t="s">
        <v>678</v>
      </c>
      <c r="N1" s="169" t="s">
        <v>679</v>
      </c>
      <c r="O1" s="169" t="s">
        <v>85</v>
      </c>
      <c r="P1" s="169" t="s">
        <v>86</v>
      </c>
      <c r="Q1" s="169" t="s">
        <v>87</v>
      </c>
      <c r="R1" s="3" t="s">
        <v>3</v>
      </c>
      <c r="S1" s="3" t="s">
        <v>4</v>
      </c>
      <c r="T1" s="3" t="s">
        <v>5</v>
      </c>
      <c r="U1" s="3" t="s">
        <v>674</v>
      </c>
      <c r="V1" s="3" t="s">
        <v>675</v>
      </c>
      <c r="W1" s="169" t="s">
        <v>676</v>
      </c>
      <c r="X1" s="169" t="s">
        <v>677</v>
      </c>
      <c r="Y1" s="170" t="s">
        <v>678</v>
      </c>
      <c r="Z1" s="3" t="s">
        <v>679</v>
      </c>
    </row>
    <row r="2" spans="1:38" ht="13">
      <c r="A2" s="171"/>
      <c r="B2" s="171" t="s">
        <v>680</v>
      </c>
      <c r="C2" s="171">
        <v>20000000</v>
      </c>
      <c r="D2" s="171">
        <v>5000000</v>
      </c>
      <c r="E2" s="171">
        <v>10000000</v>
      </c>
      <c r="F2" s="171">
        <v>5100000</v>
      </c>
      <c r="G2" s="171">
        <v>5000000</v>
      </c>
      <c r="H2" s="171">
        <v>5000000</v>
      </c>
      <c r="I2" s="171">
        <v>4000000</v>
      </c>
      <c r="J2" s="171">
        <v>5000000</v>
      </c>
      <c r="K2" s="172"/>
      <c r="L2" s="172"/>
      <c r="M2" s="12"/>
      <c r="N2" s="169">
        <f t="shared" ref="N2:N4" si="0">SUM(C2:J2)</f>
        <v>59100000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38" ht="13">
      <c r="A3" s="171"/>
      <c r="B3" s="171" t="s">
        <v>681</v>
      </c>
      <c r="C3" s="174">
        <f>'Rajesh sir'!M2</f>
        <v>10107893.950000001</v>
      </c>
      <c r="D3" s="174">
        <f>Vikaas!L2</f>
        <v>981090.5</v>
      </c>
      <c r="E3" s="174">
        <f>'kredent-new'!K2</f>
        <v>9986097.1999999993</v>
      </c>
      <c r="F3" s="175">
        <f>'sheela maam'!L2</f>
        <v>3369918.7199999997</v>
      </c>
      <c r="G3" s="176">
        <f>'Tanvi Gupta'!L2</f>
        <v>3886779.99</v>
      </c>
      <c r="H3" s="175">
        <f>'Arushi Gupta'!L2</f>
        <v>3238742.5499999993</v>
      </c>
      <c r="I3" s="175">
        <f>NikhilZ1!M2</f>
        <v>3675515.65</v>
      </c>
      <c r="J3" s="175">
        <f>Taarini!M2</f>
        <v>2376162.25</v>
      </c>
      <c r="K3" s="172"/>
      <c r="L3" s="172"/>
      <c r="M3" s="12"/>
      <c r="N3" s="169">
        <f t="shared" si="0"/>
        <v>37622200.810000002</v>
      </c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>
      <c r="A4" s="177"/>
      <c r="B4" s="177" t="s">
        <v>682</v>
      </c>
      <c r="C4" s="178">
        <f ca="1">'Rajesh sir'!O2</f>
        <v>8441198.5999999996</v>
      </c>
      <c r="D4" s="178">
        <f ca="1">Vikaas!N2</f>
        <v>983132.02999999991</v>
      </c>
      <c r="E4" s="178">
        <f ca="1">'kredent-new'!I2</f>
        <v>2029682.95</v>
      </c>
      <c r="F4" s="179">
        <f ca="1">'sheela maam'!N2</f>
        <v>195077.18000000005</v>
      </c>
      <c r="G4" s="179">
        <f ca="1">'Tanvi Gupta'!N2</f>
        <v>179590.65999999995</v>
      </c>
      <c r="H4" s="179">
        <f ca="1">'Arushi Gupta'!N2</f>
        <v>231034.35000000003</v>
      </c>
      <c r="I4" s="179">
        <f ca="1">NikhilZ1!O2</f>
        <v>-127477.43000000002</v>
      </c>
      <c r="J4" s="179">
        <f ca="1">Taarini!O2</f>
        <v>-99752.750000000029</v>
      </c>
      <c r="K4" s="180">
        <f ca="1">IFERROR(__xludf.DUMMYFUNCTION("GOOGLEFINANCE(""INDEXNSE:NIFTY_50"",""PRICE"")"),22519.4)</f>
        <v>22519.4</v>
      </c>
      <c r="L4" s="180">
        <f ca="1">IFERROR(__xludf.DUMMYFUNCTION("GOOGLEFINANCE(""INDEXBOM:BSE-500"",""PRICE"")"),32772.26)</f>
        <v>32772.26</v>
      </c>
      <c r="M4" s="181">
        <f ca="1">IFERROR(__xludf.DUMMYFUNCTION("GOOGLEFINANCE(""INDEXBOM:BSE-SMLCAP"",""PRICE"")"),45872.07)</f>
        <v>45872.07</v>
      </c>
      <c r="N4" s="169">
        <f t="shared" ca="1" si="0"/>
        <v>11832485.589999998</v>
      </c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</row>
    <row r="5" spans="1:38" ht="14">
      <c r="A5" s="183" t="s">
        <v>187</v>
      </c>
      <c r="B5" s="184" t="s">
        <v>683</v>
      </c>
      <c r="C5" s="185" t="e">
        <f ca="1">'Rajesh sir'!H2</f>
        <v>#NAME?</v>
      </c>
      <c r="D5" s="185" t="e">
        <f ca="1">Vikaas!G2</f>
        <v>#NAME?</v>
      </c>
      <c r="E5" s="185" t="e">
        <f ca="1">'kredent-new'!H2</f>
        <v>#NAME?</v>
      </c>
      <c r="F5" s="186" t="e">
        <f ca="1">'sheela maam'!G2</f>
        <v>#NAME?</v>
      </c>
      <c r="G5" s="186" t="e">
        <f ca="1">'Tanvi Gupta'!G2</f>
        <v>#NAME?</v>
      </c>
      <c r="H5" s="186" t="e">
        <f ca="1">'Arushi Gupta'!G2</f>
        <v>#NAME?</v>
      </c>
      <c r="I5" s="187" t="e">
        <f ca="1">NikhilZ1!H2</f>
        <v>#NAME?</v>
      </c>
      <c r="J5" s="187" t="e">
        <f ca="1">Taarini!H2</f>
        <v>#NAME?</v>
      </c>
      <c r="K5" s="184"/>
      <c r="L5" s="184"/>
      <c r="M5" s="188"/>
      <c r="N5" s="16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</row>
    <row r="6" spans="1:38" ht="18.75" customHeight="1">
      <c r="A6" s="190">
        <f ca="1">'Rajesh sir'!R2+'sheela maam'!T2+'kredent-new'!O2+'Tanvi Gupta'!T2+'Arushi Gupta'!T2+NikhilZ1!R2+Taarini!R2</f>
        <v>47011778.86999999</v>
      </c>
      <c r="B6" s="184" t="s">
        <v>684</v>
      </c>
      <c r="C6" s="90">
        <f t="shared" ref="C6:J6" ca="1" si="1">C4/C2</f>
        <v>0.42205992999999997</v>
      </c>
      <c r="D6" s="90">
        <f t="shared" ca="1" si="1"/>
        <v>0.19662640599999998</v>
      </c>
      <c r="E6" s="90">
        <f t="shared" ca="1" si="1"/>
        <v>0.20296829499999999</v>
      </c>
      <c r="F6" s="90">
        <f t="shared" ca="1" si="1"/>
        <v>3.8250427450980402E-2</v>
      </c>
      <c r="G6" s="90">
        <f t="shared" ca="1" si="1"/>
        <v>3.5918131999999992E-2</v>
      </c>
      <c r="H6" s="90">
        <f t="shared" ca="1" si="1"/>
        <v>4.6206870000000004E-2</v>
      </c>
      <c r="I6" s="90">
        <f t="shared" ca="1" si="1"/>
        <v>-3.1869357500000008E-2</v>
      </c>
      <c r="J6" s="90">
        <f t="shared" ca="1" si="1"/>
        <v>-1.9950550000000004E-2</v>
      </c>
      <c r="K6" s="184"/>
      <c r="L6" s="184"/>
      <c r="M6" s="191"/>
      <c r="N6" s="90">
        <f ca="1">N4/N2</f>
        <v>0.20021126209813872</v>
      </c>
      <c r="O6" s="182" t="s">
        <v>685</v>
      </c>
      <c r="P6" s="189"/>
      <c r="Q6" s="189"/>
      <c r="R6" s="189"/>
      <c r="S6" s="189"/>
      <c r="T6" s="189"/>
      <c r="U6" s="189"/>
      <c r="V6" s="189"/>
      <c r="W6" s="189"/>
      <c r="X6" s="189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</row>
    <row r="7" spans="1:38" ht="13">
      <c r="B7" s="32">
        <v>45217</v>
      </c>
      <c r="C7" s="1">
        <v>4953423.9000000004</v>
      </c>
      <c r="D7" s="1">
        <v>255566</v>
      </c>
      <c r="E7" s="1">
        <v>79378.949999999953</v>
      </c>
      <c r="F7" s="1"/>
      <c r="G7" s="186"/>
      <c r="H7" s="1"/>
      <c r="I7" s="1"/>
      <c r="J7" s="1"/>
      <c r="K7" s="1">
        <v>19578.8</v>
      </c>
      <c r="L7" s="1">
        <v>27363.45</v>
      </c>
      <c r="M7" s="12"/>
      <c r="N7" s="169">
        <f t="shared" ref="N7:N35" si="2">SUM(C7:H7)</f>
        <v>5288368.8500000006</v>
      </c>
      <c r="O7" s="169"/>
      <c r="P7" s="169"/>
      <c r="Q7" s="169"/>
      <c r="R7" s="169"/>
      <c r="S7" s="169"/>
      <c r="T7" s="169"/>
      <c r="U7" s="169"/>
      <c r="V7" s="169"/>
      <c r="W7" s="169"/>
      <c r="X7" s="169"/>
    </row>
    <row r="8" spans="1:38" ht="13">
      <c r="B8" s="32">
        <v>45218</v>
      </c>
      <c r="C8" s="1">
        <v>4954482.3499999996</v>
      </c>
      <c r="D8" s="1">
        <v>242455.5</v>
      </c>
      <c r="E8" s="1">
        <v>56268.399999999972</v>
      </c>
      <c r="F8" s="1"/>
      <c r="G8" s="1"/>
      <c r="H8" s="1"/>
      <c r="I8" s="1"/>
      <c r="J8" s="1"/>
      <c r="K8" s="1">
        <v>19612.150000000001</v>
      </c>
      <c r="L8" s="1">
        <v>27417.67</v>
      </c>
      <c r="M8" s="12"/>
      <c r="N8" s="169">
        <f t="shared" si="2"/>
        <v>5253206.25</v>
      </c>
      <c r="O8" s="169">
        <f t="shared" ref="O8:Q8" si="3">(C8-C7)</f>
        <v>1058.4499999992549</v>
      </c>
      <c r="P8" s="169">
        <f t="shared" si="3"/>
        <v>-13110.5</v>
      </c>
      <c r="Q8" s="169">
        <f t="shared" si="3"/>
        <v>-23110.549999999981</v>
      </c>
      <c r="R8" s="169"/>
      <c r="S8" s="169"/>
      <c r="T8" s="169"/>
      <c r="U8" s="169"/>
      <c r="V8" s="169"/>
      <c r="W8" s="169">
        <f t="shared" ref="W8:X8" si="4">(K8-K7)</f>
        <v>33.350000000002183</v>
      </c>
      <c r="X8" s="169">
        <f t="shared" si="4"/>
        <v>54.219999999997526</v>
      </c>
      <c r="Y8" s="169"/>
      <c r="Z8" s="169">
        <f t="shared" ref="Z8:Z85" si="5">(N8-N7)</f>
        <v>-35162.600000000559</v>
      </c>
    </row>
    <row r="9" spans="1:38" ht="13">
      <c r="B9" s="32">
        <v>45219</v>
      </c>
      <c r="C9" s="1">
        <v>4706222.5999999996</v>
      </c>
      <c r="D9" s="1">
        <v>166655.24999999997</v>
      </c>
      <c r="E9" s="1">
        <v>-28313.799999999974</v>
      </c>
      <c r="F9" s="1"/>
      <c r="G9" s="1"/>
      <c r="H9" s="1"/>
      <c r="I9" s="1"/>
      <c r="J9" s="1"/>
      <c r="K9" s="1">
        <v>19542.650000000001</v>
      </c>
      <c r="L9" s="1">
        <v>27261.48</v>
      </c>
      <c r="M9" s="12"/>
      <c r="N9" s="169">
        <f t="shared" si="2"/>
        <v>4844564.05</v>
      </c>
      <c r="O9" s="169">
        <f t="shared" ref="O9:Q9" si="6">(C9-C8)</f>
        <v>-248259.75</v>
      </c>
      <c r="P9" s="169">
        <f t="shared" si="6"/>
        <v>-75800.250000000029</v>
      </c>
      <c r="Q9" s="169">
        <f t="shared" si="6"/>
        <v>-84582.199999999953</v>
      </c>
      <c r="R9" s="169"/>
      <c r="S9" s="169"/>
      <c r="T9" s="169"/>
      <c r="U9" s="169"/>
      <c r="V9" s="169"/>
      <c r="W9" s="169">
        <f t="shared" ref="W9:X9" si="7">(K9-K8)</f>
        <v>-69.5</v>
      </c>
      <c r="X9" s="169">
        <f t="shared" si="7"/>
        <v>-156.18999999999869</v>
      </c>
      <c r="Y9" s="169"/>
      <c r="Z9" s="169">
        <f t="shared" si="5"/>
        <v>-408642.20000000019</v>
      </c>
    </row>
    <row r="10" spans="1:38" ht="14">
      <c r="B10" s="32">
        <v>45222</v>
      </c>
      <c r="C10" s="1">
        <v>3820878.9</v>
      </c>
      <c r="D10" s="1">
        <v>-142668.25000000012</v>
      </c>
      <c r="E10" s="1">
        <v>-391354.10000000003</v>
      </c>
      <c r="F10" s="1"/>
      <c r="G10" s="1"/>
      <c r="H10" s="1"/>
      <c r="I10" s="1"/>
      <c r="J10" s="1"/>
      <c r="K10" s="1">
        <v>19281.75</v>
      </c>
      <c r="L10" s="1">
        <v>26746.23</v>
      </c>
      <c r="M10" s="12"/>
      <c r="N10" s="169">
        <f t="shared" si="2"/>
        <v>3286856.55</v>
      </c>
      <c r="O10" s="192">
        <f t="shared" ref="O10:Q10" si="8">(C10-C9)</f>
        <v>-885343.69999999972</v>
      </c>
      <c r="P10" s="192">
        <f t="shared" si="8"/>
        <v>-309323.50000000012</v>
      </c>
      <c r="Q10" s="192">
        <f t="shared" si="8"/>
        <v>-363040.30000000005</v>
      </c>
      <c r="R10" s="192"/>
      <c r="S10" s="192"/>
      <c r="T10" s="192"/>
      <c r="U10" s="192"/>
      <c r="V10" s="192"/>
      <c r="W10" s="192">
        <f t="shared" ref="W10:X10" si="9">(K10-K9)</f>
        <v>-260.90000000000146</v>
      </c>
      <c r="X10" s="192">
        <f t="shared" si="9"/>
        <v>-515.25</v>
      </c>
      <c r="Y10" s="192"/>
      <c r="Z10" s="192">
        <f t="shared" si="5"/>
        <v>-1557707.5</v>
      </c>
    </row>
    <row r="11" spans="1:38" ht="13">
      <c r="B11" s="32">
        <v>45224</v>
      </c>
      <c r="C11" s="1">
        <v>3738628.7</v>
      </c>
      <c r="D11" s="1">
        <v>-172248</v>
      </c>
      <c r="E11" s="1">
        <v>-414654.75</v>
      </c>
      <c r="F11" s="1"/>
      <c r="G11" s="1"/>
      <c r="H11" s="1"/>
      <c r="I11" s="1"/>
      <c r="J11" s="1"/>
      <c r="K11" s="1">
        <v>19122.150000000001</v>
      </c>
      <c r="L11" s="1">
        <v>26550.02</v>
      </c>
      <c r="M11" s="12"/>
      <c r="N11" s="169">
        <f t="shared" si="2"/>
        <v>3151725.95</v>
      </c>
      <c r="O11" s="169">
        <f t="shared" ref="O11:Q11" si="10">(C11-C10)</f>
        <v>-82250.199999999721</v>
      </c>
      <c r="P11" s="169">
        <f t="shared" si="10"/>
        <v>-29579.749999999884</v>
      </c>
      <c r="Q11" s="169">
        <f t="shared" si="10"/>
        <v>-23300.649999999965</v>
      </c>
      <c r="R11" s="169"/>
      <c r="S11" s="169"/>
      <c r="T11" s="169"/>
      <c r="U11" s="169"/>
      <c r="V11" s="169"/>
      <c r="W11" s="169">
        <f t="shared" ref="W11:X11" si="11">(K11-K10)</f>
        <v>-159.59999999999854</v>
      </c>
      <c r="X11" s="169">
        <f t="shared" si="11"/>
        <v>-196.20999999999913</v>
      </c>
      <c r="Y11" s="169"/>
      <c r="Z11" s="169">
        <f t="shared" si="5"/>
        <v>-135130.59999999963</v>
      </c>
    </row>
    <row r="12" spans="1:38" ht="13">
      <c r="B12" s="32">
        <v>45225</v>
      </c>
      <c r="C12" s="1">
        <v>3923315.3500000006</v>
      </c>
      <c r="D12" s="1">
        <v>-79472.250000000015</v>
      </c>
      <c r="E12" s="1">
        <v>-336524.80000000005</v>
      </c>
      <c r="F12" s="1"/>
      <c r="G12" s="1"/>
      <c r="H12" s="1"/>
      <c r="I12" s="1"/>
      <c r="J12" s="1"/>
      <c r="K12" s="1">
        <v>18941.900000000001</v>
      </c>
      <c r="L12" s="1">
        <v>26410.84</v>
      </c>
      <c r="M12" s="12"/>
      <c r="N12" s="169">
        <f t="shared" si="2"/>
        <v>3507318.3000000007</v>
      </c>
      <c r="O12" s="169">
        <f t="shared" ref="O12:Q12" si="12">(C12-C11)</f>
        <v>184686.65000000037</v>
      </c>
      <c r="P12" s="169">
        <f t="shared" si="12"/>
        <v>92775.749999999985</v>
      </c>
      <c r="Q12" s="169">
        <f t="shared" si="12"/>
        <v>78129.949999999953</v>
      </c>
      <c r="R12" s="169"/>
      <c r="S12" s="169"/>
      <c r="T12" s="169"/>
      <c r="U12" s="169"/>
      <c r="V12" s="169"/>
      <c r="W12" s="169">
        <f t="shared" ref="W12:X12" si="13">(K12-K11)</f>
        <v>-180.25</v>
      </c>
      <c r="X12" s="169">
        <f t="shared" si="13"/>
        <v>-139.18000000000029</v>
      </c>
      <c r="Y12" s="169"/>
      <c r="Z12" s="169">
        <f t="shared" si="5"/>
        <v>355592.35000000056</v>
      </c>
    </row>
    <row r="13" spans="1:38" ht="13">
      <c r="B13" s="32">
        <v>45226</v>
      </c>
      <c r="C13" s="1">
        <v>4084822.6</v>
      </c>
      <c r="D13" s="1">
        <v>-71732.999999999942</v>
      </c>
      <c r="E13" s="1">
        <v>-252953.59999999998</v>
      </c>
      <c r="F13" s="1"/>
      <c r="G13" s="1"/>
      <c r="H13" s="1"/>
      <c r="I13" s="1"/>
      <c r="J13" s="1"/>
      <c r="K13" s="1">
        <v>19047.25</v>
      </c>
      <c r="L13" s="1">
        <v>26548.45</v>
      </c>
      <c r="M13" s="12"/>
      <c r="N13" s="169">
        <f t="shared" si="2"/>
        <v>3760136</v>
      </c>
      <c r="O13" s="169">
        <f t="shared" ref="O13:Q13" si="14">(C13-C12)</f>
        <v>161507.24999999953</v>
      </c>
      <c r="P13" s="169">
        <f t="shared" si="14"/>
        <v>7739.2500000000728</v>
      </c>
      <c r="Q13" s="169">
        <f t="shared" si="14"/>
        <v>83571.20000000007</v>
      </c>
      <c r="R13" s="169"/>
      <c r="S13" s="169"/>
      <c r="T13" s="169"/>
      <c r="U13" s="169"/>
      <c r="V13" s="169"/>
      <c r="W13" s="169">
        <f t="shared" ref="W13:X13" si="15">(K13-K12)</f>
        <v>105.34999999999854</v>
      </c>
      <c r="X13" s="169">
        <f t="shared" si="15"/>
        <v>137.61000000000058</v>
      </c>
      <c r="Y13" s="169"/>
      <c r="Z13" s="169">
        <f t="shared" si="5"/>
        <v>252817.69999999925</v>
      </c>
    </row>
    <row r="14" spans="1:38" ht="13">
      <c r="B14" s="32">
        <v>45230</v>
      </c>
      <c r="C14" s="1">
        <v>4167059.1</v>
      </c>
      <c r="D14" s="1">
        <v>-35783.500000000015</v>
      </c>
      <c r="E14" s="1">
        <v>-184434.79999999996</v>
      </c>
      <c r="F14" s="1"/>
      <c r="G14" s="1"/>
      <c r="H14" s="1"/>
      <c r="I14" s="1"/>
      <c r="J14" s="1"/>
      <c r="K14" s="1">
        <v>19068.2</v>
      </c>
      <c r="L14" s="1">
        <v>26605.8</v>
      </c>
      <c r="M14" s="12"/>
      <c r="N14" s="169">
        <f t="shared" si="2"/>
        <v>3946840.8000000003</v>
      </c>
      <c r="O14" s="169">
        <f t="shared" ref="O14:Q14" si="16">(C14-C13)</f>
        <v>82236.5</v>
      </c>
      <c r="P14" s="169">
        <f t="shared" si="16"/>
        <v>35949.499999999927</v>
      </c>
      <c r="Q14" s="169">
        <f t="shared" si="16"/>
        <v>68518.800000000017</v>
      </c>
      <c r="R14" s="169"/>
      <c r="S14" s="169"/>
      <c r="T14" s="169"/>
      <c r="U14" s="169"/>
      <c r="V14" s="169"/>
      <c r="W14" s="169">
        <f t="shared" ref="W14:X14" si="17">(K14-K13)</f>
        <v>20.950000000000728</v>
      </c>
      <c r="X14" s="169">
        <f t="shared" si="17"/>
        <v>57.349999999998545</v>
      </c>
      <c r="Y14" s="169"/>
      <c r="Z14" s="169">
        <f t="shared" si="5"/>
        <v>186704.80000000028</v>
      </c>
    </row>
    <row r="15" spans="1:38" ht="13">
      <c r="B15" s="32">
        <v>45231</v>
      </c>
      <c r="C15" s="1">
        <v>4094630.1000000006</v>
      </c>
      <c r="D15" s="1">
        <v>-57842.999999999971</v>
      </c>
      <c r="E15" s="1">
        <v>-186763.94999999998</v>
      </c>
      <c r="F15" s="1"/>
      <c r="G15" s="1"/>
      <c r="H15" s="1"/>
      <c r="I15" s="1"/>
      <c r="J15" s="1"/>
      <c r="K15" s="1">
        <v>18989.150000000001</v>
      </c>
      <c r="L15" s="1">
        <v>26494.41</v>
      </c>
      <c r="M15" s="12"/>
      <c r="N15" s="169">
        <f t="shared" si="2"/>
        <v>3850023.1500000004</v>
      </c>
      <c r="O15" s="169">
        <f t="shared" ref="O15:Q15" si="18">(C15-C14)</f>
        <v>-72428.999999999534</v>
      </c>
      <c r="P15" s="169">
        <f t="shared" si="18"/>
        <v>-22059.499999999956</v>
      </c>
      <c r="Q15" s="169">
        <f t="shared" si="18"/>
        <v>-2329.1500000000233</v>
      </c>
      <c r="R15" s="169"/>
      <c r="S15" s="169"/>
      <c r="T15" s="169"/>
      <c r="U15" s="169"/>
      <c r="V15" s="169"/>
      <c r="W15" s="169">
        <f t="shared" ref="W15:X15" si="19">(K15-K14)</f>
        <v>-79.049999999999272</v>
      </c>
      <c r="X15" s="169">
        <f t="shared" si="19"/>
        <v>-111.38999999999942</v>
      </c>
      <c r="Y15" s="169"/>
      <c r="Z15" s="169">
        <f t="shared" si="5"/>
        <v>-96817.649999999907</v>
      </c>
    </row>
    <row r="16" spans="1:38" ht="13">
      <c r="B16" s="32">
        <v>45233</v>
      </c>
      <c r="C16" s="1">
        <v>4250906.6500000004</v>
      </c>
      <c r="D16" s="1">
        <v>-34997.500000000044</v>
      </c>
      <c r="E16" s="1">
        <v>-151623.5</v>
      </c>
      <c r="F16" s="1"/>
      <c r="G16" s="1"/>
      <c r="H16" s="1"/>
      <c r="I16" s="1"/>
      <c r="J16" s="1"/>
      <c r="K16" s="1">
        <v>19230.599999999999</v>
      </c>
      <c r="L16" s="1">
        <v>26917.85</v>
      </c>
      <c r="M16" s="12"/>
      <c r="N16" s="169">
        <f t="shared" si="2"/>
        <v>4064285.6500000004</v>
      </c>
      <c r="O16" s="169">
        <f t="shared" ref="O16:Q16" si="20">(C16-C15)</f>
        <v>156276.54999999981</v>
      </c>
      <c r="P16" s="169">
        <f t="shared" si="20"/>
        <v>22845.499999999927</v>
      </c>
      <c r="Q16" s="169">
        <f t="shared" si="20"/>
        <v>35140.449999999983</v>
      </c>
      <c r="R16" s="169"/>
      <c r="S16" s="169"/>
      <c r="T16" s="169"/>
      <c r="U16" s="169"/>
      <c r="V16" s="169"/>
      <c r="W16" s="169">
        <f t="shared" ref="W16:X16" si="21">(K16-K15)</f>
        <v>241.44999999999709</v>
      </c>
      <c r="X16" s="169">
        <f t="shared" si="21"/>
        <v>423.43999999999869</v>
      </c>
      <c r="Y16" s="169"/>
      <c r="Z16" s="169">
        <f t="shared" si="5"/>
        <v>214262.5</v>
      </c>
    </row>
    <row r="17" spans="2:26" ht="13">
      <c r="B17" s="32">
        <v>45236</v>
      </c>
      <c r="C17" s="1">
        <v>4334923.1000000006</v>
      </c>
      <c r="D17" s="1">
        <v>-6403.9999999999127</v>
      </c>
      <c r="E17" s="1">
        <v>-111576.09999999992</v>
      </c>
      <c r="F17" s="1"/>
      <c r="G17" s="1"/>
      <c r="H17" s="1"/>
      <c r="I17" s="1"/>
      <c r="J17" s="1"/>
      <c r="K17" s="1">
        <v>19411.75</v>
      </c>
      <c r="L17" s="1">
        <v>27168.959999999999</v>
      </c>
      <c r="M17" s="12"/>
      <c r="N17" s="169">
        <f t="shared" si="2"/>
        <v>4216943.0000000009</v>
      </c>
      <c r="O17" s="169">
        <f t="shared" ref="O17:Q17" si="22">(C17-C16)</f>
        <v>84016.450000000186</v>
      </c>
      <c r="P17" s="169">
        <f t="shared" si="22"/>
        <v>28593.500000000131</v>
      </c>
      <c r="Q17" s="169">
        <f t="shared" si="22"/>
        <v>40047.400000000081</v>
      </c>
      <c r="R17" s="169"/>
      <c r="S17" s="169"/>
      <c r="T17" s="169"/>
      <c r="U17" s="169"/>
      <c r="V17" s="169"/>
      <c r="W17" s="169">
        <f t="shared" ref="W17:X17" si="23">(K17-K16)</f>
        <v>181.15000000000146</v>
      </c>
      <c r="X17" s="169">
        <f t="shared" si="23"/>
        <v>251.11000000000058</v>
      </c>
      <c r="Y17" s="169"/>
      <c r="Z17" s="169">
        <f t="shared" si="5"/>
        <v>152657.35000000056</v>
      </c>
    </row>
    <row r="18" spans="2:26" ht="13">
      <c r="B18" s="32">
        <v>45237</v>
      </c>
      <c r="C18" s="1">
        <v>4346984.6000000006</v>
      </c>
      <c r="D18" s="1">
        <v>1889.0000000000255</v>
      </c>
      <c r="E18" s="1">
        <v>-79806.600000000035</v>
      </c>
      <c r="F18" s="1"/>
      <c r="G18" s="1"/>
      <c r="H18" s="1"/>
      <c r="I18" s="1"/>
      <c r="J18" s="1"/>
      <c r="K18" s="1">
        <v>19449.599999999999</v>
      </c>
      <c r="L18" s="1">
        <v>27315.27</v>
      </c>
      <c r="M18" s="12"/>
      <c r="N18" s="169">
        <f t="shared" si="2"/>
        <v>4269067.0000000009</v>
      </c>
      <c r="O18" s="169">
        <f t="shared" ref="O18:Q18" si="24">(C18-C17)</f>
        <v>12061.5</v>
      </c>
      <c r="P18" s="169">
        <f t="shared" si="24"/>
        <v>8292.9999999999382</v>
      </c>
      <c r="Q18" s="169">
        <f t="shared" si="24"/>
        <v>31769.499999999884</v>
      </c>
      <c r="R18" s="169"/>
      <c r="S18" s="169"/>
      <c r="T18" s="169"/>
      <c r="U18" s="169"/>
      <c r="V18" s="169"/>
      <c r="W18" s="169">
        <f t="shared" ref="W18:X18" si="25">(K18-K17)</f>
        <v>37.849999999998545</v>
      </c>
      <c r="X18" s="169">
        <f t="shared" si="25"/>
        <v>146.31000000000131</v>
      </c>
      <c r="Y18" s="169"/>
      <c r="Z18" s="169">
        <f t="shared" si="5"/>
        <v>52124</v>
      </c>
    </row>
    <row r="19" spans="2:26" ht="13">
      <c r="B19" s="32">
        <v>45238</v>
      </c>
      <c r="C19" s="1">
        <v>4280720.1000000006</v>
      </c>
      <c r="D19" s="1">
        <v>-27100.000000000022</v>
      </c>
      <c r="E19" s="1">
        <v>-95113.200000000143</v>
      </c>
      <c r="F19" s="1"/>
      <c r="G19" s="1"/>
      <c r="H19" s="1"/>
      <c r="I19" s="1"/>
      <c r="J19" s="1"/>
      <c r="K19" s="1">
        <v>19443.5</v>
      </c>
      <c r="L19" s="1">
        <v>27315.13</v>
      </c>
      <c r="M19" s="12"/>
      <c r="N19" s="169">
        <f t="shared" si="2"/>
        <v>4158506.9000000004</v>
      </c>
      <c r="O19" s="169">
        <f t="shared" ref="O19:Q19" si="26">(C19-C18)</f>
        <v>-66264.5</v>
      </c>
      <c r="P19" s="169">
        <f t="shared" si="26"/>
        <v>-28989.000000000047</v>
      </c>
      <c r="Q19" s="169">
        <f t="shared" si="26"/>
        <v>-15306.600000000108</v>
      </c>
      <c r="R19" s="169"/>
      <c r="S19" s="169"/>
      <c r="T19" s="169"/>
      <c r="U19" s="169"/>
      <c r="V19" s="169"/>
      <c r="W19" s="169">
        <f t="shared" ref="W19:X19" si="27">(K19-K18)</f>
        <v>-6.0999999999985448</v>
      </c>
      <c r="X19" s="169">
        <f t="shared" si="27"/>
        <v>-0.13999999999941792</v>
      </c>
      <c r="Y19" s="169"/>
      <c r="Z19" s="169">
        <f t="shared" si="5"/>
        <v>-110560.10000000056</v>
      </c>
    </row>
    <row r="20" spans="2:26" ht="13">
      <c r="B20" s="32">
        <v>45239</v>
      </c>
      <c r="C20" s="1">
        <v>4238905.1000000006</v>
      </c>
      <c r="D20" s="1">
        <v>-30253.000000000058</v>
      </c>
      <c r="E20" s="1">
        <v>-92951.200000000099</v>
      </c>
      <c r="F20" s="1"/>
      <c r="G20" s="1"/>
      <c r="H20" s="1"/>
      <c r="I20" s="1"/>
      <c r="J20" s="1"/>
      <c r="K20" s="1">
        <v>19395.3</v>
      </c>
      <c r="L20" s="1">
        <v>27262.45</v>
      </c>
      <c r="M20" s="12"/>
      <c r="N20" s="169">
        <f t="shared" si="2"/>
        <v>4115700.9000000004</v>
      </c>
      <c r="O20" s="169">
        <f t="shared" ref="O20:Q20" si="28">(C20-C19)</f>
        <v>-41815</v>
      </c>
      <c r="P20" s="169">
        <f t="shared" si="28"/>
        <v>-3153.0000000000364</v>
      </c>
      <c r="Q20" s="169">
        <f t="shared" si="28"/>
        <v>2162.0000000000437</v>
      </c>
      <c r="R20" s="169"/>
      <c r="S20" s="169"/>
      <c r="T20" s="169"/>
      <c r="U20" s="169"/>
      <c r="V20" s="169"/>
      <c r="W20" s="169">
        <f t="shared" ref="W20:X20" si="29">(K20-K19)</f>
        <v>-48.200000000000728</v>
      </c>
      <c r="X20" s="169">
        <f t="shared" si="29"/>
        <v>-52.680000000000291</v>
      </c>
      <c r="Y20" s="169"/>
      <c r="Z20" s="169">
        <f t="shared" si="5"/>
        <v>-42806</v>
      </c>
    </row>
    <row r="21" spans="2:26" ht="13">
      <c r="B21" s="32">
        <v>45240</v>
      </c>
      <c r="C21" s="1">
        <v>4321758.1000000006</v>
      </c>
      <c r="D21" s="1">
        <v>-9136.9999999999636</v>
      </c>
      <c r="E21" s="1">
        <v>-51994</v>
      </c>
      <c r="F21" s="1"/>
      <c r="G21" s="1"/>
      <c r="H21" s="1"/>
      <c r="I21" s="1"/>
      <c r="J21" s="1"/>
      <c r="K21" s="1">
        <v>19425.349999999999</v>
      </c>
      <c r="L21" s="1">
        <v>27307.15</v>
      </c>
      <c r="M21" s="12"/>
      <c r="N21" s="169">
        <f t="shared" si="2"/>
        <v>4260627.1000000006</v>
      </c>
      <c r="O21" s="169">
        <f t="shared" ref="O21:Q21" si="30">(C21-C20)</f>
        <v>82853</v>
      </c>
      <c r="P21" s="169">
        <f t="shared" si="30"/>
        <v>21116.000000000095</v>
      </c>
      <c r="Q21" s="169">
        <f t="shared" si="30"/>
        <v>40957.200000000099</v>
      </c>
      <c r="R21" s="169"/>
      <c r="S21" s="169"/>
      <c r="T21" s="169"/>
      <c r="U21" s="169"/>
      <c r="V21" s="169"/>
      <c r="W21" s="169">
        <f t="shared" ref="W21:X21" si="31">(K21-K20)</f>
        <v>30.049999999999272</v>
      </c>
      <c r="X21" s="169">
        <f t="shared" si="31"/>
        <v>44.700000000000728</v>
      </c>
      <c r="Y21" s="169"/>
      <c r="Z21" s="169">
        <f t="shared" si="5"/>
        <v>144926.20000000019</v>
      </c>
    </row>
    <row r="22" spans="2:26" ht="13">
      <c r="B22" s="32">
        <v>45242</v>
      </c>
      <c r="C22" s="1">
        <v>4482432.1500000004</v>
      </c>
      <c r="D22" s="1">
        <v>19550.999999999971</v>
      </c>
      <c r="E22" s="169">
        <v>24.69999999999709</v>
      </c>
      <c r="K22" s="3">
        <v>19523.650000000001</v>
      </c>
      <c r="L22" s="3">
        <v>27471.03</v>
      </c>
      <c r="M22" s="12"/>
      <c r="N22" s="169">
        <f t="shared" si="2"/>
        <v>4502007.8500000006</v>
      </c>
      <c r="O22" s="169">
        <f t="shared" ref="O22:Q22" si="32">(C22-C21)</f>
        <v>160674.04999999981</v>
      </c>
      <c r="P22" s="169">
        <f t="shared" si="32"/>
        <v>28687.999999999935</v>
      </c>
      <c r="Q22" s="169">
        <f t="shared" si="32"/>
        <v>52018.7</v>
      </c>
      <c r="R22" s="169"/>
      <c r="S22" s="169"/>
      <c r="T22" s="169"/>
      <c r="U22" s="169"/>
      <c r="V22" s="169"/>
      <c r="W22" s="169">
        <f t="shared" ref="W22:X22" si="33">(K22-K21)</f>
        <v>98.30000000000291</v>
      </c>
      <c r="X22" s="169">
        <f t="shared" si="33"/>
        <v>163.87999999999738</v>
      </c>
      <c r="Y22" s="169"/>
      <c r="Z22" s="169">
        <f t="shared" si="5"/>
        <v>241380.75</v>
      </c>
    </row>
    <row r="23" spans="2:26" ht="13">
      <c r="B23" s="32">
        <v>45243</v>
      </c>
      <c r="C23" s="1">
        <v>4505783.1000000006</v>
      </c>
      <c r="D23" s="1">
        <v>18317.500000000065</v>
      </c>
      <c r="E23" s="169">
        <v>28294.900000000067</v>
      </c>
      <c r="K23" s="3">
        <v>19443.55</v>
      </c>
      <c r="L23" s="3">
        <v>27397.03</v>
      </c>
      <c r="M23" s="12"/>
      <c r="N23" s="169">
        <f t="shared" si="2"/>
        <v>4552395.5000000009</v>
      </c>
      <c r="O23" s="169">
        <f t="shared" ref="O23:Q23" si="34">(C23-C22)</f>
        <v>23350.950000000186</v>
      </c>
      <c r="P23" s="169">
        <f t="shared" si="34"/>
        <v>-1233.4999999999054</v>
      </c>
      <c r="Q23" s="169">
        <f t="shared" si="34"/>
        <v>28270.20000000007</v>
      </c>
      <c r="R23" s="169"/>
      <c r="S23" s="169"/>
      <c r="T23" s="169"/>
      <c r="U23" s="169"/>
      <c r="V23" s="169"/>
      <c r="W23" s="169">
        <f t="shared" ref="W23:X23" si="35">(K23-K22)</f>
        <v>-80.100000000002183</v>
      </c>
      <c r="X23" s="169">
        <f t="shared" si="35"/>
        <v>-74</v>
      </c>
      <c r="Y23" s="169"/>
      <c r="Z23" s="169">
        <f t="shared" si="5"/>
        <v>50387.650000000373</v>
      </c>
    </row>
    <row r="24" spans="2:26" ht="13">
      <c r="B24" s="32">
        <v>45245</v>
      </c>
      <c r="C24" s="1">
        <v>4690919.8499999996</v>
      </c>
      <c r="D24" s="1">
        <v>91821.999999999985</v>
      </c>
      <c r="E24" s="169">
        <v>129254.9</v>
      </c>
      <c r="K24" s="3">
        <v>19675.45</v>
      </c>
      <c r="L24" s="3">
        <v>27696.7</v>
      </c>
      <c r="M24" s="12"/>
      <c r="N24" s="169">
        <f t="shared" si="2"/>
        <v>4911996.75</v>
      </c>
      <c r="O24" s="169">
        <f t="shared" ref="O24:Q24" si="36">(C24-C23)</f>
        <v>185136.74999999907</v>
      </c>
      <c r="P24" s="169">
        <f t="shared" si="36"/>
        <v>73504.499999999913</v>
      </c>
      <c r="Q24" s="169">
        <f t="shared" si="36"/>
        <v>100959.99999999993</v>
      </c>
      <c r="R24" s="169"/>
      <c r="S24" s="169"/>
      <c r="T24" s="169"/>
      <c r="U24" s="169"/>
      <c r="V24" s="169"/>
      <c r="W24" s="169">
        <f t="shared" ref="W24:X24" si="37">(K24-K23)</f>
        <v>231.90000000000146</v>
      </c>
      <c r="X24" s="169">
        <f t="shared" si="37"/>
        <v>299.67000000000189</v>
      </c>
      <c r="Y24" s="169"/>
      <c r="Z24" s="169">
        <f t="shared" si="5"/>
        <v>359601.24999999907</v>
      </c>
    </row>
    <row r="25" spans="2:26" ht="13">
      <c r="B25" s="32">
        <v>45246</v>
      </c>
      <c r="C25" s="1">
        <v>4742746.5</v>
      </c>
      <c r="D25" s="1">
        <v>154945.50000000009</v>
      </c>
      <c r="E25" s="169">
        <v>202097.90000000002</v>
      </c>
      <c r="K25" s="3">
        <v>19765.2</v>
      </c>
      <c r="L25" s="3">
        <v>27830.55</v>
      </c>
      <c r="M25" s="12"/>
      <c r="N25" s="169">
        <f t="shared" si="2"/>
        <v>5099789.9000000004</v>
      </c>
      <c r="O25" s="169">
        <f t="shared" ref="O25:Q25" si="38">(C25-C24)</f>
        <v>51826.650000000373</v>
      </c>
      <c r="P25" s="169">
        <f t="shared" si="38"/>
        <v>63123.500000000102</v>
      </c>
      <c r="Q25" s="169">
        <f t="shared" si="38"/>
        <v>72843.000000000029</v>
      </c>
      <c r="R25" s="169"/>
      <c r="S25" s="169"/>
      <c r="T25" s="169"/>
      <c r="U25" s="169"/>
      <c r="V25" s="169"/>
      <c r="W25" s="169">
        <f t="shared" ref="W25:X25" si="39">(K25-K24)</f>
        <v>89.75</v>
      </c>
      <c r="X25" s="169">
        <f t="shared" si="39"/>
        <v>133.84999999999854</v>
      </c>
      <c r="Y25" s="169"/>
      <c r="Z25" s="169">
        <f t="shared" si="5"/>
        <v>187793.15000000037</v>
      </c>
    </row>
    <row r="26" spans="2:26" ht="13">
      <c r="B26" s="32">
        <v>45247</v>
      </c>
      <c r="C26" s="1">
        <v>4867437.6000000006</v>
      </c>
      <c r="D26" s="1">
        <v>162372.99999999994</v>
      </c>
      <c r="E26" s="169">
        <v>224659.84999999986</v>
      </c>
      <c r="K26" s="3">
        <v>19731.8</v>
      </c>
      <c r="L26" s="3">
        <v>27841.96</v>
      </c>
      <c r="M26" s="12"/>
      <c r="N26" s="169">
        <f t="shared" si="2"/>
        <v>5254470.45</v>
      </c>
      <c r="O26" s="169">
        <f t="shared" ref="O26:Q26" si="40">(C26-C25)</f>
        <v>124691.10000000056</v>
      </c>
      <c r="P26" s="169">
        <f t="shared" si="40"/>
        <v>7427.4999999998545</v>
      </c>
      <c r="Q26" s="169">
        <f t="shared" si="40"/>
        <v>22561.949999999837</v>
      </c>
      <c r="R26" s="169"/>
      <c r="S26" s="169"/>
      <c r="T26" s="169"/>
      <c r="U26" s="169"/>
      <c r="V26" s="169"/>
      <c r="W26" s="169">
        <f t="shared" ref="W26:X26" si="41">(K26-K25)</f>
        <v>-33.400000000001455</v>
      </c>
      <c r="X26" s="169">
        <f t="shared" si="41"/>
        <v>11.409999999999854</v>
      </c>
      <c r="Y26" s="169"/>
      <c r="Z26" s="169">
        <f t="shared" si="5"/>
        <v>154680.54999999981</v>
      </c>
    </row>
    <row r="27" spans="2:26" ht="13">
      <c r="B27" s="32">
        <v>45250</v>
      </c>
      <c r="C27" s="1">
        <v>4919120.3000000007</v>
      </c>
      <c r="D27" s="1">
        <v>155554.48000000001</v>
      </c>
      <c r="E27" s="169">
        <v>222964.74999999988</v>
      </c>
      <c r="K27" s="3">
        <v>19694</v>
      </c>
      <c r="L27" s="3">
        <v>27803.07</v>
      </c>
      <c r="M27" s="12"/>
      <c r="N27" s="169">
        <f t="shared" si="2"/>
        <v>5297639.5300000012</v>
      </c>
      <c r="O27" s="169">
        <f t="shared" ref="O27:Q27" si="42">(C27-C26)</f>
        <v>51682.700000000186</v>
      </c>
      <c r="P27" s="169">
        <f t="shared" si="42"/>
        <v>-6818.5199999999313</v>
      </c>
      <c r="Q27" s="169">
        <f t="shared" si="42"/>
        <v>-1695.0999999999767</v>
      </c>
      <c r="R27" s="169"/>
      <c r="S27" s="169"/>
      <c r="T27" s="169"/>
      <c r="U27" s="169"/>
      <c r="V27" s="169"/>
      <c r="W27" s="169">
        <f t="shared" ref="W27:X27" si="43">(K27-K26)</f>
        <v>-37.799999999999272</v>
      </c>
      <c r="X27" s="169">
        <f t="shared" si="43"/>
        <v>-38.889999999999418</v>
      </c>
      <c r="Y27" s="169"/>
      <c r="Z27" s="169">
        <f t="shared" si="5"/>
        <v>43169.080000001006</v>
      </c>
    </row>
    <row r="28" spans="2:26" ht="13">
      <c r="B28" s="32">
        <v>45251</v>
      </c>
      <c r="C28" s="1">
        <v>4989049.4000000004</v>
      </c>
      <c r="D28" s="1">
        <v>182693.63</v>
      </c>
      <c r="E28" s="169">
        <v>231224.79999999993</v>
      </c>
      <c r="K28" s="3">
        <v>19783.400000000001</v>
      </c>
      <c r="L28" s="3">
        <v>27878.73</v>
      </c>
      <c r="M28" s="12"/>
      <c r="N28" s="169">
        <f t="shared" si="2"/>
        <v>5402967.8300000001</v>
      </c>
      <c r="O28" s="169">
        <f t="shared" ref="O28:Q28" si="44">(C28-C27)</f>
        <v>69929.099999999627</v>
      </c>
      <c r="P28" s="169">
        <f t="shared" si="44"/>
        <v>27139.149999999994</v>
      </c>
      <c r="Q28" s="169">
        <f t="shared" si="44"/>
        <v>8260.0500000000466</v>
      </c>
      <c r="R28" s="169"/>
      <c r="S28" s="169"/>
      <c r="T28" s="169"/>
      <c r="U28" s="169"/>
      <c r="V28" s="169"/>
      <c r="W28" s="169">
        <f t="shared" ref="W28:X28" si="45">(K28-K27)</f>
        <v>89.400000000001455</v>
      </c>
      <c r="X28" s="169">
        <f t="shared" si="45"/>
        <v>75.659999999999854</v>
      </c>
      <c r="Y28" s="169"/>
      <c r="Z28" s="169">
        <f t="shared" si="5"/>
        <v>105328.29999999888</v>
      </c>
    </row>
    <row r="29" spans="2:26" ht="13">
      <c r="B29" s="32">
        <v>45252</v>
      </c>
      <c r="C29" s="1">
        <v>5002735.25</v>
      </c>
      <c r="D29" s="1">
        <v>193466.63000000006</v>
      </c>
      <c r="E29" s="169">
        <v>228160.04999999987</v>
      </c>
      <c r="K29" s="3">
        <v>19811.849999999999</v>
      </c>
      <c r="L29" s="3">
        <v>27880.71</v>
      </c>
      <c r="M29" s="12"/>
      <c r="N29" s="169">
        <f t="shared" si="2"/>
        <v>5424361.9299999997</v>
      </c>
      <c r="O29" s="169">
        <f t="shared" ref="O29:Q29" si="46">(C29-C28)</f>
        <v>13685.849999999627</v>
      </c>
      <c r="P29" s="169">
        <f t="shared" si="46"/>
        <v>10773.000000000058</v>
      </c>
      <c r="Q29" s="169">
        <f t="shared" si="46"/>
        <v>-3064.7500000000582</v>
      </c>
      <c r="R29" s="169"/>
      <c r="S29" s="169"/>
      <c r="T29" s="169"/>
      <c r="U29" s="169"/>
      <c r="V29" s="169"/>
      <c r="W29" s="169">
        <f t="shared" ref="W29:X29" si="47">(K29-K28)</f>
        <v>28.44999999999709</v>
      </c>
      <c r="X29" s="169">
        <f t="shared" si="47"/>
        <v>1.9799999999995634</v>
      </c>
      <c r="Y29" s="169"/>
      <c r="Z29" s="169">
        <f t="shared" si="5"/>
        <v>21394.099999999627</v>
      </c>
    </row>
    <row r="30" spans="2:26" ht="13">
      <c r="B30" s="32">
        <v>45253</v>
      </c>
      <c r="C30" s="1">
        <v>5086786.0999999996</v>
      </c>
      <c r="D30" s="1">
        <v>223265.62999999998</v>
      </c>
      <c r="E30" s="169">
        <v>272421.19999999995</v>
      </c>
      <c r="K30" s="3">
        <v>19802</v>
      </c>
      <c r="L30" s="3">
        <v>27900.93</v>
      </c>
      <c r="M30" s="12"/>
      <c r="N30" s="169">
        <f t="shared" si="2"/>
        <v>5582472.9299999997</v>
      </c>
      <c r="O30" s="169">
        <f t="shared" ref="O30:Q30" si="48">(C30-C29)</f>
        <v>84050.849999999627</v>
      </c>
      <c r="P30" s="169">
        <f t="shared" si="48"/>
        <v>29798.999999999913</v>
      </c>
      <c r="Q30" s="169">
        <f t="shared" si="48"/>
        <v>44261.150000000081</v>
      </c>
      <c r="R30" s="169"/>
      <c r="S30" s="169"/>
      <c r="T30" s="169"/>
      <c r="U30" s="169"/>
      <c r="V30" s="169"/>
      <c r="W30" s="169">
        <f t="shared" ref="W30:X30" si="49">(K30-K29)</f>
        <v>-9.8499999999985448</v>
      </c>
      <c r="X30" s="169">
        <f t="shared" si="49"/>
        <v>20.220000000001164</v>
      </c>
      <c r="Y30" s="169"/>
      <c r="Z30" s="169">
        <f t="shared" si="5"/>
        <v>158111</v>
      </c>
    </row>
    <row r="31" spans="2:26" ht="13">
      <c r="B31" s="32">
        <v>45254</v>
      </c>
      <c r="C31" s="1">
        <v>5035962.1000000006</v>
      </c>
      <c r="D31" s="1">
        <v>232427.03000000003</v>
      </c>
      <c r="E31" s="169">
        <v>302543.4499999999</v>
      </c>
      <c r="K31" s="3">
        <v>19794.7</v>
      </c>
      <c r="L31" s="3">
        <v>27903.66</v>
      </c>
      <c r="M31" s="12"/>
      <c r="N31" s="169">
        <f t="shared" si="2"/>
        <v>5570932.580000001</v>
      </c>
      <c r="O31" s="169">
        <f t="shared" ref="O31:Q31" si="50">(C31-C30)</f>
        <v>-50823.999999999069</v>
      </c>
      <c r="P31" s="169">
        <f t="shared" si="50"/>
        <v>9161.4000000000524</v>
      </c>
      <c r="Q31" s="169">
        <f t="shared" si="50"/>
        <v>30122.249999999942</v>
      </c>
      <c r="R31" s="169"/>
      <c r="S31" s="169"/>
      <c r="T31" s="169"/>
      <c r="U31" s="169"/>
      <c r="V31" s="169"/>
      <c r="W31" s="169">
        <f t="shared" ref="W31:X31" si="51">(K31-K30)</f>
        <v>-7.2999999999992724</v>
      </c>
      <c r="X31" s="169">
        <f t="shared" si="51"/>
        <v>2.7299999999995634</v>
      </c>
      <c r="Y31" s="169"/>
      <c r="Z31" s="169">
        <f t="shared" si="5"/>
        <v>-11540.349999998696</v>
      </c>
    </row>
    <row r="32" spans="2:26" ht="13">
      <c r="B32" s="32">
        <v>45258</v>
      </c>
      <c r="C32" s="1">
        <v>5147452.45</v>
      </c>
      <c r="D32" s="1">
        <v>246259.02999999988</v>
      </c>
      <c r="E32" s="169">
        <v>354245.85</v>
      </c>
      <c r="K32" s="3">
        <v>19889.7</v>
      </c>
      <c r="L32" s="3">
        <v>28057.77</v>
      </c>
      <c r="M32" s="12"/>
      <c r="N32" s="169">
        <f t="shared" si="2"/>
        <v>5747957.3300000001</v>
      </c>
      <c r="O32" s="169">
        <f t="shared" ref="O32:Q32" si="52">(C32-C31)</f>
        <v>111490.34999999963</v>
      </c>
      <c r="P32" s="169">
        <f t="shared" si="52"/>
        <v>13831.999999999854</v>
      </c>
      <c r="Q32" s="169">
        <f t="shared" si="52"/>
        <v>51702.400000000081</v>
      </c>
      <c r="R32" s="169"/>
      <c r="S32" s="169"/>
      <c r="T32" s="169"/>
      <c r="U32" s="169"/>
      <c r="V32" s="169"/>
      <c r="W32" s="169">
        <f t="shared" ref="W32:X32" si="53">(K32-K31)</f>
        <v>95</v>
      </c>
      <c r="X32" s="169">
        <f t="shared" si="53"/>
        <v>154.11000000000058</v>
      </c>
      <c r="Y32" s="169"/>
      <c r="Z32" s="169">
        <f t="shared" si="5"/>
        <v>177024.74999999907</v>
      </c>
    </row>
    <row r="33" spans="2:26" ht="13">
      <c r="B33" s="32">
        <v>45259</v>
      </c>
      <c r="C33" s="1">
        <v>5147545.95</v>
      </c>
      <c r="D33" s="1">
        <v>241318.33</v>
      </c>
      <c r="E33" s="169">
        <v>353960.35000000003</v>
      </c>
      <c r="K33" s="3">
        <v>20096.599999999999</v>
      </c>
      <c r="L33" s="3">
        <v>28305.34</v>
      </c>
      <c r="M33" s="12"/>
      <c r="N33" s="169">
        <f t="shared" si="2"/>
        <v>5742824.6299999999</v>
      </c>
      <c r="O33" s="169">
        <f t="shared" ref="O33:Q33" si="54">(C33-C32)</f>
        <v>93.5</v>
      </c>
      <c r="P33" s="169">
        <f t="shared" si="54"/>
        <v>-4940.6999999998952</v>
      </c>
      <c r="Q33" s="169">
        <f t="shared" si="54"/>
        <v>-285.49999999994179</v>
      </c>
      <c r="R33" s="169"/>
      <c r="S33" s="169"/>
      <c r="T33" s="169"/>
      <c r="U33" s="169"/>
      <c r="V33" s="169"/>
      <c r="W33" s="169">
        <f t="shared" ref="W33:X33" si="55">(K33-K32)</f>
        <v>206.89999999999782</v>
      </c>
      <c r="X33" s="169">
        <f t="shared" si="55"/>
        <v>247.56999999999971</v>
      </c>
      <c r="Y33" s="169"/>
      <c r="Z33" s="169">
        <f t="shared" si="5"/>
        <v>-5132.7000000001863</v>
      </c>
    </row>
    <row r="34" spans="2:26" ht="13">
      <c r="B34" s="32">
        <v>45260</v>
      </c>
      <c r="C34" s="1">
        <v>5185361.1500000004</v>
      </c>
      <c r="D34" s="1">
        <v>240789.68</v>
      </c>
      <c r="E34" s="169">
        <v>412348.44999999984</v>
      </c>
      <c r="K34" s="3">
        <v>20133.150000000001</v>
      </c>
      <c r="L34" s="3">
        <v>28442.43</v>
      </c>
      <c r="M34" s="12"/>
      <c r="N34" s="169">
        <f t="shared" si="2"/>
        <v>5838499.2800000003</v>
      </c>
      <c r="O34" s="169">
        <f t="shared" ref="O34:Q34" si="56">(C34-C33)</f>
        <v>37815.200000000186</v>
      </c>
      <c r="P34" s="169">
        <f t="shared" si="56"/>
        <v>-528.64999999999418</v>
      </c>
      <c r="Q34" s="169">
        <f t="shared" si="56"/>
        <v>58388.099999999802</v>
      </c>
      <c r="R34" s="169"/>
      <c r="S34" s="169"/>
      <c r="T34" s="169"/>
      <c r="U34" s="169"/>
      <c r="V34" s="169"/>
      <c r="W34" s="169">
        <f t="shared" ref="W34:X34" si="57">(K34-K33)</f>
        <v>36.55000000000291</v>
      </c>
      <c r="X34" s="169">
        <f t="shared" si="57"/>
        <v>137.09000000000015</v>
      </c>
      <c r="Y34" s="169"/>
      <c r="Z34" s="169">
        <f t="shared" si="5"/>
        <v>95674.650000000373</v>
      </c>
    </row>
    <row r="35" spans="2:26" ht="13">
      <c r="B35" s="32">
        <v>45261</v>
      </c>
      <c r="C35" s="1">
        <v>5233771.5999999996</v>
      </c>
      <c r="D35" s="1">
        <v>222630.68</v>
      </c>
      <c r="E35" s="169">
        <v>408500.99999999994</v>
      </c>
      <c r="K35" s="3">
        <v>20267.900000000001</v>
      </c>
      <c r="L35" s="3">
        <v>28639.22</v>
      </c>
      <c r="M35" s="12"/>
      <c r="N35" s="169">
        <f t="shared" si="2"/>
        <v>5864903.2799999993</v>
      </c>
      <c r="O35" s="169">
        <f t="shared" ref="O35:Q35" si="58">(C35-C34)</f>
        <v>48410.449999999255</v>
      </c>
      <c r="P35" s="169">
        <f t="shared" si="58"/>
        <v>-18159</v>
      </c>
      <c r="Q35" s="169">
        <f t="shared" si="58"/>
        <v>-3847.4499999998952</v>
      </c>
      <c r="R35" s="169"/>
      <c r="S35" s="169"/>
      <c r="T35" s="169"/>
      <c r="U35" s="169"/>
      <c r="V35" s="169"/>
      <c r="W35" s="169">
        <f t="shared" ref="W35:X35" si="59">(K35-K34)</f>
        <v>134.75</v>
      </c>
      <c r="X35" s="169">
        <f t="shared" si="59"/>
        <v>196.79000000000087</v>
      </c>
      <c r="Y35" s="169"/>
      <c r="Z35" s="169">
        <f t="shared" si="5"/>
        <v>26403.999999999069</v>
      </c>
    </row>
    <row r="36" spans="2:26" ht="13">
      <c r="B36" s="32">
        <v>45264</v>
      </c>
      <c r="C36" s="1">
        <v>5438330.5500000007</v>
      </c>
      <c r="D36" s="1">
        <v>295624.43</v>
      </c>
      <c r="E36" s="169">
        <v>573745.64999999991</v>
      </c>
      <c r="K36" s="3">
        <v>20686.8</v>
      </c>
      <c r="L36" s="3">
        <v>29164.880000000001</v>
      </c>
      <c r="M36" s="12"/>
      <c r="N36" s="169">
        <v>6307700.6300000008</v>
      </c>
      <c r="O36" s="169">
        <f t="shared" ref="O36:Q36" si="60">(C36-C35)</f>
        <v>204558.95000000112</v>
      </c>
      <c r="P36" s="169">
        <f t="shared" si="60"/>
        <v>72993.75</v>
      </c>
      <c r="Q36" s="169">
        <f t="shared" si="60"/>
        <v>165244.64999999997</v>
      </c>
      <c r="R36" s="169"/>
      <c r="S36" s="169"/>
      <c r="T36" s="169"/>
      <c r="U36" s="169"/>
      <c r="V36" s="169"/>
      <c r="W36" s="169">
        <f t="shared" ref="W36:X36" si="61">(K36-K35)</f>
        <v>418.89999999999782</v>
      </c>
      <c r="X36" s="169">
        <f t="shared" si="61"/>
        <v>525.65999999999985</v>
      </c>
      <c r="Y36" s="169"/>
      <c r="Z36" s="169">
        <f t="shared" si="5"/>
        <v>442797.35000000149</v>
      </c>
    </row>
    <row r="37" spans="2:26" ht="13">
      <c r="B37" s="32">
        <v>45265</v>
      </c>
      <c r="C37" s="1">
        <f t="shared" ref="C37:E37" si="62">AVERAGE(C36,C38)</f>
        <v>5419651.3250000002</v>
      </c>
      <c r="D37" s="1">
        <f t="shared" si="62"/>
        <v>301104.93</v>
      </c>
      <c r="E37" s="169">
        <f t="shared" si="62"/>
        <v>567999.14999999991</v>
      </c>
      <c r="K37" s="3">
        <f t="shared" ref="K37:L37" si="63">AVERAGE(K36,K38)</f>
        <v>20812.25</v>
      </c>
      <c r="L37" s="3">
        <f t="shared" si="63"/>
        <v>29352.52</v>
      </c>
      <c r="M37" s="12"/>
      <c r="N37" s="169">
        <f t="shared" ref="N37:N38" si="64">SUM(C37:E37)</f>
        <v>6288755.4049999993</v>
      </c>
      <c r="O37" s="169">
        <f t="shared" ref="O37:Q37" si="65">(C37-C36)</f>
        <v>-18679.225000000559</v>
      </c>
      <c r="P37" s="169">
        <f t="shared" si="65"/>
        <v>5480.5</v>
      </c>
      <c r="Q37" s="169">
        <f t="shared" si="65"/>
        <v>-5746.5</v>
      </c>
      <c r="R37" s="169"/>
      <c r="S37" s="169"/>
      <c r="T37" s="169"/>
      <c r="U37" s="169"/>
      <c r="V37" s="169"/>
      <c r="W37" s="169">
        <f t="shared" ref="W37:X37" si="66">(K37-K36)</f>
        <v>125.45000000000073</v>
      </c>
      <c r="X37" s="169">
        <f t="shared" si="66"/>
        <v>187.63999999999942</v>
      </c>
      <c r="Y37" s="169"/>
      <c r="Z37" s="169">
        <f t="shared" si="5"/>
        <v>-18945.22500000149</v>
      </c>
    </row>
    <row r="38" spans="2:26" ht="13">
      <c r="B38" s="32">
        <v>45266</v>
      </c>
      <c r="C38" s="1">
        <v>5400972.0999999996</v>
      </c>
      <c r="D38" s="1">
        <v>306585.43</v>
      </c>
      <c r="E38" s="169">
        <v>562252.64999999991</v>
      </c>
      <c r="K38" s="3">
        <v>20937.7</v>
      </c>
      <c r="L38" s="3">
        <v>29540.16</v>
      </c>
      <c r="M38" s="12"/>
      <c r="N38" s="169">
        <f t="shared" si="64"/>
        <v>6269810.1799999997</v>
      </c>
      <c r="O38" s="169">
        <f t="shared" ref="O38:Q38" si="67">(C38-C37)</f>
        <v>-18679.225000000559</v>
      </c>
      <c r="P38" s="169">
        <f t="shared" si="67"/>
        <v>5480.5</v>
      </c>
      <c r="Q38" s="169">
        <f t="shared" si="67"/>
        <v>-5746.5</v>
      </c>
      <c r="R38" s="169"/>
      <c r="S38" s="169"/>
      <c r="T38" s="169"/>
      <c r="U38" s="169"/>
      <c r="V38" s="169"/>
      <c r="W38" s="169">
        <f t="shared" ref="W38:X38" si="68">(K38-K37)</f>
        <v>125.45000000000073</v>
      </c>
      <c r="X38" s="169">
        <f t="shared" si="68"/>
        <v>187.63999999999942</v>
      </c>
      <c r="Y38" s="169"/>
      <c r="Z38" s="169">
        <f t="shared" si="5"/>
        <v>-18945.224999999627</v>
      </c>
    </row>
    <row r="39" spans="2:26" ht="13">
      <c r="B39" s="32">
        <v>45267</v>
      </c>
      <c r="C39" s="1">
        <v>5480678.0999999996</v>
      </c>
      <c r="D39" s="1">
        <v>337313.43</v>
      </c>
      <c r="E39" s="169">
        <v>624266.64999999991</v>
      </c>
      <c r="K39" s="3">
        <v>20901.150000000001</v>
      </c>
      <c r="L39" s="3">
        <v>29584.41</v>
      </c>
      <c r="M39" s="12"/>
      <c r="N39" s="169">
        <v>6442258.1799999997</v>
      </c>
      <c r="O39" s="169">
        <f t="shared" ref="O39:Q39" si="69">(C39-C38)</f>
        <v>79706</v>
      </c>
      <c r="P39" s="169">
        <f t="shared" si="69"/>
        <v>30728</v>
      </c>
      <c r="Q39" s="169">
        <f t="shared" si="69"/>
        <v>62014</v>
      </c>
      <c r="R39" s="169"/>
      <c r="S39" s="169"/>
      <c r="T39" s="169"/>
      <c r="U39" s="169"/>
      <c r="V39" s="169"/>
      <c r="W39" s="169">
        <f t="shared" ref="W39:X39" si="70">(K39-K38)</f>
        <v>-36.549999999999272</v>
      </c>
      <c r="X39" s="169">
        <f t="shared" si="70"/>
        <v>44.25</v>
      </c>
      <c r="Y39" s="169"/>
      <c r="Z39" s="169">
        <f t="shared" si="5"/>
        <v>172448</v>
      </c>
    </row>
    <row r="40" spans="2:26" ht="13">
      <c r="B40" s="32">
        <v>45268</v>
      </c>
      <c r="C40" s="1">
        <v>5467655.3499999996</v>
      </c>
      <c r="D40" s="1">
        <v>322083.93</v>
      </c>
      <c r="E40" s="169">
        <v>608780.19999999995</v>
      </c>
      <c r="G40" s="1"/>
      <c r="K40" s="3">
        <v>20969.400000000001</v>
      </c>
      <c r="L40" s="3">
        <v>29581</v>
      </c>
      <c r="M40" s="12"/>
      <c r="N40" s="169">
        <v>6398992.4799999995</v>
      </c>
      <c r="O40" s="169">
        <f t="shared" ref="O40:Q40" si="71">(C40-C39)</f>
        <v>-13022.75</v>
      </c>
      <c r="P40" s="169">
        <f t="shared" si="71"/>
        <v>-15229.5</v>
      </c>
      <c r="Q40" s="169">
        <f t="shared" si="71"/>
        <v>-15486.449999999953</v>
      </c>
      <c r="R40" s="169"/>
      <c r="S40" s="169"/>
      <c r="T40" s="169"/>
      <c r="U40" s="169"/>
      <c r="V40" s="169"/>
      <c r="W40" s="169">
        <f t="shared" ref="W40:X40" si="72">(K40-K39)</f>
        <v>68.25</v>
      </c>
      <c r="X40" s="169">
        <f t="shared" si="72"/>
        <v>-3.4099999999998545</v>
      </c>
      <c r="Y40" s="169"/>
      <c r="Z40" s="169">
        <f t="shared" si="5"/>
        <v>-43265.700000000186</v>
      </c>
    </row>
    <row r="41" spans="2:26" ht="13">
      <c r="B41" s="32">
        <v>45272</v>
      </c>
      <c r="C41" s="1">
        <v>5539494.0999999996</v>
      </c>
      <c r="D41" s="1">
        <v>332927.93</v>
      </c>
      <c r="E41" s="169">
        <v>680806.34999999986</v>
      </c>
      <c r="G41" s="1"/>
      <c r="K41" s="3">
        <v>20929.75</v>
      </c>
      <c r="L41" s="3">
        <v>29547.24</v>
      </c>
      <c r="M41" s="12"/>
      <c r="N41" s="169">
        <v>6573963.879999999</v>
      </c>
      <c r="O41" s="169">
        <f t="shared" ref="O41:Q41" si="73">(C41-C40)</f>
        <v>71838.75</v>
      </c>
      <c r="P41" s="169">
        <f t="shared" si="73"/>
        <v>10844</v>
      </c>
      <c r="Q41" s="169">
        <f t="shared" si="73"/>
        <v>72026.149999999907</v>
      </c>
      <c r="R41" s="169"/>
      <c r="S41" s="169"/>
      <c r="T41" s="169"/>
      <c r="U41" s="169"/>
      <c r="V41" s="169"/>
      <c r="W41" s="169">
        <f t="shared" ref="W41:X41" si="74">(K41-K40)</f>
        <v>-39.650000000001455</v>
      </c>
      <c r="X41" s="169">
        <f t="shared" si="74"/>
        <v>-33.759999999998399</v>
      </c>
      <c r="Y41" s="169"/>
      <c r="Z41" s="169">
        <f t="shared" si="5"/>
        <v>174971.39999999944</v>
      </c>
    </row>
    <row r="42" spans="2:26" ht="13">
      <c r="B42" s="32">
        <v>45273</v>
      </c>
      <c r="C42" s="1">
        <v>5572850.5999999996</v>
      </c>
      <c r="D42" s="1">
        <v>345133.43</v>
      </c>
      <c r="E42" s="169">
        <v>708887.54999999981</v>
      </c>
      <c r="F42" s="1">
        <v>280946.86000000004</v>
      </c>
      <c r="G42" s="1">
        <v>22284.999999999967</v>
      </c>
      <c r="H42" s="1">
        <v>1434.9999999999798</v>
      </c>
      <c r="K42" s="3">
        <v>20926.349999999999</v>
      </c>
      <c r="L42" s="3">
        <v>29646.19</v>
      </c>
      <c r="M42" s="12"/>
      <c r="N42" s="169">
        <v>6931538.4399999995</v>
      </c>
      <c r="O42" s="169">
        <f t="shared" ref="O42:Q42" si="75">(C42-C41)</f>
        <v>33356.5</v>
      </c>
      <c r="P42" s="169">
        <f t="shared" si="75"/>
        <v>12205.5</v>
      </c>
      <c r="Q42" s="169">
        <f t="shared" si="75"/>
        <v>28081.199999999953</v>
      </c>
      <c r="R42" s="169">
        <f t="shared" ref="R42:T42" si="76">F42-F41</f>
        <v>280946.86000000004</v>
      </c>
      <c r="S42" s="169">
        <f t="shared" si="76"/>
        <v>22284.999999999967</v>
      </c>
      <c r="T42" s="169">
        <f t="shared" si="76"/>
        <v>1434.9999999999798</v>
      </c>
      <c r="U42" s="169"/>
      <c r="V42" s="169"/>
      <c r="W42" s="169">
        <f t="shared" ref="W42:X42" si="77">(K42-K41)</f>
        <v>-3.4000000000014552</v>
      </c>
      <c r="X42" s="169">
        <f t="shared" si="77"/>
        <v>98.94999999999709</v>
      </c>
      <c r="Y42" s="169"/>
      <c r="Z42" s="169">
        <f t="shared" si="5"/>
        <v>357574.56000000052</v>
      </c>
    </row>
    <row r="43" spans="2:26" ht="13">
      <c r="B43" s="32">
        <v>45274</v>
      </c>
      <c r="C43" s="1">
        <v>5638565.3499999996</v>
      </c>
      <c r="D43" s="1">
        <v>347296.8299999999</v>
      </c>
      <c r="E43" s="169">
        <v>733860.19999999972</v>
      </c>
      <c r="F43" s="1">
        <v>292030.21000000002</v>
      </c>
      <c r="G43" s="1">
        <v>48652.999999999985</v>
      </c>
      <c r="H43" s="1">
        <v>12053.749999999995</v>
      </c>
      <c r="K43" s="3">
        <v>21182.7</v>
      </c>
      <c r="L43" s="3">
        <v>29999.07</v>
      </c>
      <c r="M43" s="12"/>
      <c r="N43" s="169">
        <v>7072459.3399999989</v>
      </c>
      <c r="O43" s="169">
        <f t="shared" ref="O43:Q43" si="78">(C43-C42)</f>
        <v>65714.75</v>
      </c>
      <c r="P43" s="169">
        <f t="shared" si="78"/>
        <v>2163.3999999999069</v>
      </c>
      <c r="Q43" s="169">
        <f t="shared" si="78"/>
        <v>24972.649999999907</v>
      </c>
      <c r="R43" s="169">
        <f t="shared" ref="R43:T43" si="79">F43-F42</f>
        <v>11083.349999999977</v>
      </c>
      <c r="S43" s="169">
        <f t="shared" si="79"/>
        <v>26368.000000000018</v>
      </c>
      <c r="T43" s="169">
        <f t="shared" si="79"/>
        <v>10618.750000000015</v>
      </c>
      <c r="U43" s="169"/>
      <c r="V43" s="169"/>
      <c r="W43" s="169">
        <f t="shared" ref="W43:X43" si="80">(K43-K42)</f>
        <v>256.35000000000218</v>
      </c>
      <c r="X43" s="169">
        <f t="shared" si="80"/>
        <v>352.88000000000102</v>
      </c>
      <c r="Y43" s="169"/>
      <c r="Z43" s="169">
        <f t="shared" si="5"/>
        <v>140920.89999999944</v>
      </c>
    </row>
    <row r="44" spans="2:26" ht="13">
      <c r="B44" s="32">
        <v>45275</v>
      </c>
      <c r="C44" s="1">
        <v>5670078.3499999996</v>
      </c>
      <c r="D44" s="1">
        <v>335856.68</v>
      </c>
      <c r="E44" s="169">
        <v>740601.74999999977</v>
      </c>
      <c r="F44" s="1">
        <v>269556.41000000009</v>
      </c>
      <c r="G44" s="1">
        <v>39168.499999999956</v>
      </c>
      <c r="H44" s="1">
        <v>10074.999999999995</v>
      </c>
      <c r="K44" s="3">
        <v>21456.65</v>
      </c>
      <c r="L44" s="3">
        <v>30266.81</v>
      </c>
      <c r="M44" s="12"/>
      <c r="N44" s="169">
        <v>7065336.6899999995</v>
      </c>
      <c r="O44" s="169">
        <f t="shared" ref="O44:Q44" si="81">(C44-C43)</f>
        <v>31513</v>
      </c>
      <c r="P44" s="169">
        <f t="shared" si="81"/>
        <v>-11440.149999999907</v>
      </c>
      <c r="Q44" s="169">
        <f t="shared" si="81"/>
        <v>6741.5500000000466</v>
      </c>
      <c r="R44" s="169">
        <f t="shared" ref="R44:T44" si="82">F44-F43</f>
        <v>-22473.79999999993</v>
      </c>
      <c r="S44" s="169">
        <f t="shared" si="82"/>
        <v>-9484.5000000000291</v>
      </c>
      <c r="T44" s="169">
        <f t="shared" si="82"/>
        <v>-1978.75</v>
      </c>
      <c r="U44" s="169"/>
      <c r="V44" s="169"/>
      <c r="W44" s="169">
        <f t="shared" ref="W44:X44" si="83">(K44-K43)</f>
        <v>273.95000000000073</v>
      </c>
      <c r="X44" s="169">
        <f t="shared" si="83"/>
        <v>267.7400000000016</v>
      </c>
      <c r="Y44" s="169"/>
      <c r="Z44" s="169">
        <f t="shared" si="5"/>
        <v>-7122.6499999994412</v>
      </c>
    </row>
    <row r="45" spans="2:26" ht="13">
      <c r="B45" s="32">
        <v>45278</v>
      </c>
      <c r="C45" s="1">
        <v>5822130.6500000004</v>
      </c>
      <c r="D45" s="1">
        <v>399131.82999999996</v>
      </c>
      <c r="E45" s="169">
        <v>834265.1</v>
      </c>
      <c r="F45" s="1">
        <v>306990.11000000004</v>
      </c>
      <c r="G45" s="1">
        <v>53366.999999999985</v>
      </c>
      <c r="H45" s="1">
        <v>15805.000000000007</v>
      </c>
      <c r="K45" s="3">
        <v>21418.65</v>
      </c>
      <c r="L45" s="3">
        <v>30279.67</v>
      </c>
      <c r="M45" s="12"/>
      <c r="N45" s="169">
        <v>7431689.6900000004</v>
      </c>
      <c r="O45" s="169">
        <f t="shared" ref="O45:Q45" si="84">(C45-C44)</f>
        <v>152052.30000000075</v>
      </c>
      <c r="P45" s="169">
        <f t="shared" si="84"/>
        <v>63275.149999999965</v>
      </c>
      <c r="Q45" s="169">
        <f t="shared" si="84"/>
        <v>93663.35000000021</v>
      </c>
      <c r="R45" s="169">
        <f t="shared" ref="R45:T45" si="85">F45-F44</f>
        <v>37433.699999999953</v>
      </c>
      <c r="S45" s="169">
        <f t="shared" si="85"/>
        <v>14198.500000000029</v>
      </c>
      <c r="T45" s="169">
        <f t="shared" si="85"/>
        <v>5730.0000000000127</v>
      </c>
      <c r="U45" s="169"/>
      <c r="V45" s="169"/>
      <c r="W45" s="169">
        <f t="shared" ref="W45:X45" si="86">(K45-K44)</f>
        <v>-38</v>
      </c>
      <c r="X45" s="169">
        <f t="shared" si="86"/>
        <v>12.859999999996944</v>
      </c>
      <c r="Y45" s="169"/>
      <c r="Z45" s="169">
        <f t="shared" si="5"/>
        <v>366353.00000000093</v>
      </c>
    </row>
    <row r="46" spans="2:26" ht="13">
      <c r="B46" s="32">
        <v>45279</v>
      </c>
      <c r="C46" s="1">
        <v>5886475.0500000007</v>
      </c>
      <c r="D46" s="1">
        <v>404600.93</v>
      </c>
      <c r="E46" s="169">
        <v>880878.4</v>
      </c>
      <c r="F46" s="1">
        <v>296821.41000000003</v>
      </c>
      <c r="G46" s="1">
        <v>53289.999999999942</v>
      </c>
      <c r="H46" s="1">
        <v>10648.749999999984</v>
      </c>
      <c r="K46" s="3">
        <v>21453.1</v>
      </c>
      <c r="L46" s="3">
        <v>30303.95</v>
      </c>
      <c r="M46" s="12"/>
      <c r="N46" s="169">
        <v>7532714.540000001</v>
      </c>
      <c r="O46" s="169">
        <f t="shared" ref="O46:Q46" si="87">(C46-C45)</f>
        <v>64344.400000000373</v>
      </c>
      <c r="P46" s="169">
        <f t="shared" si="87"/>
        <v>5469.1000000000349</v>
      </c>
      <c r="Q46" s="169">
        <f t="shared" si="87"/>
        <v>46613.300000000047</v>
      </c>
      <c r="R46" s="169">
        <f t="shared" ref="R46:T46" si="88">F46-F45</f>
        <v>-10168.700000000012</v>
      </c>
      <c r="S46" s="169">
        <f t="shared" si="88"/>
        <v>-77.000000000043656</v>
      </c>
      <c r="T46" s="169">
        <f t="shared" si="88"/>
        <v>-5156.2500000000236</v>
      </c>
      <c r="U46" s="169"/>
      <c r="V46" s="169"/>
      <c r="W46" s="169">
        <f t="shared" ref="W46:X46" si="89">(K46-K45)</f>
        <v>34.44999999999709</v>
      </c>
      <c r="X46" s="169">
        <f t="shared" si="89"/>
        <v>24.280000000002474</v>
      </c>
      <c r="Y46" s="169"/>
      <c r="Z46" s="169">
        <f t="shared" si="5"/>
        <v>101024.85000000056</v>
      </c>
    </row>
    <row r="47" spans="2:26" ht="14">
      <c r="B47" s="32">
        <v>45280</v>
      </c>
      <c r="C47" s="1">
        <v>4843477.25</v>
      </c>
      <c r="D47" s="1">
        <v>141688.97999999998</v>
      </c>
      <c r="E47" s="169">
        <v>308384.14999999991</v>
      </c>
      <c r="F47" s="1">
        <v>25348</v>
      </c>
      <c r="G47" s="1">
        <v>-85932</v>
      </c>
      <c r="H47" s="1">
        <v>-83196</v>
      </c>
      <c r="K47" s="3">
        <v>21150.15</v>
      </c>
      <c r="L47" s="3">
        <v>29685.119999999999</v>
      </c>
      <c r="M47" s="12"/>
      <c r="N47" s="169">
        <f>SUM(C47:H47)</f>
        <v>5149770.3800000008</v>
      </c>
      <c r="O47" s="192">
        <f t="shared" ref="O47:Q47" si="90">(C47-C46)</f>
        <v>-1042997.8000000007</v>
      </c>
      <c r="P47" s="192">
        <f t="shared" si="90"/>
        <v>-262911.95</v>
      </c>
      <c r="Q47" s="192">
        <f t="shared" si="90"/>
        <v>-572494.25000000012</v>
      </c>
      <c r="R47" s="192">
        <f t="shared" ref="R47:T47" si="91">F47-F46</f>
        <v>-271473.41000000003</v>
      </c>
      <c r="S47" s="192">
        <f t="shared" si="91"/>
        <v>-139221.99999999994</v>
      </c>
      <c r="T47" s="192">
        <f t="shared" si="91"/>
        <v>-93844.749999999985</v>
      </c>
      <c r="U47" s="192"/>
      <c r="V47" s="192"/>
      <c r="W47" s="192">
        <f t="shared" ref="W47:X47" si="92">(K47-K46)</f>
        <v>-302.94999999999709</v>
      </c>
      <c r="X47" s="192">
        <f t="shared" si="92"/>
        <v>-618.83000000000175</v>
      </c>
      <c r="Y47" s="192"/>
      <c r="Z47" s="192">
        <f t="shared" si="5"/>
        <v>-2382944.16</v>
      </c>
    </row>
    <row r="48" spans="2:26" ht="13">
      <c r="B48" s="32">
        <v>45281</v>
      </c>
      <c r="C48" s="1">
        <v>5437683.75</v>
      </c>
      <c r="D48" s="1">
        <v>265415.43</v>
      </c>
      <c r="E48" s="169">
        <v>624360.5</v>
      </c>
      <c r="F48" s="1">
        <v>177717.41000000006</v>
      </c>
      <c r="G48" s="1">
        <v>18861.49999999996</v>
      </c>
      <c r="H48" s="1">
        <v>-6418.7500000000055</v>
      </c>
      <c r="K48" s="3">
        <v>21255.05</v>
      </c>
      <c r="L48" s="3">
        <v>29949.13</v>
      </c>
      <c r="M48" s="12"/>
      <c r="N48" s="169">
        <v>6517619.8399999999</v>
      </c>
      <c r="O48" s="193">
        <f t="shared" ref="O48:Q48" si="93">(C48-C47)</f>
        <v>594206.5</v>
      </c>
      <c r="P48" s="193">
        <f t="shared" si="93"/>
        <v>123726.45000000001</v>
      </c>
      <c r="Q48" s="193">
        <f t="shared" si="93"/>
        <v>315976.35000000009</v>
      </c>
      <c r="R48" s="193">
        <f t="shared" ref="R48:T48" si="94">F48-F47</f>
        <v>152369.41000000006</v>
      </c>
      <c r="S48" s="193">
        <f t="shared" si="94"/>
        <v>104793.49999999996</v>
      </c>
      <c r="T48" s="193">
        <f t="shared" si="94"/>
        <v>76777.25</v>
      </c>
      <c r="U48" s="193"/>
      <c r="V48" s="193"/>
      <c r="W48" s="193">
        <f t="shared" ref="W48:X48" si="95">(K48-K47)</f>
        <v>104.89999999999782</v>
      </c>
      <c r="X48" s="193">
        <f t="shared" si="95"/>
        <v>264.01000000000204</v>
      </c>
      <c r="Y48" s="193"/>
      <c r="Z48" s="193">
        <f t="shared" si="5"/>
        <v>1367849.459999999</v>
      </c>
    </row>
    <row r="49" spans="2:26" ht="13">
      <c r="B49" s="32">
        <v>45282</v>
      </c>
      <c r="C49" s="1">
        <v>5657195.5</v>
      </c>
      <c r="D49" s="1">
        <v>349542.68</v>
      </c>
      <c r="E49" s="169">
        <v>724199.09999999986</v>
      </c>
      <c r="F49" s="1">
        <v>207651.41000000003</v>
      </c>
      <c r="G49" s="1">
        <v>35022.499999999956</v>
      </c>
      <c r="H49" s="1">
        <v>-83.749999999993634</v>
      </c>
      <c r="K49" s="3">
        <v>21349.4</v>
      </c>
      <c r="L49" s="3">
        <v>30123.53</v>
      </c>
      <c r="M49" s="12"/>
      <c r="N49" s="169">
        <v>6973527.4399999995</v>
      </c>
      <c r="O49" s="193">
        <f t="shared" ref="O49:Q49" si="96">(C49-C48)</f>
        <v>219511.75</v>
      </c>
      <c r="P49" s="193">
        <f t="shared" si="96"/>
        <v>84127.25</v>
      </c>
      <c r="Q49" s="193">
        <f t="shared" si="96"/>
        <v>99838.59999999986</v>
      </c>
      <c r="R49" s="193">
        <f t="shared" ref="R49:T49" si="97">F49-F48</f>
        <v>29933.999999999971</v>
      </c>
      <c r="S49" s="193">
        <f t="shared" si="97"/>
        <v>16160.999999999996</v>
      </c>
      <c r="T49" s="193">
        <f t="shared" si="97"/>
        <v>6335.0000000000118</v>
      </c>
      <c r="U49" s="193"/>
      <c r="V49" s="193"/>
      <c r="W49" s="193">
        <f t="shared" ref="W49:X49" si="98">(K49-K48)</f>
        <v>94.350000000002183</v>
      </c>
      <c r="X49" s="193">
        <f t="shared" si="98"/>
        <v>174.39999999999782</v>
      </c>
      <c r="Y49" s="193"/>
      <c r="Z49" s="193">
        <f t="shared" si="5"/>
        <v>455907.59999999963</v>
      </c>
    </row>
    <row r="50" spans="2:26" ht="13">
      <c r="B50" s="32">
        <v>45286</v>
      </c>
      <c r="C50" s="1">
        <v>5893212.3000000007</v>
      </c>
      <c r="D50" s="1">
        <v>422641.93000000011</v>
      </c>
      <c r="E50" s="169">
        <v>879809.59999999986</v>
      </c>
      <c r="F50" s="1">
        <v>265040.61000000004</v>
      </c>
      <c r="G50" s="1">
        <v>42682.499999999956</v>
      </c>
      <c r="H50" s="1">
        <v>2693.74999999998</v>
      </c>
      <c r="K50" s="3">
        <v>21441.35</v>
      </c>
      <c r="L50" s="3">
        <v>30277.19</v>
      </c>
      <c r="M50" s="12"/>
      <c r="N50" s="169">
        <v>7506080.6900000004</v>
      </c>
      <c r="O50" s="193">
        <f t="shared" ref="O50:Q50" si="99">(C50-C49)</f>
        <v>236016.80000000075</v>
      </c>
      <c r="P50" s="193">
        <f t="shared" si="99"/>
        <v>73099.250000000116</v>
      </c>
      <c r="Q50" s="193">
        <f t="shared" si="99"/>
        <v>155610.5</v>
      </c>
      <c r="R50" s="193">
        <f t="shared" ref="R50:T50" si="100">F50-F49</f>
        <v>57389.200000000012</v>
      </c>
      <c r="S50" s="193">
        <f t="shared" si="100"/>
        <v>7660</v>
      </c>
      <c r="T50" s="193">
        <f t="shared" si="100"/>
        <v>2777.4999999999736</v>
      </c>
      <c r="U50" s="193"/>
      <c r="V50" s="193"/>
      <c r="W50" s="193">
        <f t="shared" ref="W50:X50" si="101">(K50-K49)</f>
        <v>91.94999999999709</v>
      </c>
      <c r="X50" s="193">
        <f t="shared" si="101"/>
        <v>153.65999999999985</v>
      </c>
      <c r="Y50" s="193"/>
      <c r="Z50" s="193">
        <f t="shared" si="5"/>
        <v>532553.25000000093</v>
      </c>
    </row>
    <row r="51" spans="2:26" ht="13">
      <c r="B51" s="32">
        <v>45287</v>
      </c>
      <c r="C51" s="1">
        <v>5954504.5999999996</v>
      </c>
      <c r="D51" s="1">
        <v>403565.43</v>
      </c>
      <c r="E51" s="169">
        <v>894355.64999999991</v>
      </c>
      <c r="F51" s="1">
        <v>282342.01</v>
      </c>
      <c r="G51" s="1">
        <v>34801.999999999956</v>
      </c>
      <c r="H51" s="1">
        <v>-2855.0000000000073</v>
      </c>
      <c r="K51" s="3">
        <v>21654.75</v>
      </c>
      <c r="L51" s="3">
        <v>30502.3</v>
      </c>
      <c r="M51" s="12"/>
      <c r="N51" s="169">
        <v>7566714.6899999995</v>
      </c>
      <c r="O51" s="193">
        <f t="shared" ref="O51:Q51" si="102">(C51-C50)</f>
        <v>61292.299999998882</v>
      </c>
      <c r="P51" s="193">
        <f t="shared" si="102"/>
        <v>-19076.500000000116</v>
      </c>
      <c r="Q51" s="193">
        <f t="shared" si="102"/>
        <v>14546.050000000047</v>
      </c>
      <c r="R51" s="193">
        <f t="shared" ref="R51:T51" si="103">F51-F50</f>
        <v>17301.399999999965</v>
      </c>
      <c r="S51" s="193">
        <f t="shared" si="103"/>
        <v>-7880.5</v>
      </c>
      <c r="T51" s="193">
        <f t="shared" si="103"/>
        <v>-5548.7499999999873</v>
      </c>
      <c r="U51" s="193"/>
      <c r="V51" s="193"/>
      <c r="W51" s="193">
        <f t="shared" ref="W51:X51" si="104">(K51-K50)</f>
        <v>213.40000000000146</v>
      </c>
      <c r="X51" s="193">
        <f t="shared" si="104"/>
        <v>225.11000000000058</v>
      </c>
      <c r="Y51" s="193"/>
      <c r="Z51" s="193">
        <f t="shared" si="5"/>
        <v>60633.999999999069</v>
      </c>
    </row>
    <row r="52" spans="2:26" ht="13">
      <c r="B52" s="32">
        <v>45288</v>
      </c>
      <c r="C52" s="1">
        <v>6054668.8499999996</v>
      </c>
      <c r="D52" s="1">
        <v>413635.68</v>
      </c>
      <c r="E52" s="169">
        <v>894814.09999999986</v>
      </c>
      <c r="F52" s="1">
        <v>298660.86000000004</v>
      </c>
      <c r="G52" s="1">
        <v>26052.999999999956</v>
      </c>
      <c r="H52" s="1">
        <v>-9122.5000000000109</v>
      </c>
      <c r="K52" s="3">
        <v>21737.65</v>
      </c>
      <c r="L52" s="3">
        <v>30671.72</v>
      </c>
      <c r="M52" s="12"/>
      <c r="N52" s="169">
        <v>7678709.9899999993</v>
      </c>
      <c r="O52" s="193">
        <f t="shared" ref="O52:Q52" si="105">(C52-C51)</f>
        <v>100164.25</v>
      </c>
      <c r="P52" s="193">
        <f t="shared" si="105"/>
        <v>10070.25</v>
      </c>
      <c r="Q52" s="193">
        <f t="shared" si="105"/>
        <v>458.44999999995343</v>
      </c>
      <c r="R52" s="193">
        <f t="shared" ref="R52:T52" si="106">F52-F51</f>
        <v>16318.850000000035</v>
      </c>
      <c r="S52" s="193">
        <f t="shared" si="106"/>
        <v>-8749</v>
      </c>
      <c r="T52" s="193">
        <f t="shared" si="106"/>
        <v>-6267.5000000000036</v>
      </c>
      <c r="U52" s="193"/>
      <c r="V52" s="193"/>
      <c r="W52" s="193">
        <f t="shared" ref="W52:X52" si="107">(K52-K51)</f>
        <v>82.900000000001455</v>
      </c>
      <c r="X52" s="193">
        <f t="shared" si="107"/>
        <v>169.42000000000189</v>
      </c>
      <c r="Y52" s="193"/>
      <c r="Z52" s="193">
        <f t="shared" si="5"/>
        <v>111995.29999999981</v>
      </c>
    </row>
    <row r="53" spans="2:26" ht="13">
      <c r="B53" s="32">
        <v>45289</v>
      </c>
      <c r="C53" s="1">
        <v>6173900.5999999996</v>
      </c>
      <c r="D53" s="1">
        <v>436641.93</v>
      </c>
      <c r="E53" s="169">
        <v>964898.34999999986</v>
      </c>
      <c r="F53" s="1">
        <v>326746.16000000009</v>
      </c>
      <c r="G53" s="1">
        <v>29267.999999999989</v>
      </c>
      <c r="H53" s="1">
        <v>-10335.000000000004</v>
      </c>
      <c r="K53" s="3">
        <v>21731.4</v>
      </c>
      <c r="L53" s="3">
        <v>30720.28</v>
      </c>
      <c r="M53" s="12"/>
      <c r="N53" s="169">
        <v>7921120.0399999991</v>
      </c>
      <c r="O53" s="193">
        <f t="shared" ref="O53:Q53" si="108">(C53-C52)</f>
        <v>119231.75</v>
      </c>
      <c r="P53" s="193">
        <f t="shared" si="108"/>
        <v>23006.25</v>
      </c>
      <c r="Q53" s="193">
        <f t="shared" si="108"/>
        <v>70084.25</v>
      </c>
      <c r="R53" s="193">
        <f t="shared" ref="R53:T53" si="109">F53-F52</f>
        <v>28085.300000000047</v>
      </c>
      <c r="S53" s="193">
        <f t="shared" si="109"/>
        <v>3215.0000000000327</v>
      </c>
      <c r="T53" s="193">
        <f t="shared" si="109"/>
        <v>-1212.4999999999927</v>
      </c>
      <c r="U53" s="193"/>
      <c r="V53" s="193"/>
      <c r="W53" s="193">
        <f t="shared" ref="W53:X53" si="110">(K53-K52)</f>
        <v>-6.25</v>
      </c>
      <c r="X53" s="193">
        <f t="shared" si="110"/>
        <v>48.559999999997672</v>
      </c>
      <c r="Y53" s="193"/>
      <c r="Z53" s="193">
        <f t="shared" si="5"/>
        <v>242410.04999999981</v>
      </c>
    </row>
    <row r="54" spans="2:26" ht="13">
      <c r="B54" s="194">
        <v>45292</v>
      </c>
      <c r="C54" s="1">
        <v>6462432.0999999996</v>
      </c>
      <c r="D54" s="1">
        <v>527033.68000000005</v>
      </c>
      <c r="E54" s="169">
        <v>1136573.1499999999</v>
      </c>
      <c r="F54" s="1">
        <v>399523.91000000009</v>
      </c>
      <c r="G54" s="1">
        <v>114175.99999999999</v>
      </c>
      <c r="H54" s="1">
        <v>82136.350000000035</v>
      </c>
      <c r="K54" s="3">
        <v>21741.9</v>
      </c>
      <c r="L54" s="3">
        <v>30785.67</v>
      </c>
      <c r="M54" s="12"/>
      <c r="N54" s="169">
        <v>8721875.1899999995</v>
      </c>
      <c r="O54" s="193">
        <f t="shared" ref="O54:Q54" si="111">(C54-C53)</f>
        <v>288531.5</v>
      </c>
      <c r="P54" s="193">
        <f t="shared" si="111"/>
        <v>90391.750000000058</v>
      </c>
      <c r="Q54" s="193">
        <f t="shared" si="111"/>
        <v>171674.80000000005</v>
      </c>
      <c r="R54" s="193">
        <f t="shared" ref="R54:T54" si="112">F54-F53</f>
        <v>72777.75</v>
      </c>
      <c r="S54" s="193">
        <f t="shared" si="112"/>
        <v>84908</v>
      </c>
      <c r="T54" s="193">
        <f t="shared" si="112"/>
        <v>92471.350000000035</v>
      </c>
      <c r="U54" s="193"/>
      <c r="V54" s="193"/>
      <c r="W54" s="193">
        <f t="shared" ref="W54:X54" si="113">(K54-K53)</f>
        <v>10.5</v>
      </c>
      <c r="X54" s="193">
        <f t="shared" si="113"/>
        <v>65.389999999999418</v>
      </c>
      <c r="Y54" s="193"/>
      <c r="Z54" s="193">
        <f t="shared" si="5"/>
        <v>800755.15000000037</v>
      </c>
    </row>
    <row r="55" spans="2:26" ht="13">
      <c r="B55" s="194">
        <v>45293</v>
      </c>
      <c r="C55" s="1">
        <v>6539247.25</v>
      </c>
      <c r="D55" s="1">
        <v>537160.82999999996</v>
      </c>
      <c r="E55" s="169">
        <v>1156585.8</v>
      </c>
      <c r="F55" s="1">
        <v>406196.45000000007</v>
      </c>
      <c r="G55" s="1">
        <v>115543.24999999997</v>
      </c>
      <c r="H55" s="1">
        <v>94752.4</v>
      </c>
      <c r="K55" s="3">
        <v>21665.8</v>
      </c>
      <c r="L55" s="3">
        <v>30702.07</v>
      </c>
      <c r="M55" s="12"/>
      <c r="N55" s="169">
        <v>8849485.9800000004</v>
      </c>
      <c r="O55" s="193">
        <f t="shared" ref="O55:Q55" si="114">(C55-C54)</f>
        <v>76815.150000000373</v>
      </c>
      <c r="P55" s="193">
        <f t="shared" si="114"/>
        <v>10127.149999999907</v>
      </c>
      <c r="Q55" s="193">
        <f t="shared" si="114"/>
        <v>20012.65000000014</v>
      </c>
      <c r="R55" s="193">
        <f t="shared" ref="R55:T55" si="115">F55-F54</f>
        <v>6672.539999999979</v>
      </c>
      <c r="S55" s="193">
        <f t="shared" si="115"/>
        <v>1367.2499999999854</v>
      </c>
      <c r="T55" s="193">
        <f t="shared" si="115"/>
        <v>12616.049999999959</v>
      </c>
      <c r="U55" s="193"/>
      <c r="V55" s="193"/>
      <c r="W55" s="193">
        <f t="shared" ref="W55:X55" si="116">(K55-K54)</f>
        <v>-76.100000000002183</v>
      </c>
      <c r="X55" s="193">
        <f t="shared" si="116"/>
        <v>-83.599999999998545</v>
      </c>
      <c r="Y55" s="193"/>
      <c r="Z55" s="193">
        <f t="shared" si="5"/>
        <v>127610.79000000097</v>
      </c>
    </row>
    <row r="56" spans="2:26" ht="13">
      <c r="B56" s="194">
        <v>45294</v>
      </c>
      <c r="C56" s="1">
        <v>6774515.5500000007</v>
      </c>
      <c r="D56" s="1">
        <v>571305.93000000005</v>
      </c>
      <c r="E56" s="169">
        <v>1276730.6499999999</v>
      </c>
      <c r="F56" s="1">
        <v>478475.35000000015</v>
      </c>
      <c r="G56" s="1">
        <v>178712.75</v>
      </c>
      <c r="H56" s="1">
        <v>137528.80000000005</v>
      </c>
      <c r="K56" s="3">
        <v>21517.35</v>
      </c>
      <c r="L56" s="3">
        <v>30621.23</v>
      </c>
      <c r="M56" s="12"/>
      <c r="N56" s="169">
        <v>9417269.0300000012</v>
      </c>
      <c r="O56" s="193">
        <f t="shared" ref="O56:Q56" si="117">(C56-C55)</f>
        <v>235268.30000000075</v>
      </c>
      <c r="P56" s="193">
        <f t="shared" si="117"/>
        <v>34145.100000000093</v>
      </c>
      <c r="Q56" s="193">
        <f t="shared" si="117"/>
        <v>120144.84999999986</v>
      </c>
      <c r="R56" s="193">
        <f t="shared" ref="R56:T56" si="118">F56-F55</f>
        <v>72278.900000000081</v>
      </c>
      <c r="S56" s="193">
        <f t="shared" si="118"/>
        <v>63169.500000000029</v>
      </c>
      <c r="T56" s="193">
        <f t="shared" si="118"/>
        <v>42776.400000000052</v>
      </c>
      <c r="U56" s="193"/>
      <c r="V56" s="193"/>
      <c r="W56" s="193">
        <f t="shared" ref="W56:X56" si="119">(K56-K55)</f>
        <v>-148.45000000000073</v>
      </c>
      <c r="X56" s="193">
        <f t="shared" si="119"/>
        <v>-80.840000000000146</v>
      </c>
      <c r="Y56" s="193"/>
      <c r="Z56" s="193">
        <f t="shared" si="5"/>
        <v>567783.05000000075</v>
      </c>
    </row>
    <row r="57" spans="2:26" ht="13">
      <c r="B57" s="194">
        <v>45295</v>
      </c>
      <c r="C57" s="1">
        <v>7032064.2000000002</v>
      </c>
      <c r="D57" s="1">
        <v>679019.42999999993</v>
      </c>
      <c r="E57" s="169">
        <v>1409115.5499999998</v>
      </c>
      <c r="F57" s="1">
        <v>572134.04999999993</v>
      </c>
      <c r="G57" s="1">
        <v>236776.25</v>
      </c>
      <c r="H57" s="1">
        <v>182230.10000000003</v>
      </c>
      <c r="K57" s="3">
        <v>21658.6</v>
      </c>
      <c r="L57" s="3">
        <v>30891.8</v>
      </c>
      <c r="M57" s="12"/>
      <c r="N57" s="169">
        <v>10111339.58</v>
      </c>
      <c r="O57" s="193">
        <f t="shared" ref="O57:Q57" si="120">(C57-C56)</f>
        <v>257548.64999999944</v>
      </c>
      <c r="P57" s="193">
        <f t="shared" si="120"/>
        <v>107713.49999999988</v>
      </c>
      <c r="Q57" s="193">
        <f t="shared" si="120"/>
        <v>132384.89999999991</v>
      </c>
      <c r="R57" s="193">
        <f t="shared" ref="R57:T57" si="121">F57-F56</f>
        <v>93658.699999999779</v>
      </c>
      <c r="S57" s="193">
        <f t="shared" si="121"/>
        <v>58063.5</v>
      </c>
      <c r="T57" s="193">
        <f t="shared" si="121"/>
        <v>44701.299999999988</v>
      </c>
      <c r="U57" s="193"/>
      <c r="V57" s="193"/>
      <c r="W57" s="193">
        <f t="shared" ref="W57:X57" si="122">(K57-K56)</f>
        <v>141.25</v>
      </c>
      <c r="X57" s="193">
        <f t="shared" si="122"/>
        <v>270.56999999999971</v>
      </c>
      <c r="Y57" s="193"/>
      <c r="Z57" s="193">
        <f t="shared" si="5"/>
        <v>694070.54999999888</v>
      </c>
    </row>
    <row r="58" spans="2:26" ht="13">
      <c r="B58" s="194">
        <v>45296</v>
      </c>
      <c r="C58" s="1">
        <v>6968412.3499999996</v>
      </c>
      <c r="D58" s="1">
        <v>688428.17999999993</v>
      </c>
      <c r="E58" s="169">
        <v>1431263.3</v>
      </c>
      <c r="F58" s="1">
        <v>583154.99999999988</v>
      </c>
      <c r="G58" s="1">
        <v>239051.49999999997</v>
      </c>
      <c r="H58" s="1">
        <v>169117.00000000003</v>
      </c>
      <c r="K58" s="3">
        <v>21710.799999999999</v>
      </c>
      <c r="L58" s="3">
        <v>30971.040000000001</v>
      </c>
      <c r="M58" s="12"/>
      <c r="N58" s="169">
        <v>10079427.33</v>
      </c>
      <c r="O58" s="193">
        <f t="shared" ref="O58:Q58" si="123">(C58-C57)</f>
        <v>-63651.850000000559</v>
      </c>
      <c r="P58" s="193">
        <f t="shared" si="123"/>
        <v>9408.75</v>
      </c>
      <c r="Q58" s="193">
        <f t="shared" si="123"/>
        <v>22147.750000000233</v>
      </c>
      <c r="R58" s="193">
        <f t="shared" ref="R58:T58" si="124">F58-F57</f>
        <v>11020.949999999953</v>
      </c>
      <c r="S58" s="193">
        <f t="shared" si="124"/>
        <v>2275.2499999999709</v>
      </c>
      <c r="T58" s="193">
        <f t="shared" si="124"/>
        <v>-13113.100000000006</v>
      </c>
      <c r="U58" s="193"/>
      <c r="V58" s="193"/>
      <c r="W58" s="193">
        <f t="shared" ref="W58:X58" si="125">(K58-K57)</f>
        <v>52.200000000000728</v>
      </c>
      <c r="X58" s="193">
        <f t="shared" si="125"/>
        <v>79.240000000001601</v>
      </c>
      <c r="Y58" s="193"/>
      <c r="Z58" s="193">
        <f t="shared" si="5"/>
        <v>-31912.25</v>
      </c>
    </row>
    <row r="59" spans="2:26" ht="13">
      <c r="B59" s="194">
        <v>45299</v>
      </c>
      <c r="C59" s="1">
        <v>6914603.0999999996</v>
      </c>
      <c r="D59" s="1">
        <v>691786.42999999993</v>
      </c>
      <c r="E59" s="169">
        <v>1411028.35</v>
      </c>
      <c r="F59" s="1">
        <v>565398.35000000009</v>
      </c>
      <c r="G59" s="1">
        <v>216601.99999999997</v>
      </c>
      <c r="H59" s="1">
        <v>148501.84999999998</v>
      </c>
      <c r="K59" s="3">
        <v>21513</v>
      </c>
      <c r="L59" s="3">
        <v>30694.41</v>
      </c>
      <c r="M59" s="12"/>
      <c r="N59" s="169">
        <v>9947920.0799999982</v>
      </c>
      <c r="O59" s="193">
        <f t="shared" ref="O59:Q59" si="126">(C59-C58)</f>
        <v>-53809.25</v>
      </c>
      <c r="P59" s="193">
        <f t="shared" si="126"/>
        <v>3358.25</v>
      </c>
      <c r="Q59" s="193">
        <f t="shared" si="126"/>
        <v>-20234.949999999953</v>
      </c>
      <c r="R59" s="193">
        <f t="shared" ref="R59:T59" si="127">F59-F58</f>
        <v>-17756.64999999979</v>
      </c>
      <c r="S59" s="193">
        <f t="shared" si="127"/>
        <v>-22449.5</v>
      </c>
      <c r="T59" s="193">
        <f t="shared" si="127"/>
        <v>-20615.150000000052</v>
      </c>
      <c r="U59" s="193"/>
      <c r="V59" s="193"/>
      <c r="W59" s="193">
        <f t="shared" ref="W59:X59" si="128">(K59-K58)</f>
        <v>-197.79999999999927</v>
      </c>
      <c r="X59" s="193">
        <f t="shared" si="128"/>
        <v>-276.63000000000102</v>
      </c>
      <c r="Y59" s="193"/>
      <c r="Z59" s="193">
        <f t="shared" si="5"/>
        <v>-131507.25000000186</v>
      </c>
    </row>
    <row r="60" spans="2:26" ht="13">
      <c r="B60" s="194">
        <v>45300</v>
      </c>
      <c r="C60" s="1">
        <v>6983019.5999999996</v>
      </c>
      <c r="D60" s="1">
        <v>686439.12999999989</v>
      </c>
      <c r="E60" s="169">
        <v>1424557.7499999998</v>
      </c>
      <c r="F60" s="1">
        <v>550824.1</v>
      </c>
      <c r="G60" s="1">
        <v>222229.49999999991</v>
      </c>
      <c r="H60" s="1">
        <v>160684.34999999998</v>
      </c>
      <c r="K60" s="3">
        <v>21544.85</v>
      </c>
      <c r="L60" s="3">
        <v>30761.38</v>
      </c>
      <c r="M60" s="12"/>
      <c r="N60" s="169">
        <v>10027754.429999998</v>
      </c>
      <c r="O60" s="193">
        <f t="shared" ref="O60:Q60" si="129">(C60-C59)</f>
        <v>68416.5</v>
      </c>
      <c r="P60" s="193">
        <f t="shared" si="129"/>
        <v>-5347.3000000000466</v>
      </c>
      <c r="Q60" s="193">
        <f t="shared" si="129"/>
        <v>13529.399999999674</v>
      </c>
      <c r="R60" s="193">
        <f t="shared" ref="R60:T60" si="130">F60-F59</f>
        <v>-14574.250000000116</v>
      </c>
      <c r="S60" s="193">
        <f t="shared" si="130"/>
        <v>5627.4999999999418</v>
      </c>
      <c r="T60" s="193">
        <f t="shared" si="130"/>
        <v>12182.5</v>
      </c>
      <c r="U60" s="193"/>
      <c r="V60" s="193"/>
      <c r="W60" s="193">
        <f t="shared" ref="W60:X60" si="131">(K60-K59)</f>
        <v>31.849999999998545</v>
      </c>
      <c r="X60" s="193">
        <f t="shared" si="131"/>
        <v>66.970000000001164</v>
      </c>
      <c r="Y60" s="193"/>
      <c r="Z60" s="193">
        <f t="shared" si="5"/>
        <v>79834.349999999627</v>
      </c>
    </row>
    <row r="61" spans="2:26" ht="13">
      <c r="B61" s="194">
        <v>45301</v>
      </c>
      <c r="C61" s="1">
        <v>7134646.6500000004</v>
      </c>
      <c r="D61" s="1">
        <v>742693.37999999989</v>
      </c>
      <c r="E61" s="169">
        <v>1506604.0999999999</v>
      </c>
      <c r="F61" s="1">
        <v>612005.29999999993</v>
      </c>
      <c r="G61" s="1">
        <v>230702.99999999994</v>
      </c>
      <c r="H61" s="1">
        <v>165626.70000000001</v>
      </c>
      <c r="K61" s="3">
        <v>21618.7</v>
      </c>
      <c r="L61" s="3">
        <v>30858.6</v>
      </c>
      <c r="M61" s="12"/>
      <c r="N61" s="169">
        <v>10392279.130000001</v>
      </c>
      <c r="O61" s="193">
        <f t="shared" ref="O61:Q61" si="132">(C61-C60)</f>
        <v>151627.05000000075</v>
      </c>
      <c r="P61" s="193">
        <f t="shared" si="132"/>
        <v>56254.25</v>
      </c>
      <c r="Q61" s="193">
        <f t="shared" si="132"/>
        <v>82046.350000000093</v>
      </c>
      <c r="R61" s="193">
        <f t="shared" ref="R61:T61" si="133">F61-F60</f>
        <v>61181.199999999953</v>
      </c>
      <c r="S61" s="193">
        <f t="shared" si="133"/>
        <v>8473.5000000000291</v>
      </c>
      <c r="T61" s="193">
        <f t="shared" si="133"/>
        <v>4942.3500000000349</v>
      </c>
      <c r="U61" s="193"/>
      <c r="V61" s="193"/>
      <c r="W61" s="193">
        <f t="shared" ref="W61:X61" si="134">(K61-K60)</f>
        <v>73.850000000002183</v>
      </c>
      <c r="X61" s="193">
        <f t="shared" si="134"/>
        <v>97.219999999997526</v>
      </c>
      <c r="Y61" s="193"/>
      <c r="Z61" s="193">
        <f t="shared" si="5"/>
        <v>364524.70000000298</v>
      </c>
    </row>
    <row r="62" spans="2:26" ht="13">
      <c r="B62" s="194">
        <v>45302</v>
      </c>
      <c r="C62" s="1">
        <v>7444223.9500000002</v>
      </c>
      <c r="D62" s="1">
        <v>853643.92999999993</v>
      </c>
      <c r="E62" s="169">
        <v>1660043.5999999999</v>
      </c>
      <c r="F62" s="1">
        <v>705069.95</v>
      </c>
      <c r="G62" s="1">
        <v>351870.2</v>
      </c>
      <c r="H62" s="1">
        <v>288076.81999999995</v>
      </c>
      <c r="K62" s="3">
        <v>21647.200000000001</v>
      </c>
      <c r="L62" s="3">
        <v>30961.040000000001</v>
      </c>
      <c r="M62" s="12"/>
      <c r="N62" s="169">
        <v>11302928.449999999</v>
      </c>
      <c r="O62" s="193">
        <f t="shared" ref="O62:Q62" si="135">(C62-C61)</f>
        <v>309577.29999999981</v>
      </c>
      <c r="P62" s="193">
        <f t="shared" si="135"/>
        <v>110950.55000000005</v>
      </c>
      <c r="Q62" s="193">
        <f t="shared" si="135"/>
        <v>153439.5</v>
      </c>
      <c r="R62" s="193">
        <f t="shared" ref="R62:T62" si="136">F62-F61</f>
        <v>93064.650000000023</v>
      </c>
      <c r="S62" s="193">
        <f t="shared" si="136"/>
        <v>121167.20000000007</v>
      </c>
      <c r="T62" s="193">
        <f t="shared" si="136"/>
        <v>122450.11999999994</v>
      </c>
      <c r="U62" s="193"/>
      <c r="V62" s="193"/>
      <c r="W62" s="193">
        <f t="shared" ref="W62:X62" si="137">(K62-K61)</f>
        <v>28.5</v>
      </c>
      <c r="X62" s="193">
        <f t="shared" si="137"/>
        <v>102.44000000000233</v>
      </c>
      <c r="Y62" s="193"/>
      <c r="Z62" s="193">
        <f t="shared" si="5"/>
        <v>910649.31999999844</v>
      </c>
    </row>
    <row r="63" spans="2:26" ht="13">
      <c r="B63" s="194">
        <v>45303</v>
      </c>
      <c r="C63" s="1">
        <v>7479694.1500000004</v>
      </c>
      <c r="D63" s="1">
        <v>840822.28</v>
      </c>
      <c r="E63" s="169">
        <v>1655515.5999999999</v>
      </c>
      <c r="F63" s="1">
        <v>701134.74999999988</v>
      </c>
      <c r="G63" s="1">
        <v>360478.20000000007</v>
      </c>
      <c r="H63" s="1">
        <v>305464.82</v>
      </c>
      <c r="K63" s="3">
        <v>21894.55</v>
      </c>
      <c r="L63" s="3">
        <v>31215.69</v>
      </c>
      <c r="M63" s="12"/>
      <c r="N63" s="169">
        <v>11343109.800000001</v>
      </c>
      <c r="O63" s="193">
        <f t="shared" ref="O63:Q63" si="138">(C63-C62)</f>
        <v>35470.200000000186</v>
      </c>
      <c r="P63" s="193">
        <f t="shared" si="138"/>
        <v>-12821.649999999907</v>
      </c>
      <c r="Q63" s="193">
        <f t="shared" si="138"/>
        <v>-4528</v>
      </c>
      <c r="R63" s="193">
        <f t="shared" ref="R63:T63" si="139">F63-F62</f>
        <v>-3935.2000000000698</v>
      </c>
      <c r="S63" s="193">
        <f t="shared" si="139"/>
        <v>8608.0000000000582</v>
      </c>
      <c r="T63" s="193">
        <f t="shared" si="139"/>
        <v>17388.000000000058</v>
      </c>
      <c r="U63" s="193"/>
      <c r="V63" s="193"/>
      <c r="W63" s="193">
        <f t="shared" ref="W63:X63" si="140">(K63-K62)</f>
        <v>247.34999999999854</v>
      </c>
      <c r="X63" s="193">
        <f t="shared" si="140"/>
        <v>254.64999999999782</v>
      </c>
      <c r="Y63" s="193"/>
      <c r="Z63" s="193">
        <f t="shared" si="5"/>
        <v>40181.35000000149</v>
      </c>
    </row>
    <row r="64" spans="2:26" ht="13">
      <c r="B64" s="194">
        <v>45306</v>
      </c>
      <c r="C64" s="1">
        <v>7754018.0999999996</v>
      </c>
      <c r="D64" s="1">
        <v>937415.98</v>
      </c>
      <c r="E64" s="169">
        <v>1790635.95</v>
      </c>
      <c r="F64" s="1">
        <v>736665.54999999981</v>
      </c>
      <c r="G64" s="1">
        <v>429955.45</v>
      </c>
      <c r="H64" s="1">
        <v>358087.27</v>
      </c>
      <c r="K64" s="3">
        <v>22097.45</v>
      </c>
      <c r="L64" s="3">
        <v>31440.7</v>
      </c>
      <c r="M64" s="12"/>
      <c r="N64" s="169">
        <v>12006778.299999997</v>
      </c>
      <c r="O64" s="193">
        <f t="shared" ref="O64:Q64" si="141">(C64-C63)</f>
        <v>274323.94999999925</v>
      </c>
      <c r="P64" s="193">
        <f t="shared" si="141"/>
        <v>96593.699999999953</v>
      </c>
      <c r="Q64" s="193">
        <f t="shared" si="141"/>
        <v>135120.35000000009</v>
      </c>
      <c r="R64" s="193">
        <f t="shared" ref="R64:T64" si="142">F64-F63</f>
        <v>35530.79999999993</v>
      </c>
      <c r="S64" s="193">
        <f t="shared" si="142"/>
        <v>69477.249999999942</v>
      </c>
      <c r="T64" s="193">
        <f t="shared" si="142"/>
        <v>52622.450000000012</v>
      </c>
      <c r="U64" s="193"/>
      <c r="V64" s="193"/>
      <c r="W64" s="193">
        <f t="shared" ref="W64:X64" si="143">(K64-K63)</f>
        <v>202.90000000000146</v>
      </c>
      <c r="X64" s="193">
        <f t="shared" si="143"/>
        <v>225.01000000000204</v>
      </c>
      <c r="Y64" s="193"/>
      <c r="Z64" s="193">
        <f t="shared" si="5"/>
        <v>663668.49999999627</v>
      </c>
    </row>
    <row r="65" spans="1:38" ht="13">
      <c r="B65" s="194">
        <v>45307</v>
      </c>
      <c r="C65" s="1">
        <v>7745253.1500000004</v>
      </c>
      <c r="D65" s="1">
        <v>924152.92999999993</v>
      </c>
      <c r="E65" s="169">
        <v>1782301.4</v>
      </c>
      <c r="F65" s="1">
        <v>712343.99999999988</v>
      </c>
      <c r="G65" s="1">
        <v>383990.7</v>
      </c>
      <c r="H65" s="1">
        <v>299728.07</v>
      </c>
      <c r="K65" s="3">
        <v>22032.3</v>
      </c>
      <c r="L65" s="3">
        <v>31346.19</v>
      </c>
      <c r="M65" s="12"/>
      <c r="N65" s="169">
        <v>11847770.25</v>
      </c>
      <c r="O65" s="193">
        <f t="shared" ref="O65:Q65" si="144">(C65-C64)</f>
        <v>-8764.9499999992549</v>
      </c>
      <c r="P65" s="193">
        <f t="shared" si="144"/>
        <v>-13263.050000000047</v>
      </c>
      <c r="Q65" s="193">
        <f t="shared" si="144"/>
        <v>-8334.5500000000466</v>
      </c>
      <c r="R65" s="193">
        <f t="shared" ref="R65:T65" si="145">F65-F64</f>
        <v>-24321.54999999993</v>
      </c>
      <c r="S65" s="193">
        <f t="shared" si="145"/>
        <v>-45964.75</v>
      </c>
      <c r="T65" s="193">
        <f t="shared" si="145"/>
        <v>-58359.200000000012</v>
      </c>
      <c r="U65" s="193"/>
      <c r="V65" s="193"/>
      <c r="W65" s="193">
        <f t="shared" ref="W65:X65" si="146">(K65-K64)</f>
        <v>-65.150000000001455</v>
      </c>
      <c r="X65" s="193">
        <f t="shared" si="146"/>
        <v>-94.510000000002037</v>
      </c>
      <c r="Y65" s="193"/>
      <c r="Z65" s="193">
        <f t="shared" si="5"/>
        <v>-159008.04999999702</v>
      </c>
    </row>
    <row r="66" spans="1:38" ht="13">
      <c r="B66" s="194">
        <v>45308</v>
      </c>
      <c r="C66" s="1">
        <v>7682871.1500000004</v>
      </c>
      <c r="D66" s="1">
        <v>894533.67999999993</v>
      </c>
      <c r="E66" s="169">
        <v>1752967.5999999999</v>
      </c>
      <c r="F66" s="1">
        <v>685990.49999999988</v>
      </c>
      <c r="G66" s="1">
        <v>356885.45</v>
      </c>
      <c r="H66" s="1">
        <v>252284.02</v>
      </c>
      <c r="K66" s="3">
        <v>21571.95</v>
      </c>
      <c r="L66" s="3">
        <v>30808.23</v>
      </c>
      <c r="M66" s="12"/>
      <c r="N66" s="169">
        <v>11625532.399999999</v>
      </c>
      <c r="O66" s="193">
        <f t="shared" ref="O66:Q66" si="147">(C66-C65)</f>
        <v>-62382</v>
      </c>
      <c r="P66" s="193">
        <f t="shared" si="147"/>
        <v>-29619.25</v>
      </c>
      <c r="Q66" s="193">
        <f t="shared" si="147"/>
        <v>-29333.800000000047</v>
      </c>
      <c r="R66" s="193">
        <f t="shared" ref="R66:T66" si="148">F66-F65</f>
        <v>-26353.5</v>
      </c>
      <c r="S66" s="193">
        <f t="shared" si="148"/>
        <v>-27105.25</v>
      </c>
      <c r="T66" s="193">
        <f t="shared" si="148"/>
        <v>-47444.050000000017</v>
      </c>
      <c r="U66" s="193"/>
      <c r="V66" s="193"/>
      <c r="W66" s="193">
        <f t="shared" ref="W66:X66" si="149">(K66-K65)</f>
        <v>-460.34999999999854</v>
      </c>
      <c r="X66" s="193">
        <f t="shared" si="149"/>
        <v>-537.95999999999913</v>
      </c>
      <c r="Y66" s="193"/>
      <c r="Z66" s="193">
        <f t="shared" si="5"/>
        <v>-222237.85000000149</v>
      </c>
    </row>
    <row r="67" spans="1:38" ht="13">
      <c r="B67" s="194">
        <v>45309</v>
      </c>
      <c r="C67" s="1">
        <v>7960942.3499999996</v>
      </c>
      <c r="D67" s="1">
        <v>991698.17999999993</v>
      </c>
      <c r="E67" s="169">
        <v>1992012.0999999999</v>
      </c>
      <c r="F67" s="1">
        <v>797930.24999999988</v>
      </c>
      <c r="G67" s="1">
        <v>400749.2</v>
      </c>
      <c r="H67" s="1">
        <v>307934.77</v>
      </c>
      <c r="K67" s="3">
        <v>21462.25</v>
      </c>
      <c r="L67" s="3">
        <v>30693.11</v>
      </c>
      <c r="M67" s="12"/>
      <c r="N67" s="169">
        <v>12451266.849999998</v>
      </c>
      <c r="O67" s="193">
        <f t="shared" ref="O67:Q67" si="150">(C67-C66)</f>
        <v>278071.19999999925</v>
      </c>
      <c r="P67" s="193">
        <f t="shared" si="150"/>
        <v>97164.5</v>
      </c>
      <c r="Q67" s="193">
        <f t="shared" si="150"/>
        <v>239044.5</v>
      </c>
      <c r="R67" s="193">
        <f t="shared" ref="R67:T67" si="151">F67-F66</f>
        <v>111939.75</v>
      </c>
      <c r="S67" s="193">
        <f t="shared" si="151"/>
        <v>43863.75</v>
      </c>
      <c r="T67" s="193">
        <f t="shared" si="151"/>
        <v>55650.750000000029</v>
      </c>
      <c r="U67" s="193"/>
      <c r="V67" s="193"/>
      <c r="W67" s="193">
        <f t="shared" ref="W67:X67" si="152">(K67-K66)</f>
        <v>-109.70000000000073</v>
      </c>
      <c r="X67" s="193">
        <f t="shared" si="152"/>
        <v>-115.11999999999898</v>
      </c>
      <c r="Y67" s="193"/>
      <c r="Z67" s="193">
        <f t="shared" si="5"/>
        <v>825734.44999999925</v>
      </c>
    </row>
    <row r="68" spans="1:38" ht="13">
      <c r="B68" s="194">
        <v>45310</v>
      </c>
      <c r="C68" s="1">
        <v>8349765.75</v>
      </c>
      <c r="D68" s="1">
        <v>1090480.28</v>
      </c>
      <c r="E68" s="169">
        <v>2078300.0500000003</v>
      </c>
      <c r="F68" s="1">
        <v>809209.39</v>
      </c>
      <c r="G68" s="1">
        <v>541581.83000000007</v>
      </c>
      <c r="H68" s="1">
        <v>399500.67000000004</v>
      </c>
      <c r="K68" s="3">
        <v>21622.400000000001</v>
      </c>
      <c r="L68" s="3">
        <v>31000.47</v>
      </c>
      <c r="M68" s="12"/>
      <c r="N68" s="169">
        <v>13268837.970000001</v>
      </c>
      <c r="O68" s="193">
        <f t="shared" ref="O68:Q68" si="153">(C68-C67)</f>
        <v>388823.40000000037</v>
      </c>
      <c r="P68" s="193">
        <f t="shared" si="153"/>
        <v>98782.100000000093</v>
      </c>
      <c r="Q68" s="193">
        <f t="shared" si="153"/>
        <v>86287.950000000419</v>
      </c>
      <c r="R68" s="193">
        <f t="shared" ref="R68:T68" si="154">F68-F67</f>
        <v>11279.14000000013</v>
      </c>
      <c r="S68" s="193">
        <f t="shared" si="154"/>
        <v>140832.63000000006</v>
      </c>
      <c r="T68" s="193">
        <f t="shared" si="154"/>
        <v>91565.900000000023</v>
      </c>
      <c r="U68" s="193"/>
      <c r="V68" s="193"/>
      <c r="W68" s="193">
        <f t="shared" ref="W68:X68" si="155">(K68-K67)</f>
        <v>160.15000000000146</v>
      </c>
      <c r="X68" s="193">
        <f t="shared" si="155"/>
        <v>307.36000000000058</v>
      </c>
      <c r="Y68" s="193"/>
      <c r="Z68" s="193">
        <f t="shared" si="5"/>
        <v>817571.12000000291</v>
      </c>
    </row>
    <row r="69" spans="1:38" ht="13">
      <c r="B69" s="194">
        <v>45311</v>
      </c>
      <c r="C69" s="1">
        <v>8724482.3499999996</v>
      </c>
      <c r="D69" s="1">
        <v>1185822.28</v>
      </c>
      <c r="E69" s="169">
        <v>2207885.0999999996</v>
      </c>
      <c r="F69" s="1">
        <v>899100.19000000006</v>
      </c>
      <c r="G69" s="1">
        <v>675576.2300000001</v>
      </c>
      <c r="H69" s="1">
        <v>511018.57000000007</v>
      </c>
      <c r="K69" s="3">
        <v>21571.8</v>
      </c>
      <c r="L69" s="3">
        <v>30992.54</v>
      </c>
      <c r="M69" s="12"/>
      <c r="N69" s="169">
        <v>14203884.719999999</v>
      </c>
      <c r="O69" s="193">
        <f t="shared" ref="O69:Q69" si="156">(C69-C68)</f>
        <v>374716.59999999963</v>
      </c>
      <c r="P69" s="193">
        <f t="shared" si="156"/>
        <v>95342</v>
      </c>
      <c r="Q69" s="193">
        <f t="shared" si="156"/>
        <v>129585.04999999935</v>
      </c>
      <c r="R69" s="193">
        <f t="shared" ref="R69:T69" si="157">F69-F68</f>
        <v>89890.800000000047</v>
      </c>
      <c r="S69" s="193">
        <f t="shared" si="157"/>
        <v>133994.40000000002</v>
      </c>
      <c r="T69" s="193">
        <f t="shared" si="157"/>
        <v>111517.90000000002</v>
      </c>
      <c r="U69" s="193"/>
      <c r="V69" s="193"/>
      <c r="W69" s="193">
        <f t="shared" ref="W69:X69" si="158">(K69-K68)</f>
        <v>-50.600000000002183</v>
      </c>
      <c r="X69" s="193">
        <f t="shared" si="158"/>
        <v>-7.930000000000291</v>
      </c>
      <c r="Y69" s="193"/>
      <c r="Z69" s="193">
        <f t="shared" si="5"/>
        <v>935046.74999999814</v>
      </c>
    </row>
    <row r="70" spans="1:38" ht="14">
      <c r="B70" s="194">
        <v>45314</v>
      </c>
      <c r="C70" s="1">
        <v>7758076.3499999996</v>
      </c>
      <c r="D70" s="1">
        <v>877282.78</v>
      </c>
      <c r="E70" s="169">
        <v>1730001.65</v>
      </c>
      <c r="F70" s="1">
        <v>702709.83999999985</v>
      </c>
      <c r="G70" s="1">
        <v>430609.28000000009</v>
      </c>
      <c r="H70" s="1">
        <v>278633.32</v>
      </c>
      <c r="K70" s="3">
        <v>21238.799999999999</v>
      </c>
      <c r="L70" s="3">
        <v>30370.48</v>
      </c>
      <c r="M70" s="12"/>
      <c r="N70" s="169">
        <v>11777313.219999999</v>
      </c>
      <c r="O70" s="192">
        <f t="shared" ref="O70:Q70" si="159">(C70-C69)</f>
        <v>-966406</v>
      </c>
      <c r="P70" s="192">
        <f t="shared" si="159"/>
        <v>-308539.5</v>
      </c>
      <c r="Q70" s="192">
        <f t="shared" si="159"/>
        <v>-477883.44999999972</v>
      </c>
      <c r="R70" s="192">
        <f t="shared" ref="R70:T70" si="160">F70-F69</f>
        <v>-196390.35000000021</v>
      </c>
      <c r="S70" s="192">
        <f t="shared" si="160"/>
        <v>-244966.95</v>
      </c>
      <c r="T70" s="192">
        <f t="shared" si="160"/>
        <v>-232385.25000000006</v>
      </c>
      <c r="U70" s="192"/>
      <c r="V70" s="192"/>
      <c r="W70" s="192">
        <f t="shared" ref="W70:X70" si="161">(K70-K69)</f>
        <v>-333</v>
      </c>
      <c r="X70" s="192">
        <f t="shared" si="161"/>
        <v>-622.06000000000131</v>
      </c>
      <c r="Y70" s="192"/>
      <c r="Z70" s="192">
        <f t="shared" si="5"/>
        <v>-2426571.5</v>
      </c>
    </row>
    <row r="71" spans="1:38" ht="13">
      <c r="B71" s="194">
        <v>45315</v>
      </c>
      <c r="C71" s="1">
        <v>8120861.8999999994</v>
      </c>
      <c r="D71" s="1">
        <v>998256.28</v>
      </c>
      <c r="E71" s="169">
        <v>1870859.55</v>
      </c>
      <c r="F71" s="1">
        <v>761697.39</v>
      </c>
      <c r="G71" s="1">
        <v>542167.28</v>
      </c>
      <c r="H71" s="1">
        <v>405897.22000000003</v>
      </c>
      <c r="K71" s="3">
        <v>21401.95</v>
      </c>
      <c r="L71" s="3">
        <v>30675.32</v>
      </c>
      <c r="M71" s="12"/>
      <c r="N71" s="169">
        <v>12699739.620000001</v>
      </c>
      <c r="O71" s="193">
        <f t="shared" ref="O71:Q71" si="162">(C71-C70)</f>
        <v>362785.54999999981</v>
      </c>
      <c r="P71" s="193">
        <f t="shared" si="162"/>
        <v>120973.5</v>
      </c>
      <c r="Q71" s="193">
        <f t="shared" si="162"/>
        <v>140857.90000000014</v>
      </c>
      <c r="R71" s="193">
        <f t="shared" ref="R71:T71" si="163">F71-F70</f>
        <v>58987.550000000163</v>
      </c>
      <c r="S71" s="193">
        <f t="shared" si="163"/>
        <v>111557.99999999994</v>
      </c>
      <c r="T71" s="193">
        <f t="shared" si="163"/>
        <v>127263.90000000002</v>
      </c>
      <c r="U71" s="193"/>
      <c r="V71" s="193"/>
      <c r="W71" s="193">
        <f t="shared" ref="W71:X71" si="164">(K71-K70)</f>
        <v>163.15000000000146</v>
      </c>
      <c r="X71" s="193">
        <f t="shared" si="164"/>
        <v>304.84000000000015</v>
      </c>
      <c r="Y71" s="193"/>
      <c r="Z71" s="193">
        <f t="shared" si="5"/>
        <v>922426.40000000224</v>
      </c>
    </row>
    <row r="72" spans="1:38" ht="13">
      <c r="B72" s="194">
        <v>45316</v>
      </c>
      <c r="C72" s="1">
        <v>8366255.3999999994</v>
      </c>
      <c r="D72" s="1">
        <v>1079931.0799999998</v>
      </c>
      <c r="E72" s="169">
        <v>2001991.4999999998</v>
      </c>
      <c r="F72" s="1">
        <v>836168.33999999985</v>
      </c>
      <c r="G72" s="1">
        <v>647182.23</v>
      </c>
      <c r="H72" s="1">
        <v>481860.72</v>
      </c>
      <c r="K72" s="3">
        <v>21352.6</v>
      </c>
      <c r="L72" s="3">
        <v>30669.27</v>
      </c>
      <c r="M72" s="12"/>
      <c r="N72" s="169">
        <v>13413389.27</v>
      </c>
      <c r="O72" s="193">
        <f t="shared" ref="O72:Q72" si="165">(C72-C71)</f>
        <v>245393.5</v>
      </c>
      <c r="P72" s="193">
        <f t="shared" si="165"/>
        <v>81674.799999999814</v>
      </c>
      <c r="Q72" s="193">
        <f t="shared" si="165"/>
        <v>131131.94999999972</v>
      </c>
      <c r="R72" s="193">
        <f t="shared" ref="R72:T72" si="166">F72-F71</f>
        <v>74470.949999999837</v>
      </c>
      <c r="S72" s="193">
        <f t="shared" si="166"/>
        <v>105014.94999999995</v>
      </c>
      <c r="T72" s="193">
        <f t="shared" si="166"/>
        <v>75963.499999999942</v>
      </c>
      <c r="U72" s="193"/>
      <c r="V72" s="193"/>
      <c r="W72" s="193">
        <f t="shared" ref="W72:X72" si="167">(K72-K71)</f>
        <v>-49.350000000002183</v>
      </c>
      <c r="X72" s="193">
        <f t="shared" si="167"/>
        <v>-6.0499999999992724</v>
      </c>
      <c r="Y72" s="193"/>
      <c r="Z72" s="193">
        <f t="shared" si="5"/>
        <v>713649.64999999851</v>
      </c>
    </row>
    <row r="73" spans="1:38" ht="13">
      <c r="B73" s="194">
        <v>45320</v>
      </c>
      <c r="C73" s="1">
        <v>8605355.3499999996</v>
      </c>
      <c r="D73" s="1">
        <v>1121902.6299999999</v>
      </c>
      <c r="E73" s="169">
        <v>2170541</v>
      </c>
      <c r="F73" s="1">
        <v>889374.19</v>
      </c>
      <c r="G73" s="1">
        <v>697271.7699999999</v>
      </c>
      <c r="H73" s="1">
        <v>509574.42000000004</v>
      </c>
      <c r="K73" s="3">
        <v>21737.599999999999</v>
      </c>
      <c r="L73" s="3">
        <v>31175.72</v>
      </c>
      <c r="M73" s="12"/>
      <c r="N73" s="169">
        <v>13994019.359999999</v>
      </c>
      <c r="O73" s="193">
        <f t="shared" ref="O73:Q73" si="168">(C73-C72)</f>
        <v>239099.95000000019</v>
      </c>
      <c r="P73" s="193">
        <f t="shared" si="168"/>
        <v>41971.550000000047</v>
      </c>
      <c r="Q73" s="193">
        <f t="shared" si="168"/>
        <v>168549.50000000023</v>
      </c>
      <c r="R73" s="193">
        <f t="shared" ref="R73:T73" si="169">F73-F72</f>
        <v>53205.850000000093</v>
      </c>
      <c r="S73" s="193">
        <f t="shared" si="169"/>
        <v>50089.539999999921</v>
      </c>
      <c r="T73" s="193">
        <f t="shared" si="169"/>
        <v>27713.70000000007</v>
      </c>
      <c r="U73" s="193"/>
      <c r="V73" s="193"/>
      <c r="W73" s="193">
        <f t="shared" ref="W73:X73" si="170">(K73-K72)</f>
        <v>385</v>
      </c>
      <c r="X73" s="193">
        <f t="shared" si="170"/>
        <v>506.45000000000073</v>
      </c>
      <c r="Y73" s="193"/>
      <c r="Z73" s="193">
        <f t="shared" si="5"/>
        <v>580630.08999999985</v>
      </c>
    </row>
    <row r="74" spans="1:38" ht="13">
      <c r="B74" s="194">
        <v>45321</v>
      </c>
      <c r="C74" s="1">
        <v>8707356.0999999996</v>
      </c>
      <c r="D74" s="1">
        <v>1148885.7799999998</v>
      </c>
      <c r="E74" s="169">
        <v>2313876.85</v>
      </c>
      <c r="F74" s="1">
        <v>928360.6399999999</v>
      </c>
      <c r="G74" s="1">
        <v>726557.66999999993</v>
      </c>
      <c r="H74" s="1">
        <v>523686.17000000004</v>
      </c>
      <c r="K74" s="3">
        <v>21522.1</v>
      </c>
      <c r="L74" s="3">
        <v>30948.54</v>
      </c>
      <c r="M74" s="12"/>
      <c r="N74" s="169">
        <v>14348723.209999999</v>
      </c>
      <c r="O74" s="193">
        <f t="shared" ref="O74:Q74" si="171">(C74-C73)</f>
        <v>102000.75</v>
      </c>
      <c r="P74" s="193">
        <f t="shared" si="171"/>
        <v>26983.149999999907</v>
      </c>
      <c r="Q74" s="193">
        <f t="shared" si="171"/>
        <v>143335.85000000009</v>
      </c>
      <c r="R74" s="193">
        <f t="shared" ref="R74:T74" si="172">F74-F73</f>
        <v>38986.449999999953</v>
      </c>
      <c r="S74" s="193">
        <f t="shared" si="172"/>
        <v>29285.900000000023</v>
      </c>
      <c r="T74" s="193">
        <f t="shared" si="172"/>
        <v>14111.75</v>
      </c>
      <c r="U74" s="193"/>
      <c r="V74" s="193"/>
      <c r="W74" s="193">
        <f t="shared" ref="W74:X74" si="173">(K74-K73)</f>
        <v>-215.5</v>
      </c>
      <c r="X74" s="193">
        <f t="shared" si="173"/>
        <v>-227.18000000000029</v>
      </c>
      <c r="Y74" s="193"/>
      <c r="Z74" s="193">
        <f t="shared" si="5"/>
        <v>354703.84999999963</v>
      </c>
    </row>
    <row r="75" spans="1:38" ht="13">
      <c r="B75" s="194">
        <v>45322</v>
      </c>
      <c r="C75" s="1">
        <v>8976112.1999999993</v>
      </c>
      <c r="D75" s="1">
        <v>1216810.3299999998</v>
      </c>
      <c r="E75" s="169">
        <v>2438233.2000000002</v>
      </c>
      <c r="F75" s="1">
        <v>983486.78999999992</v>
      </c>
      <c r="G75" s="1">
        <v>795417.0199999999</v>
      </c>
      <c r="H75" s="1">
        <v>587334.67000000004</v>
      </c>
      <c r="K75" s="3">
        <v>21725.7</v>
      </c>
      <c r="L75" s="3">
        <v>31303.35</v>
      </c>
      <c r="M75" s="12"/>
      <c r="N75" s="169">
        <v>14997394.209999999</v>
      </c>
      <c r="O75" s="193">
        <f t="shared" ref="O75:Q75" si="174">(C75-C74)</f>
        <v>268756.09999999963</v>
      </c>
      <c r="P75" s="193">
        <f t="shared" si="174"/>
        <v>67924.550000000047</v>
      </c>
      <c r="Q75" s="193">
        <f t="shared" si="174"/>
        <v>124356.35000000009</v>
      </c>
      <c r="R75" s="193">
        <f t="shared" ref="R75:T75" si="175">F75-F74</f>
        <v>55126.150000000023</v>
      </c>
      <c r="S75" s="193">
        <f t="shared" si="175"/>
        <v>68859.349999999977</v>
      </c>
      <c r="T75" s="193">
        <f t="shared" si="175"/>
        <v>63648.5</v>
      </c>
      <c r="U75" s="193"/>
      <c r="V75" s="193"/>
      <c r="W75" s="193">
        <f t="shared" ref="W75:X75" si="176">(K75-K74)</f>
        <v>203.60000000000218</v>
      </c>
      <c r="X75" s="193">
        <f t="shared" si="176"/>
        <v>354.80999999999767</v>
      </c>
      <c r="Y75" s="193"/>
      <c r="Z75" s="193">
        <f t="shared" si="5"/>
        <v>648671</v>
      </c>
    </row>
    <row r="76" spans="1:38" ht="13">
      <c r="A76" s="3" t="s">
        <v>686</v>
      </c>
      <c r="B76" s="194">
        <v>45323</v>
      </c>
      <c r="C76" s="1">
        <v>9062497.5500000007</v>
      </c>
      <c r="D76" s="1">
        <v>1251427.2799999998</v>
      </c>
      <c r="E76" s="169">
        <v>2499243.65</v>
      </c>
      <c r="F76" s="1">
        <v>1013687.09</v>
      </c>
      <c r="G76" s="1">
        <v>859387.66999999993</v>
      </c>
      <c r="H76" s="1">
        <v>645432.17000000004</v>
      </c>
      <c r="I76" s="1">
        <v>-5132.4999999999955</v>
      </c>
      <c r="K76" s="3">
        <v>21739.25</v>
      </c>
      <c r="L76" s="3">
        <v>31342.27</v>
      </c>
      <c r="M76" s="12"/>
      <c r="N76" s="169">
        <v>15331675.41</v>
      </c>
      <c r="O76" s="193">
        <f t="shared" ref="O76:Q76" si="177">(C76-C75)</f>
        <v>86385.35000000149</v>
      </c>
      <c r="P76" s="193">
        <f t="shared" si="177"/>
        <v>34616.949999999953</v>
      </c>
      <c r="Q76" s="193">
        <f t="shared" si="177"/>
        <v>61010.449999999721</v>
      </c>
      <c r="R76" s="193">
        <f t="shared" ref="R76:U76" si="178">F76-F75</f>
        <v>30200.300000000047</v>
      </c>
      <c r="S76" s="193">
        <f t="shared" si="178"/>
        <v>63970.650000000023</v>
      </c>
      <c r="T76" s="193">
        <f t="shared" si="178"/>
        <v>58097.5</v>
      </c>
      <c r="U76" s="193">
        <f t="shared" si="178"/>
        <v>-5132.4999999999955</v>
      </c>
      <c r="V76" s="193"/>
      <c r="W76" s="193">
        <f t="shared" ref="W76:X76" si="179">(K76-K75)</f>
        <v>13.549999999999272</v>
      </c>
      <c r="X76" s="193">
        <f t="shared" si="179"/>
        <v>38.920000000001892</v>
      </c>
      <c r="Y76" s="193"/>
      <c r="Z76" s="193">
        <f t="shared" si="5"/>
        <v>334281.20000000112</v>
      </c>
    </row>
    <row r="77" spans="1:38" ht="13">
      <c r="B77" s="194">
        <v>45324</v>
      </c>
      <c r="C77" s="1">
        <v>9242731.8499999996</v>
      </c>
      <c r="D77" s="1">
        <v>1196425.2799999998</v>
      </c>
      <c r="E77" s="169">
        <v>2556161.5999999996</v>
      </c>
      <c r="F77" s="1">
        <v>1048684.74</v>
      </c>
      <c r="G77" s="1">
        <v>949221.31999999983</v>
      </c>
      <c r="H77" s="1">
        <v>728828.91999999981</v>
      </c>
      <c r="I77" s="1">
        <v>4945.0000000000118</v>
      </c>
      <c r="K77" s="3">
        <v>21853.8</v>
      </c>
      <c r="L77" s="3">
        <v>31471.57</v>
      </c>
      <c r="M77" s="12"/>
      <c r="N77" s="169">
        <v>15726998.709999999</v>
      </c>
      <c r="O77" s="193">
        <f t="shared" ref="O77:Q77" si="180">(C77-C76)</f>
        <v>180234.29999999888</v>
      </c>
      <c r="P77" s="193">
        <f t="shared" si="180"/>
        <v>-55002</v>
      </c>
      <c r="Q77" s="193">
        <f t="shared" si="180"/>
        <v>56917.949999999721</v>
      </c>
      <c r="R77" s="193">
        <f t="shared" ref="R77:U77" si="181">F77-F76</f>
        <v>34997.650000000023</v>
      </c>
      <c r="S77" s="193">
        <f t="shared" si="181"/>
        <v>89833.649999999907</v>
      </c>
      <c r="T77" s="193">
        <f t="shared" si="181"/>
        <v>83396.749999999767</v>
      </c>
      <c r="U77" s="193">
        <f t="shared" si="181"/>
        <v>10077.500000000007</v>
      </c>
      <c r="V77" s="193"/>
      <c r="W77" s="193">
        <f t="shared" ref="W77:X77" si="182">(K77-K76)</f>
        <v>114.54999999999927</v>
      </c>
      <c r="X77" s="193">
        <f t="shared" si="182"/>
        <v>129.29999999999927</v>
      </c>
      <c r="Y77" s="193"/>
      <c r="Z77" s="193">
        <f t="shared" si="5"/>
        <v>395323.29999999888</v>
      </c>
    </row>
    <row r="78" spans="1:38" ht="13">
      <c r="B78" s="194">
        <v>45328</v>
      </c>
      <c r="C78" s="1">
        <v>9162552.8499999996</v>
      </c>
      <c r="D78" s="1">
        <v>1180471.8799999999</v>
      </c>
      <c r="E78" s="169">
        <v>2504286.15</v>
      </c>
      <c r="F78" s="1">
        <v>1030673.5399999997</v>
      </c>
      <c r="G78" s="1">
        <v>921573.71999999986</v>
      </c>
      <c r="H78" s="1">
        <v>694390.92</v>
      </c>
      <c r="I78" s="1">
        <v>34430.499999999978</v>
      </c>
      <c r="K78" s="3">
        <v>21893.25</v>
      </c>
      <c r="L78" s="3">
        <v>31573.22</v>
      </c>
      <c r="M78" s="12"/>
      <c r="N78" s="169">
        <v>15528379.560000001</v>
      </c>
      <c r="O78" s="193">
        <f t="shared" ref="O78:Q78" si="183">(C78-C77)</f>
        <v>-80179</v>
      </c>
      <c r="P78" s="193">
        <f t="shared" si="183"/>
        <v>-15953.399999999907</v>
      </c>
      <c r="Q78" s="193">
        <f t="shared" si="183"/>
        <v>-51875.449999999721</v>
      </c>
      <c r="R78" s="193">
        <f t="shared" ref="R78:U78" si="184">F78-F77</f>
        <v>-18011.200000000303</v>
      </c>
      <c r="S78" s="193">
        <f t="shared" si="184"/>
        <v>-27647.599999999977</v>
      </c>
      <c r="T78" s="193">
        <f t="shared" si="184"/>
        <v>-34437.999999999767</v>
      </c>
      <c r="U78" s="193">
        <f t="shared" si="184"/>
        <v>29485.499999999967</v>
      </c>
      <c r="V78" s="193"/>
      <c r="W78" s="193">
        <f t="shared" ref="W78:X78" si="185">(K78-K77)</f>
        <v>39.450000000000728</v>
      </c>
      <c r="X78" s="193">
        <f t="shared" si="185"/>
        <v>101.65000000000146</v>
      </c>
      <c r="Y78" s="193"/>
      <c r="Z78" s="193">
        <f t="shared" si="5"/>
        <v>-198619.14999999851</v>
      </c>
    </row>
    <row r="79" spans="1:38" ht="13">
      <c r="A79" s="195"/>
      <c r="B79" s="196">
        <v>45329</v>
      </c>
      <c r="C79" s="197">
        <v>9493102.1999999993</v>
      </c>
      <c r="D79" s="197">
        <v>1259836.5799999998</v>
      </c>
      <c r="E79" s="198">
        <v>2674782.0500000003</v>
      </c>
      <c r="F79" s="197">
        <v>1079056.1400000001</v>
      </c>
      <c r="G79" s="197">
        <v>960509.7699999999</v>
      </c>
      <c r="H79" s="197">
        <v>744538.41999999993</v>
      </c>
      <c r="I79" s="197">
        <v>25199.500000000029</v>
      </c>
      <c r="J79" s="195"/>
      <c r="K79" s="195">
        <v>21930.5</v>
      </c>
      <c r="L79" s="195">
        <v>31776.400000000001</v>
      </c>
      <c r="M79" s="199"/>
      <c r="N79" s="198">
        <v>16237024.66</v>
      </c>
      <c r="O79" s="200">
        <f t="shared" ref="O79:Q79" si="186">(C79-C78)</f>
        <v>330549.34999999963</v>
      </c>
      <c r="P79" s="200">
        <f t="shared" si="186"/>
        <v>79364.699999999953</v>
      </c>
      <c r="Q79" s="200">
        <f t="shared" si="186"/>
        <v>170495.90000000037</v>
      </c>
      <c r="R79" s="200">
        <f t="shared" ref="R79:U79" si="187">F79-F78</f>
        <v>48382.600000000442</v>
      </c>
      <c r="S79" s="200">
        <f t="shared" si="187"/>
        <v>38936.050000000047</v>
      </c>
      <c r="T79" s="200">
        <f t="shared" si="187"/>
        <v>50147.499999999884</v>
      </c>
      <c r="U79" s="200">
        <f t="shared" si="187"/>
        <v>-9230.9999999999491</v>
      </c>
      <c r="V79" s="200"/>
      <c r="W79" s="200">
        <f t="shared" ref="W79:X79" si="188">(K79-K78)</f>
        <v>37.25</v>
      </c>
      <c r="X79" s="200">
        <f t="shared" si="188"/>
        <v>203.18000000000029</v>
      </c>
      <c r="Y79" s="200"/>
      <c r="Z79" s="200">
        <f t="shared" si="5"/>
        <v>708645.09999999963</v>
      </c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</row>
    <row r="80" spans="1:38" ht="13">
      <c r="B80" s="194">
        <v>45330</v>
      </c>
      <c r="C80" s="1">
        <v>9413317.3499999996</v>
      </c>
      <c r="D80" s="1">
        <v>1268602.7799999998</v>
      </c>
      <c r="E80" s="169">
        <v>2638590.5500000003</v>
      </c>
      <c r="F80" s="1">
        <v>1029040.59</v>
      </c>
      <c r="G80" s="1">
        <v>909804.7699999999</v>
      </c>
      <c r="H80" s="1">
        <v>705286.86999999988</v>
      </c>
      <c r="I80" s="1">
        <v>34542.999999999985</v>
      </c>
      <c r="J80" s="1">
        <v>-29591.999999999989</v>
      </c>
      <c r="K80" s="3">
        <v>21717.95</v>
      </c>
      <c r="L80" s="3">
        <v>31590.02</v>
      </c>
      <c r="M80" s="12"/>
      <c r="N80" s="169">
        <v>15969593.909999998</v>
      </c>
      <c r="O80" s="193">
        <f t="shared" ref="O80:Q80" si="189">(C80-C79)</f>
        <v>-79784.849999999627</v>
      </c>
      <c r="P80" s="193">
        <f t="shared" si="189"/>
        <v>8766.1999999999534</v>
      </c>
      <c r="Q80" s="193">
        <f t="shared" si="189"/>
        <v>-36191.5</v>
      </c>
      <c r="R80" s="193">
        <f t="shared" ref="R80:V80" si="190">F80-F79</f>
        <v>-50015.550000000163</v>
      </c>
      <c r="S80" s="193">
        <f t="shared" si="190"/>
        <v>-50705</v>
      </c>
      <c r="T80" s="193">
        <f t="shared" si="190"/>
        <v>-39251.550000000047</v>
      </c>
      <c r="U80" s="193">
        <f t="shared" si="190"/>
        <v>9343.4999999999563</v>
      </c>
      <c r="V80" s="193">
        <f t="shared" si="190"/>
        <v>-29591.999999999989</v>
      </c>
      <c r="W80" s="193">
        <f t="shared" ref="W80:X80" si="191">(K80-K79)</f>
        <v>-212.54999999999927</v>
      </c>
      <c r="X80" s="193">
        <f t="shared" si="191"/>
        <v>-186.38000000000102</v>
      </c>
      <c r="Y80" s="193"/>
      <c r="Z80" s="193">
        <f t="shared" si="5"/>
        <v>-267430.75000000186</v>
      </c>
    </row>
    <row r="81" spans="2:26" ht="14">
      <c r="B81" s="3" t="s">
        <v>687</v>
      </c>
      <c r="C81" s="1">
        <v>8699023.5</v>
      </c>
      <c r="D81" s="1">
        <v>1025504.33</v>
      </c>
      <c r="E81" s="169">
        <v>2229877.8000000003</v>
      </c>
      <c r="F81" s="1">
        <v>883416.88999999978</v>
      </c>
      <c r="G81" s="1">
        <v>730360.21999999986</v>
      </c>
      <c r="H81" s="1">
        <v>544980.37</v>
      </c>
      <c r="I81" s="1">
        <v>-51705</v>
      </c>
      <c r="J81" s="1">
        <v>-55268.499999999985</v>
      </c>
      <c r="K81" s="3">
        <v>21729.45</v>
      </c>
      <c r="L81" s="3">
        <v>31400.62</v>
      </c>
      <c r="M81" s="12"/>
      <c r="N81" s="169">
        <v>14006189.610000001</v>
      </c>
      <c r="O81" s="192">
        <f t="shared" ref="O81:Q81" si="192">(C81-C80)</f>
        <v>-714293.84999999963</v>
      </c>
      <c r="P81" s="192">
        <f t="shared" si="192"/>
        <v>-243098.44999999984</v>
      </c>
      <c r="Q81" s="192">
        <f t="shared" si="192"/>
        <v>-408712.75</v>
      </c>
      <c r="R81" s="192">
        <f t="shared" ref="R81:V81" si="193">F81-F80</f>
        <v>-145623.70000000019</v>
      </c>
      <c r="S81" s="192">
        <f t="shared" si="193"/>
        <v>-179444.55000000005</v>
      </c>
      <c r="T81" s="192">
        <f t="shared" si="193"/>
        <v>-160306.49999999988</v>
      </c>
      <c r="U81" s="192">
        <f t="shared" si="193"/>
        <v>-86247.999999999985</v>
      </c>
      <c r="V81" s="192">
        <f t="shared" si="193"/>
        <v>-25676.499999999996</v>
      </c>
      <c r="W81" s="192">
        <f t="shared" ref="W81:X81" si="194">(K81-K80)</f>
        <v>11.5</v>
      </c>
      <c r="X81" s="192">
        <f t="shared" si="194"/>
        <v>-189.40000000000146</v>
      </c>
      <c r="Y81" s="192"/>
      <c r="Z81" s="192">
        <f t="shared" si="5"/>
        <v>-1963404.299999997</v>
      </c>
    </row>
    <row r="82" spans="2:26" ht="14">
      <c r="B82" s="194">
        <v>45334</v>
      </c>
      <c r="C82" s="1">
        <v>7774508.5999999996</v>
      </c>
      <c r="D82" s="1">
        <v>743866.78</v>
      </c>
      <c r="E82" s="169">
        <v>1774185.0500000003</v>
      </c>
      <c r="F82" s="1">
        <v>624937.93999999994</v>
      </c>
      <c r="G82" s="1">
        <v>507780.02</v>
      </c>
      <c r="H82" s="1">
        <v>324081.77000000008</v>
      </c>
      <c r="I82" s="1">
        <v>-205870.49999999994</v>
      </c>
      <c r="J82" s="1">
        <v>-86717.5</v>
      </c>
      <c r="K82" s="3">
        <v>21616.05</v>
      </c>
      <c r="L82" s="3">
        <v>31097.18</v>
      </c>
      <c r="M82" s="12"/>
      <c r="N82" s="169">
        <v>11456772.159999998</v>
      </c>
      <c r="O82" s="192">
        <f t="shared" ref="O82:Q82" si="195">(C82-C81)</f>
        <v>-924514.90000000037</v>
      </c>
      <c r="P82" s="192">
        <f t="shared" si="195"/>
        <v>-281637.54999999993</v>
      </c>
      <c r="Q82" s="192">
        <f t="shared" si="195"/>
        <v>-455692.75</v>
      </c>
      <c r="R82" s="192">
        <f t="shared" ref="R82:V82" si="196">F82-F81</f>
        <v>-258478.94999999984</v>
      </c>
      <c r="S82" s="192">
        <f t="shared" si="196"/>
        <v>-222580.19999999984</v>
      </c>
      <c r="T82" s="192">
        <f t="shared" si="196"/>
        <v>-220898.59999999992</v>
      </c>
      <c r="U82" s="192">
        <f t="shared" si="196"/>
        <v>-154165.49999999994</v>
      </c>
      <c r="V82" s="192">
        <f t="shared" si="196"/>
        <v>-31449.000000000015</v>
      </c>
      <c r="W82" s="192">
        <f t="shared" ref="W82:X82" si="197">(K82-K81)</f>
        <v>-113.40000000000146</v>
      </c>
      <c r="X82" s="192">
        <f t="shared" si="197"/>
        <v>-303.43999999999869</v>
      </c>
      <c r="Y82" s="192"/>
      <c r="Z82" s="192">
        <f t="shared" si="5"/>
        <v>-2549417.450000003</v>
      </c>
    </row>
    <row r="83" spans="2:26" ht="14">
      <c r="B83" s="194">
        <v>45335</v>
      </c>
      <c r="C83" s="1">
        <v>8094980.3499999996</v>
      </c>
      <c r="D83" s="1">
        <v>765531.92999999993</v>
      </c>
      <c r="E83" s="169">
        <v>1814195.2999999998</v>
      </c>
      <c r="F83" s="1">
        <v>662775.83000000007</v>
      </c>
      <c r="G83" s="1">
        <v>500379.5199999999</v>
      </c>
      <c r="H83" s="1">
        <v>414509.65000000008</v>
      </c>
      <c r="I83" s="1">
        <v>-190101.49999999997</v>
      </c>
      <c r="J83" s="1">
        <v>-94029.999999999985</v>
      </c>
      <c r="K83" s="3">
        <v>21743.25</v>
      </c>
      <c r="L83" s="3">
        <v>31273.51</v>
      </c>
      <c r="M83" s="12"/>
      <c r="N83" s="169">
        <v>11968241.079999998</v>
      </c>
      <c r="O83" s="201">
        <f t="shared" ref="O83:Q83" si="198">(C83-C82)</f>
        <v>320471.75</v>
      </c>
      <c r="P83" s="201">
        <f t="shared" si="198"/>
        <v>21665.149999999907</v>
      </c>
      <c r="Q83" s="201">
        <f t="shared" si="198"/>
        <v>40010.249999999534</v>
      </c>
      <c r="R83" s="201">
        <f t="shared" ref="R83:V83" si="199">F83-F82</f>
        <v>37837.89000000013</v>
      </c>
      <c r="S83" s="201">
        <f t="shared" si="199"/>
        <v>-7400.5000000001164</v>
      </c>
      <c r="T83" s="201">
        <f t="shared" si="199"/>
        <v>90427.88</v>
      </c>
      <c r="U83" s="201">
        <f t="shared" si="199"/>
        <v>15768.999999999971</v>
      </c>
      <c r="V83" s="201">
        <f t="shared" si="199"/>
        <v>-7312.4999999999854</v>
      </c>
      <c r="W83" s="201">
        <f t="shared" ref="W83:X83" si="200">(K83-K82)</f>
        <v>127.20000000000073</v>
      </c>
      <c r="X83" s="201">
        <f t="shared" si="200"/>
        <v>176.32999999999811</v>
      </c>
      <c r="Y83" s="201"/>
      <c r="Z83" s="201">
        <f t="shared" si="5"/>
        <v>511468.91999999993</v>
      </c>
    </row>
    <row r="84" spans="2:26" ht="14">
      <c r="B84" s="194">
        <v>45337</v>
      </c>
      <c r="C84" s="1">
        <v>8858287.5999999996</v>
      </c>
      <c r="D84" s="1">
        <v>977846.92999999993</v>
      </c>
      <c r="E84" s="169">
        <v>2163219.7999999998</v>
      </c>
      <c r="F84" s="1">
        <v>892032.07999999984</v>
      </c>
      <c r="G84" s="1">
        <v>728224.76999999979</v>
      </c>
      <c r="H84" s="1">
        <v>595258.14999999991</v>
      </c>
      <c r="I84" s="1">
        <v>-144471</v>
      </c>
      <c r="J84" s="1">
        <v>-70962.999999999971</v>
      </c>
      <c r="K84" s="3">
        <v>21888.45</v>
      </c>
      <c r="L84" s="3">
        <v>31654.57</v>
      </c>
      <c r="M84" s="12"/>
      <c r="N84" s="169">
        <v>13999435.329999998</v>
      </c>
      <c r="O84" s="192">
        <f t="shared" ref="O84:Q84" si="201">(C84-C83)</f>
        <v>763307.25</v>
      </c>
      <c r="P84" s="192">
        <f t="shared" si="201"/>
        <v>212315</v>
      </c>
      <c r="Q84" s="192">
        <f t="shared" si="201"/>
        <v>349024.5</v>
      </c>
      <c r="R84" s="192">
        <f t="shared" ref="R84:V84" si="202">F84-F83</f>
        <v>229256.24999999977</v>
      </c>
      <c r="S84" s="192">
        <f t="shared" si="202"/>
        <v>227845.24999999988</v>
      </c>
      <c r="T84" s="192">
        <f t="shared" si="202"/>
        <v>180748.49999999983</v>
      </c>
      <c r="U84" s="192">
        <f t="shared" si="202"/>
        <v>45630.499999999971</v>
      </c>
      <c r="V84" s="192">
        <f t="shared" si="202"/>
        <v>23067.000000000015</v>
      </c>
      <c r="W84" s="192">
        <f t="shared" ref="W84:X84" si="203">(K84-K83)</f>
        <v>145.20000000000073</v>
      </c>
      <c r="X84" s="192">
        <f t="shared" si="203"/>
        <v>381.06000000000131</v>
      </c>
      <c r="Y84" s="192"/>
      <c r="Z84" s="192">
        <f t="shared" si="5"/>
        <v>2031194.25</v>
      </c>
    </row>
    <row r="85" spans="2:26" ht="14">
      <c r="B85" s="194">
        <v>45338</v>
      </c>
      <c r="C85" s="1">
        <v>9002301.0500000007</v>
      </c>
      <c r="D85" s="1">
        <v>1083275.68</v>
      </c>
      <c r="E85" s="169">
        <v>2297217.0499999998</v>
      </c>
      <c r="F85" s="1">
        <v>903695.53</v>
      </c>
      <c r="G85" s="1">
        <v>776989.83</v>
      </c>
      <c r="H85" s="1">
        <v>610692.54999999981</v>
      </c>
      <c r="I85" s="1">
        <v>-77779.500000000015</v>
      </c>
      <c r="J85" s="1">
        <v>-71292.200000000026</v>
      </c>
      <c r="K85" s="3">
        <v>22040.7</v>
      </c>
      <c r="L85" s="3">
        <v>31880.95</v>
      </c>
      <c r="M85" s="12">
        <v>45659.3</v>
      </c>
      <c r="N85" s="169">
        <v>14525099.990000002</v>
      </c>
      <c r="O85" s="201">
        <f t="shared" ref="O85:Q85" si="204">(C85-C84)</f>
        <v>144013.45000000112</v>
      </c>
      <c r="P85" s="201">
        <f t="shared" si="204"/>
        <v>105428.75</v>
      </c>
      <c r="Q85" s="201">
        <f t="shared" si="204"/>
        <v>133997.25</v>
      </c>
      <c r="R85" s="201">
        <f t="shared" ref="R85:V85" si="205">F85-F84</f>
        <v>11663.450000000186</v>
      </c>
      <c r="S85" s="201">
        <f t="shared" si="205"/>
        <v>48765.060000000172</v>
      </c>
      <c r="T85" s="201">
        <f t="shared" si="205"/>
        <v>15434.399999999907</v>
      </c>
      <c r="U85" s="201">
        <f t="shared" si="205"/>
        <v>66691.499999999985</v>
      </c>
      <c r="V85" s="201">
        <f t="shared" si="205"/>
        <v>-329.2000000000553</v>
      </c>
      <c r="W85" s="201">
        <f t="shared" ref="W85:X85" si="206">(K85-K84)</f>
        <v>152.25</v>
      </c>
      <c r="X85" s="201">
        <f t="shared" si="206"/>
        <v>226.38000000000102</v>
      </c>
      <c r="Y85" s="201"/>
      <c r="Z85" s="201">
        <f t="shared" si="5"/>
        <v>525664.66000000387</v>
      </c>
    </row>
    <row r="86" spans="2:26" ht="14">
      <c r="B86" s="194">
        <v>45341</v>
      </c>
      <c r="C86" s="1">
        <v>9171917.8000000007</v>
      </c>
      <c r="D86" s="1">
        <v>1151559.78</v>
      </c>
      <c r="E86" s="169">
        <v>2535149.2999999998</v>
      </c>
      <c r="F86" s="1">
        <v>888927.73</v>
      </c>
      <c r="G86" s="1">
        <v>771360.45</v>
      </c>
      <c r="H86" s="1">
        <v>638667.75</v>
      </c>
      <c r="I86" s="1">
        <v>7263.7500000000182</v>
      </c>
      <c r="J86" s="1">
        <v>-17708.70000000003</v>
      </c>
      <c r="K86" s="3">
        <v>22176.65</v>
      </c>
      <c r="L86" s="3">
        <v>32084.54</v>
      </c>
      <c r="M86" s="12">
        <v>46092.95</v>
      </c>
      <c r="N86" s="169">
        <v>15147137.859999999</v>
      </c>
      <c r="O86" s="201">
        <f t="shared" ref="O86:Q86" si="207">(C86-C85)</f>
        <v>169616.75</v>
      </c>
      <c r="P86" s="201">
        <f t="shared" si="207"/>
        <v>68284.100000000093</v>
      </c>
      <c r="Q86" s="201">
        <f t="shared" si="207"/>
        <v>237932.25</v>
      </c>
      <c r="R86" s="201">
        <f t="shared" ref="R86:V86" si="208">F86-F85</f>
        <v>-14767.800000000047</v>
      </c>
      <c r="S86" s="201">
        <f t="shared" si="208"/>
        <v>-5629.3800000000047</v>
      </c>
      <c r="T86" s="201">
        <f t="shared" si="208"/>
        <v>27975.200000000186</v>
      </c>
      <c r="U86" s="201">
        <f t="shared" si="208"/>
        <v>85043.250000000029</v>
      </c>
      <c r="V86" s="201">
        <f t="shared" si="208"/>
        <v>53583.5</v>
      </c>
      <c r="W86" s="201">
        <f t="shared" ref="W86:Z86" si="209">(K86-K85)</f>
        <v>135.95000000000073</v>
      </c>
      <c r="X86" s="201">
        <f t="shared" si="209"/>
        <v>203.59000000000015</v>
      </c>
      <c r="Y86" s="201">
        <f t="shared" si="209"/>
        <v>433.64999999999418</v>
      </c>
      <c r="Z86" s="201">
        <f t="shared" si="209"/>
        <v>622037.86999999732</v>
      </c>
    </row>
    <row r="87" spans="2:26" ht="14">
      <c r="B87" s="194">
        <v>45342</v>
      </c>
      <c r="C87" s="1">
        <v>9282806.4499999993</v>
      </c>
      <c r="D87" s="1">
        <v>1166789.53</v>
      </c>
      <c r="E87" s="169">
        <v>2476507.7999999998</v>
      </c>
      <c r="F87" s="1">
        <v>859670.03</v>
      </c>
      <c r="G87" s="1">
        <v>774365.95</v>
      </c>
      <c r="H87" s="1">
        <v>626958.24999999988</v>
      </c>
      <c r="I87" s="1">
        <v>-3494.7499999999854</v>
      </c>
      <c r="J87" s="1">
        <v>-31546.199999999993</v>
      </c>
      <c r="K87" s="3">
        <v>22212.2</v>
      </c>
      <c r="L87" s="3">
        <v>32095.15</v>
      </c>
      <c r="M87" s="12">
        <v>45944.2</v>
      </c>
      <c r="N87" s="169">
        <v>15152057.059999997</v>
      </c>
      <c r="O87" s="201">
        <f t="shared" ref="O87:Q87" si="210">(C87-C86)</f>
        <v>110888.64999999851</v>
      </c>
      <c r="P87" s="201">
        <f t="shared" si="210"/>
        <v>15229.75</v>
      </c>
      <c r="Q87" s="201">
        <f t="shared" si="210"/>
        <v>-58641.5</v>
      </c>
      <c r="R87" s="201">
        <f t="shared" ref="R87:V87" si="211">F87-F86</f>
        <v>-29257.699999999953</v>
      </c>
      <c r="S87" s="201">
        <f t="shared" si="211"/>
        <v>3005.5</v>
      </c>
      <c r="T87" s="201">
        <f t="shared" si="211"/>
        <v>-11709.500000000116</v>
      </c>
      <c r="U87" s="201">
        <f t="shared" si="211"/>
        <v>-10758.500000000004</v>
      </c>
      <c r="V87" s="201">
        <f t="shared" si="211"/>
        <v>-13837.499999999964</v>
      </c>
      <c r="W87" s="201">
        <f t="shared" ref="W87:Z87" si="212">(K87-K86)</f>
        <v>35.549999999999272</v>
      </c>
      <c r="X87" s="201">
        <f t="shared" si="212"/>
        <v>10.610000000000582</v>
      </c>
      <c r="Y87" s="201">
        <f t="shared" si="212"/>
        <v>-148.75</v>
      </c>
      <c r="Z87" s="201">
        <f t="shared" si="212"/>
        <v>4919.1999999973923</v>
      </c>
    </row>
    <row r="88" spans="2:26" ht="14">
      <c r="B88" s="194">
        <v>45343</v>
      </c>
      <c r="C88" s="1">
        <v>8966059.0999999996</v>
      </c>
      <c r="D88" s="1">
        <v>1120051.78</v>
      </c>
      <c r="E88" s="169">
        <v>2393113.0499999998</v>
      </c>
      <c r="F88" s="1">
        <v>821413.13</v>
      </c>
      <c r="G88" s="1">
        <v>756419.2</v>
      </c>
      <c r="H88" s="1">
        <v>599282.74999999988</v>
      </c>
      <c r="I88" s="1">
        <v>-4207.0000000000109</v>
      </c>
      <c r="J88" s="1">
        <v>-22668.700000000019</v>
      </c>
      <c r="K88" s="3">
        <v>22243.1</v>
      </c>
      <c r="L88" s="3">
        <v>32091.14</v>
      </c>
      <c r="M88" s="12">
        <v>45790.71</v>
      </c>
      <c r="N88" s="169">
        <v>14629463.310000001</v>
      </c>
      <c r="O88" s="201">
        <f t="shared" ref="O88:Q88" si="213">(C88-C87)</f>
        <v>-316747.34999999963</v>
      </c>
      <c r="P88" s="201">
        <f t="shared" si="213"/>
        <v>-46737.75</v>
      </c>
      <c r="Q88" s="201">
        <f t="shared" si="213"/>
        <v>-83394.75</v>
      </c>
      <c r="R88" s="201">
        <f t="shared" ref="R88:V88" si="214">F88-F87</f>
        <v>-38256.900000000023</v>
      </c>
      <c r="S88" s="201">
        <f t="shared" si="214"/>
        <v>-17946.75</v>
      </c>
      <c r="T88" s="201">
        <f t="shared" si="214"/>
        <v>-27675.5</v>
      </c>
      <c r="U88" s="201">
        <f t="shared" si="214"/>
        <v>-712.25000000002547</v>
      </c>
      <c r="V88" s="201">
        <f t="shared" si="214"/>
        <v>8877.4999999999745</v>
      </c>
      <c r="W88" s="201">
        <f t="shared" ref="W88:Z88" si="215">(K88-K87)</f>
        <v>30.899999999997817</v>
      </c>
      <c r="X88" s="201">
        <f t="shared" si="215"/>
        <v>-4.0100000000020373</v>
      </c>
      <c r="Y88" s="201">
        <f t="shared" si="215"/>
        <v>-153.48999999999796</v>
      </c>
      <c r="Z88" s="201">
        <f t="shared" si="215"/>
        <v>-522593.74999999627</v>
      </c>
    </row>
    <row r="89" spans="2:26" ht="14">
      <c r="B89" s="194">
        <v>45344</v>
      </c>
      <c r="C89" s="1">
        <v>9030091.25</v>
      </c>
      <c r="D89" s="1">
        <v>1125789.28</v>
      </c>
      <c r="E89" s="169">
        <v>2424265.5499999998</v>
      </c>
      <c r="F89" s="1">
        <v>835113.12999999989</v>
      </c>
      <c r="G89" s="1">
        <v>766440.7</v>
      </c>
      <c r="H89" s="1">
        <v>605201.5</v>
      </c>
      <c r="I89" s="1">
        <v>-1916.0000000000437</v>
      </c>
      <c r="J89" s="1">
        <v>-19956.200000000004</v>
      </c>
      <c r="K89" s="3">
        <v>22217.45</v>
      </c>
      <c r="L89" s="3">
        <v>32072.1</v>
      </c>
      <c r="M89" s="12">
        <v>45789.81</v>
      </c>
      <c r="N89" s="169">
        <v>14765029.209999997</v>
      </c>
      <c r="O89" s="201">
        <f t="shared" ref="O89:Q89" si="216">(C89-C88)</f>
        <v>64032.150000000373</v>
      </c>
      <c r="P89" s="201">
        <f t="shared" si="216"/>
        <v>5737.5</v>
      </c>
      <c r="Q89" s="201">
        <f t="shared" si="216"/>
        <v>31152.5</v>
      </c>
      <c r="R89" s="201">
        <f t="shared" ref="R89:V89" si="217">F89-F88</f>
        <v>13699.999999999884</v>
      </c>
      <c r="S89" s="201">
        <f t="shared" si="217"/>
        <v>10021.5</v>
      </c>
      <c r="T89" s="201">
        <f t="shared" si="217"/>
        <v>5918.7500000001164</v>
      </c>
      <c r="U89" s="201">
        <f t="shared" si="217"/>
        <v>2290.9999999999673</v>
      </c>
      <c r="V89" s="201">
        <f t="shared" si="217"/>
        <v>2712.5000000000146</v>
      </c>
      <c r="W89" s="201">
        <f t="shared" ref="W89:Z89" si="218">(K89-K88)</f>
        <v>-25.649999999997817</v>
      </c>
      <c r="X89" s="201">
        <f t="shared" si="218"/>
        <v>-19.040000000000873</v>
      </c>
      <c r="Y89" s="201">
        <f t="shared" si="218"/>
        <v>-0.90000000000145519</v>
      </c>
      <c r="Z89" s="201">
        <f t="shared" si="218"/>
        <v>135565.89999999665</v>
      </c>
    </row>
    <row r="90" spans="2:26" ht="14">
      <c r="B90" s="194">
        <v>45345</v>
      </c>
      <c r="C90" s="1">
        <v>9273652.5</v>
      </c>
      <c r="D90" s="1">
        <v>1133320.28</v>
      </c>
      <c r="E90" s="169">
        <v>2509535.5499999998</v>
      </c>
      <c r="F90" s="1">
        <v>873735.41999999981</v>
      </c>
      <c r="G90" s="1">
        <v>743185.61</v>
      </c>
      <c r="H90" s="1">
        <v>621543.14999999991</v>
      </c>
      <c r="I90" s="1">
        <v>34905.999999999985</v>
      </c>
      <c r="J90" s="1">
        <v>10762.749999999982</v>
      </c>
      <c r="K90" s="3">
        <v>22212.7</v>
      </c>
      <c r="L90" s="3">
        <v>32115.37</v>
      </c>
      <c r="M90" s="12">
        <v>46033.47</v>
      </c>
      <c r="N90" s="169">
        <v>15200641.259999998</v>
      </c>
      <c r="O90" s="201">
        <f t="shared" ref="O90:Q90" si="219">(C90-C89)</f>
        <v>243561.25</v>
      </c>
      <c r="P90" s="201">
        <f t="shared" si="219"/>
        <v>7531</v>
      </c>
      <c r="Q90" s="201">
        <f t="shared" si="219"/>
        <v>85270</v>
      </c>
      <c r="R90" s="201">
        <f t="shared" ref="R90:V90" si="220">F90-F89</f>
        <v>38622.289999999921</v>
      </c>
      <c r="S90" s="201">
        <f t="shared" si="220"/>
        <v>-23255.089999999967</v>
      </c>
      <c r="T90" s="201">
        <f t="shared" si="220"/>
        <v>16341.649999999907</v>
      </c>
      <c r="U90" s="201">
        <f t="shared" si="220"/>
        <v>36822.000000000029</v>
      </c>
      <c r="V90" s="201">
        <f t="shared" si="220"/>
        <v>30718.949999999986</v>
      </c>
      <c r="W90" s="201">
        <f t="shared" ref="W90:Z90" si="221">(K90-K89)</f>
        <v>-4.75</v>
      </c>
      <c r="X90" s="201">
        <f t="shared" si="221"/>
        <v>43.270000000000437</v>
      </c>
      <c r="Y90" s="201">
        <f t="shared" si="221"/>
        <v>243.66000000000349</v>
      </c>
      <c r="Z90" s="201">
        <f t="shared" si="221"/>
        <v>435612.05000000075</v>
      </c>
    </row>
    <row r="91" spans="2:26" ht="14">
      <c r="B91" s="194">
        <v>45348</v>
      </c>
      <c r="C91" s="1">
        <v>9280706.1499999985</v>
      </c>
      <c r="D91" s="1">
        <v>1110350.03</v>
      </c>
      <c r="E91" s="169">
        <v>2500413.3000000003</v>
      </c>
      <c r="F91" s="1">
        <v>868829.02</v>
      </c>
      <c r="G91" s="1">
        <v>799967.61</v>
      </c>
      <c r="H91" s="1">
        <v>673367.65</v>
      </c>
      <c r="I91" s="1">
        <v>39644.75</v>
      </c>
      <c r="J91" s="1">
        <v>49055.500000000015</v>
      </c>
      <c r="K91" s="3">
        <v>22122.05</v>
      </c>
      <c r="L91" s="3">
        <v>32025.05</v>
      </c>
      <c r="M91" s="12">
        <v>46005.04</v>
      </c>
      <c r="N91" s="169">
        <v>15322334.009999998</v>
      </c>
      <c r="O91" s="201">
        <f t="shared" ref="O91:Q91" si="222">(C91-C90)</f>
        <v>7053.6499999985099</v>
      </c>
      <c r="P91" s="201">
        <f t="shared" si="222"/>
        <v>-22970.25</v>
      </c>
      <c r="Q91" s="201">
        <f t="shared" si="222"/>
        <v>-9122.2499999995343</v>
      </c>
      <c r="R91" s="201">
        <f t="shared" ref="R91:V91" si="223">F91-F90</f>
        <v>-4906.3999999997905</v>
      </c>
      <c r="S91" s="201">
        <f t="shared" si="223"/>
        <v>56782</v>
      </c>
      <c r="T91" s="201">
        <f t="shared" si="223"/>
        <v>51824.500000000116</v>
      </c>
      <c r="U91" s="201">
        <f t="shared" si="223"/>
        <v>4738.7500000000146</v>
      </c>
      <c r="V91" s="201">
        <f t="shared" si="223"/>
        <v>38292.750000000029</v>
      </c>
      <c r="W91" s="201">
        <f t="shared" ref="W91:Z91" si="224">(K91-K90)</f>
        <v>-90.650000000001455</v>
      </c>
      <c r="X91" s="201">
        <f t="shared" si="224"/>
        <v>-90.319999999999709</v>
      </c>
      <c r="Y91" s="201">
        <f t="shared" si="224"/>
        <v>-28.430000000000291</v>
      </c>
      <c r="Z91" s="201">
        <f t="shared" si="224"/>
        <v>121692.75</v>
      </c>
    </row>
    <row r="92" spans="2:26" ht="14">
      <c r="B92" s="194">
        <v>45349</v>
      </c>
      <c r="C92" s="1">
        <v>9130932</v>
      </c>
      <c r="D92" s="1">
        <v>1080165.53</v>
      </c>
      <c r="E92" s="169">
        <v>2433198.7999999998</v>
      </c>
      <c r="F92" s="1">
        <v>851241.08</v>
      </c>
      <c r="G92" s="1">
        <v>744078.21</v>
      </c>
      <c r="H92" s="1">
        <v>615880.9</v>
      </c>
      <c r="I92" s="1">
        <v>13696.999999999989</v>
      </c>
      <c r="J92" s="1">
        <v>37757.75</v>
      </c>
      <c r="K92" s="3">
        <v>22198.35</v>
      </c>
      <c r="L92" s="3">
        <v>32079.15</v>
      </c>
      <c r="M92" s="12">
        <v>45888.55</v>
      </c>
      <c r="N92" s="169">
        <v>14906951.269999998</v>
      </c>
      <c r="O92" s="201">
        <f t="shared" ref="O92:Q92" si="225">(C92-C91)</f>
        <v>-149774.14999999851</v>
      </c>
      <c r="P92" s="201">
        <f t="shared" si="225"/>
        <v>-30184.5</v>
      </c>
      <c r="Q92" s="201">
        <f t="shared" si="225"/>
        <v>-67214.500000000466</v>
      </c>
      <c r="R92" s="201">
        <f t="shared" ref="R92:V92" si="226">F92-F91</f>
        <v>-17587.940000000061</v>
      </c>
      <c r="S92" s="201">
        <f t="shared" si="226"/>
        <v>-55889.400000000023</v>
      </c>
      <c r="T92" s="201">
        <f t="shared" si="226"/>
        <v>-57486.75</v>
      </c>
      <c r="U92" s="201">
        <f t="shared" si="226"/>
        <v>-25947.750000000011</v>
      </c>
      <c r="V92" s="201">
        <f t="shared" si="226"/>
        <v>-11297.750000000015</v>
      </c>
      <c r="W92" s="201">
        <f t="shared" ref="W92:Z92" si="227">(K92-K91)</f>
        <v>76.299999999999272</v>
      </c>
      <c r="X92" s="201">
        <f t="shared" si="227"/>
        <v>54.100000000002183</v>
      </c>
      <c r="Y92" s="201">
        <f t="shared" si="227"/>
        <v>-116.48999999999796</v>
      </c>
      <c r="Z92" s="201">
        <f t="shared" si="227"/>
        <v>-415382.74000000022</v>
      </c>
    </row>
    <row r="93" spans="2:26" ht="14">
      <c r="B93" s="194">
        <v>45350</v>
      </c>
      <c r="C93" s="1">
        <v>8403337.5999999996</v>
      </c>
      <c r="D93" s="1">
        <v>1018136.5299999999</v>
      </c>
      <c r="E93" s="169">
        <v>2088321.8</v>
      </c>
      <c r="F93" s="1">
        <v>676258.08</v>
      </c>
      <c r="G93" s="1">
        <v>547779.70999999985</v>
      </c>
      <c r="H93" s="1">
        <v>444912.14999999997</v>
      </c>
      <c r="I93" s="1">
        <v>-86397.000000000015</v>
      </c>
      <c r="J93" s="1">
        <v>-31998.25</v>
      </c>
      <c r="K93" s="3">
        <v>21951.15</v>
      </c>
      <c r="L93" s="3">
        <v>31639.8</v>
      </c>
      <c r="M93" s="12">
        <v>44998.14</v>
      </c>
      <c r="N93" s="169">
        <v>13060350.619999999</v>
      </c>
      <c r="O93" s="192">
        <f t="shared" ref="O93:Q93" si="228">(C93-C92)</f>
        <v>-727594.40000000037</v>
      </c>
      <c r="P93" s="192">
        <f t="shared" si="228"/>
        <v>-62029.000000000116</v>
      </c>
      <c r="Q93" s="192">
        <f t="shared" si="228"/>
        <v>-344876.99999999977</v>
      </c>
      <c r="R93" s="192">
        <f t="shared" ref="R93:V93" si="229">F93-F92</f>
        <v>-174983</v>
      </c>
      <c r="S93" s="192">
        <f t="shared" si="229"/>
        <v>-196298.50000000012</v>
      </c>
      <c r="T93" s="192">
        <f t="shared" si="229"/>
        <v>-170968.75000000006</v>
      </c>
      <c r="U93" s="192">
        <f t="shared" si="229"/>
        <v>-100094</v>
      </c>
      <c r="V93" s="192">
        <f t="shared" si="229"/>
        <v>-69756</v>
      </c>
      <c r="W93" s="192">
        <f t="shared" ref="W93:Z93" si="230">(K93-K92)</f>
        <v>-247.19999999999709</v>
      </c>
      <c r="X93" s="192">
        <f t="shared" si="230"/>
        <v>-439.35000000000218</v>
      </c>
      <c r="Y93" s="192">
        <f t="shared" si="230"/>
        <v>-890.41000000000349</v>
      </c>
      <c r="Z93" s="192">
        <f t="shared" si="230"/>
        <v>-1846600.6499999985</v>
      </c>
    </row>
    <row r="94" spans="2:26" ht="14">
      <c r="B94" s="194">
        <v>45351</v>
      </c>
      <c r="C94" s="1">
        <v>8501468.5499999989</v>
      </c>
      <c r="D94" s="1">
        <v>1039389.5299999999</v>
      </c>
      <c r="E94" s="169">
        <v>2150977.5499999998</v>
      </c>
      <c r="F94" s="1">
        <v>699210.27999999991</v>
      </c>
      <c r="G94" s="1">
        <v>637192.10999999987</v>
      </c>
      <c r="H94" s="1">
        <v>510303.55000000005</v>
      </c>
      <c r="I94" s="1">
        <v>-66840.000000000044</v>
      </c>
      <c r="J94" s="1">
        <v>-5863.2500000000164</v>
      </c>
      <c r="K94" s="3">
        <v>21982.799999999999</v>
      </c>
      <c r="L94" s="3">
        <v>31777.02</v>
      </c>
      <c r="M94" s="12">
        <v>45225.1</v>
      </c>
      <c r="N94" s="169">
        <v>13465838.319999998</v>
      </c>
      <c r="O94" s="201">
        <f t="shared" ref="O94:Q94" si="231">(C94-C93)</f>
        <v>98130.949999999255</v>
      </c>
      <c r="P94" s="201">
        <f t="shared" si="231"/>
        <v>21253</v>
      </c>
      <c r="Q94" s="201">
        <f t="shared" si="231"/>
        <v>62655.749999999767</v>
      </c>
      <c r="R94" s="201">
        <f t="shared" ref="R94:V94" si="232">F94-F93</f>
        <v>22952.199999999953</v>
      </c>
      <c r="S94" s="201">
        <f t="shared" si="232"/>
        <v>89412.400000000023</v>
      </c>
      <c r="T94" s="201">
        <f t="shared" si="232"/>
        <v>65391.400000000081</v>
      </c>
      <c r="U94" s="201">
        <f t="shared" si="232"/>
        <v>19556.999999999971</v>
      </c>
      <c r="V94" s="201">
        <f t="shared" si="232"/>
        <v>26134.999999999985</v>
      </c>
      <c r="W94" s="201">
        <f t="shared" ref="W94:Z94" si="233">(K94-K93)</f>
        <v>31.649999999997817</v>
      </c>
      <c r="X94" s="201">
        <f t="shared" si="233"/>
        <v>137.22000000000116</v>
      </c>
      <c r="Y94" s="201">
        <f t="shared" si="233"/>
        <v>226.95999999999913</v>
      </c>
      <c r="Z94" s="201">
        <f t="shared" si="233"/>
        <v>405487.69999999925</v>
      </c>
    </row>
    <row r="95" spans="2:26" ht="14">
      <c r="B95" s="194">
        <v>45352</v>
      </c>
      <c r="C95" s="1">
        <v>8793100.5</v>
      </c>
      <c r="D95" s="1">
        <v>1090098.0299999998</v>
      </c>
      <c r="E95" s="169">
        <v>2339586.7999999998</v>
      </c>
      <c r="F95" s="1">
        <v>801157.22999999986</v>
      </c>
      <c r="G95" s="1">
        <v>696729.20999999985</v>
      </c>
      <c r="H95" s="1">
        <v>571412.4</v>
      </c>
      <c r="I95" s="1">
        <v>-34727</v>
      </c>
      <c r="J95" s="1">
        <v>43322.999999999971</v>
      </c>
      <c r="K95" s="3">
        <v>22152.55</v>
      </c>
      <c r="L95" s="3">
        <v>32018.959999999999</v>
      </c>
      <c r="M95" s="12">
        <v>45575.03</v>
      </c>
      <c r="N95" s="169">
        <v>14300680.169999998</v>
      </c>
      <c r="O95" s="201">
        <f t="shared" ref="O95:Q95" si="234">(C95-C94)</f>
        <v>291631.95000000112</v>
      </c>
      <c r="P95" s="201">
        <f t="shared" si="234"/>
        <v>50708.499999999884</v>
      </c>
      <c r="Q95" s="201">
        <f t="shared" si="234"/>
        <v>188609.25</v>
      </c>
      <c r="R95" s="201">
        <f t="shared" ref="R95:V95" si="235">F95-F94</f>
        <v>101946.94999999995</v>
      </c>
      <c r="S95" s="201">
        <f t="shared" si="235"/>
        <v>59537.099999999977</v>
      </c>
      <c r="T95" s="201">
        <f t="shared" si="235"/>
        <v>61108.849999999977</v>
      </c>
      <c r="U95" s="201">
        <f t="shared" si="235"/>
        <v>32113.000000000044</v>
      </c>
      <c r="V95" s="201">
        <f t="shared" si="235"/>
        <v>49186.249999999985</v>
      </c>
      <c r="W95" s="201">
        <f t="shared" ref="W95:Z95" si="236">(K95-K94)</f>
        <v>169.75</v>
      </c>
      <c r="X95" s="201">
        <f t="shared" si="236"/>
        <v>241.93999999999869</v>
      </c>
      <c r="Y95" s="201">
        <f t="shared" si="236"/>
        <v>349.93000000000029</v>
      </c>
      <c r="Z95" s="201">
        <f t="shared" si="236"/>
        <v>834841.84999999963</v>
      </c>
    </row>
    <row r="96" spans="2:26" ht="14">
      <c r="B96" s="194">
        <v>45353</v>
      </c>
      <c r="C96" s="1">
        <v>8907143</v>
      </c>
      <c r="D96" s="1">
        <v>1113819.03</v>
      </c>
      <c r="E96" s="169">
        <v>2382394.5499999998</v>
      </c>
      <c r="F96" s="1">
        <v>793311.87999999989</v>
      </c>
      <c r="G96" s="1">
        <v>702798.96000000008</v>
      </c>
      <c r="H96" s="1">
        <v>600970.9</v>
      </c>
      <c r="I96" s="1">
        <v>-11843.999999999998</v>
      </c>
      <c r="J96" s="1">
        <v>52674.750000000044</v>
      </c>
      <c r="K96" s="3">
        <v>22378.400000000001</v>
      </c>
      <c r="L96" s="3">
        <v>32285.63</v>
      </c>
      <c r="M96" s="12">
        <v>45852.480000000003</v>
      </c>
      <c r="N96" s="169">
        <v>14541269.069999998</v>
      </c>
      <c r="O96" s="201">
        <f t="shared" ref="O96:Q96" si="237">(C96-C95)</f>
        <v>114042.5</v>
      </c>
      <c r="P96" s="201">
        <f t="shared" si="237"/>
        <v>23721.000000000233</v>
      </c>
      <c r="Q96" s="201">
        <f t="shared" si="237"/>
        <v>42807.75</v>
      </c>
      <c r="R96" s="201">
        <f t="shared" ref="R96:V96" si="238">F96-F95</f>
        <v>-7845.3499999999767</v>
      </c>
      <c r="S96" s="201">
        <f t="shared" si="238"/>
        <v>6069.7500000002328</v>
      </c>
      <c r="T96" s="201">
        <f t="shared" si="238"/>
        <v>29558.5</v>
      </c>
      <c r="U96" s="201">
        <f t="shared" si="238"/>
        <v>22883</v>
      </c>
      <c r="V96" s="201">
        <f t="shared" si="238"/>
        <v>9351.7500000000728</v>
      </c>
      <c r="W96" s="201">
        <f t="shared" ref="W96:Z96" si="239">(K96-K95)</f>
        <v>225.85000000000218</v>
      </c>
      <c r="X96" s="201">
        <f t="shared" si="239"/>
        <v>266.67000000000189</v>
      </c>
      <c r="Y96" s="201">
        <f t="shared" si="239"/>
        <v>277.45000000000437</v>
      </c>
      <c r="Z96" s="201">
        <f t="shared" si="239"/>
        <v>240588.90000000037</v>
      </c>
    </row>
    <row r="97" spans="2:26" ht="14">
      <c r="B97" s="194">
        <v>45355</v>
      </c>
      <c r="C97" s="1">
        <v>8667657.5999999996</v>
      </c>
      <c r="D97" s="1">
        <v>1079296.5299999998</v>
      </c>
      <c r="E97" s="169">
        <v>2229287.0500000003</v>
      </c>
      <c r="F97" s="1">
        <v>738176.92999999993</v>
      </c>
      <c r="G97" s="1">
        <v>648184.46</v>
      </c>
      <c r="H97" s="1">
        <v>557834.65</v>
      </c>
      <c r="I97" s="1">
        <v>-59797.000000000029</v>
      </c>
      <c r="J97" s="1">
        <v>16833.249999999985</v>
      </c>
      <c r="K97" s="3">
        <v>22410.400000000001</v>
      </c>
      <c r="L97" s="3">
        <v>32305.86</v>
      </c>
      <c r="M97" s="12">
        <v>45539.18</v>
      </c>
      <c r="N97" s="169">
        <v>13877473.470000001</v>
      </c>
      <c r="O97" s="201">
        <f t="shared" ref="O97:Q97" si="240">(C97-C96)</f>
        <v>-239485.40000000037</v>
      </c>
      <c r="P97" s="201">
        <f t="shared" si="240"/>
        <v>-34522.500000000233</v>
      </c>
      <c r="Q97" s="201">
        <f t="shared" si="240"/>
        <v>-153107.49999999953</v>
      </c>
      <c r="R97" s="201">
        <f t="shared" ref="R97:V97" si="241">F97-F96</f>
        <v>-55134.949999999953</v>
      </c>
      <c r="S97" s="201">
        <f t="shared" si="241"/>
        <v>-54614.500000000116</v>
      </c>
      <c r="T97" s="201">
        <f t="shared" si="241"/>
        <v>-43136.25</v>
      </c>
      <c r="U97" s="201">
        <f t="shared" si="241"/>
        <v>-47953.000000000029</v>
      </c>
      <c r="V97" s="201">
        <f t="shared" si="241"/>
        <v>-35841.500000000058</v>
      </c>
      <c r="W97" s="201">
        <f t="shared" ref="W97:Z97" si="242">(K97-K96)</f>
        <v>32</v>
      </c>
      <c r="X97" s="201">
        <f t="shared" si="242"/>
        <v>20.229999999999563</v>
      </c>
      <c r="Y97" s="201">
        <f t="shared" si="242"/>
        <v>-313.30000000000291</v>
      </c>
      <c r="Z97" s="201">
        <f t="shared" si="242"/>
        <v>-663795.59999999776</v>
      </c>
    </row>
    <row r="98" spans="2:26" ht="14">
      <c r="B98" s="194">
        <v>45356</v>
      </c>
      <c r="C98" s="1">
        <v>8432856.4499999993</v>
      </c>
      <c r="D98" s="1">
        <v>1061979.0299999998</v>
      </c>
      <c r="E98" s="169">
        <v>2164472.2999999998</v>
      </c>
      <c r="F98" s="1">
        <v>687435.98</v>
      </c>
      <c r="G98" s="1">
        <v>608923.30999999994</v>
      </c>
      <c r="H98" s="1">
        <v>517965.50000000012</v>
      </c>
      <c r="I98" s="1">
        <v>-92219.250000000015</v>
      </c>
      <c r="J98" s="1">
        <v>-14050.499999999993</v>
      </c>
      <c r="K98" s="3">
        <v>22349.35</v>
      </c>
      <c r="L98" s="3">
        <v>32259.93</v>
      </c>
      <c r="M98" s="12">
        <v>45202.720000000001</v>
      </c>
      <c r="N98" s="169">
        <v>13367362.819999998</v>
      </c>
      <c r="O98" s="201">
        <f t="shared" ref="O98:Q98" si="243">(C98-C97)</f>
        <v>-234801.15000000037</v>
      </c>
      <c r="P98" s="201">
        <f t="shared" si="243"/>
        <v>-17317.5</v>
      </c>
      <c r="Q98" s="201">
        <f t="shared" si="243"/>
        <v>-64814.750000000466</v>
      </c>
      <c r="R98" s="201">
        <f t="shared" ref="R98:V98" si="244">F98-F97</f>
        <v>-50740.949999999953</v>
      </c>
      <c r="S98" s="201">
        <f t="shared" si="244"/>
        <v>-39261.150000000023</v>
      </c>
      <c r="T98" s="201">
        <f t="shared" si="244"/>
        <v>-39869.149999999907</v>
      </c>
      <c r="U98" s="201">
        <f t="shared" si="244"/>
        <v>-32422.249999999985</v>
      </c>
      <c r="V98" s="201">
        <f t="shared" si="244"/>
        <v>-30883.749999999978</v>
      </c>
      <c r="W98" s="201">
        <f t="shared" ref="W98:Z98" si="245">(K98-K97)</f>
        <v>-61.05000000000291</v>
      </c>
      <c r="X98" s="201">
        <f t="shared" si="245"/>
        <v>-45.930000000000291</v>
      </c>
      <c r="Y98" s="201">
        <f t="shared" si="245"/>
        <v>-336.45999999999913</v>
      </c>
      <c r="Z98" s="201">
        <f t="shared" si="245"/>
        <v>-510110.65000000224</v>
      </c>
    </row>
    <row r="99" spans="2:26" ht="14">
      <c r="B99" s="194">
        <v>45357</v>
      </c>
      <c r="C99" s="1">
        <v>7914709.4499999993</v>
      </c>
      <c r="D99" s="1">
        <v>1014258.03</v>
      </c>
      <c r="E99" s="169">
        <v>1921268.7999999998</v>
      </c>
      <c r="F99" s="1">
        <v>554940.2300000001</v>
      </c>
      <c r="G99" s="1">
        <v>443767.45999999996</v>
      </c>
      <c r="H99" s="1">
        <v>350638.65</v>
      </c>
      <c r="I99" s="1">
        <v>-180326.44999999998</v>
      </c>
      <c r="J99" s="1">
        <v>-98644.500000000044</v>
      </c>
      <c r="K99" s="3">
        <v>22474.05</v>
      </c>
      <c r="L99" s="3">
        <v>32220.89</v>
      </c>
      <c r="M99" s="12">
        <v>44343.57</v>
      </c>
      <c r="N99" s="169">
        <v>11920611.67</v>
      </c>
      <c r="O99" s="192">
        <f t="shared" ref="O99:Q99" si="246">(C99-C98)</f>
        <v>-518147</v>
      </c>
      <c r="P99" s="192">
        <f t="shared" si="246"/>
        <v>-47720.999999999767</v>
      </c>
      <c r="Q99" s="192">
        <f t="shared" si="246"/>
        <v>-243203.5</v>
      </c>
      <c r="R99" s="192">
        <f t="shared" ref="R99:V99" si="247">F99-F98</f>
        <v>-132495.74999999988</v>
      </c>
      <c r="S99" s="192">
        <f t="shared" si="247"/>
        <v>-165155.84999999998</v>
      </c>
      <c r="T99" s="192">
        <f t="shared" si="247"/>
        <v>-167326.85000000009</v>
      </c>
      <c r="U99" s="192">
        <f t="shared" si="247"/>
        <v>-88107.199999999968</v>
      </c>
      <c r="V99" s="192">
        <f t="shared" si="247"/>
        <v>-84594.000000000058</v>
      </c>
      <c r="W99" s="192">
        <f t="shared" ref="W99:Z99" si="248">(K99-K98)</f>
        <v>124.70000000000073</v>
      </c>
      <c r="X99" s="192">
        <f t="shared" si="248"/>
        <v>-39.040000000000873</v>
      </c>
      <c r="Y99" s="192">
        <f t="shared" si="248"/>
        <v>-859.15000000000146</v>
      </c>
      <c r="Z99" s="192">
        <f t="shared" si="248"/>
        <v>-1446751.1499999985</v>
      </c>
    </row>
    <row r="100" spans="2:26" ht="14">
      <c r="B100" s="194">
        <v>45358</v>
      </c>
      <c r="C100" s="1">
        <v>8089919.5999999996</v>
      </c>
      <c r="D100" s="1">
        <v>1018839.03</v>
      </c>
      <c r="E100" s="169">
        <v>2063105.05</v>
      </c>
      <c r="F100" s="1">
        <v>607448.83000000007</v>
      </c>
      <c r="G100" s="1">
        <v>475996.7099999999</v>
      </c>
      <c r="H100" s="1">
        <v>388102.65</v>
      </c>
      <c r="I100" s="1">
        <v>-175332.08999999994</v>
      </c>
      <c r="J100" s="1">
        <v>-57286.000000000007</v>
      </c>
      <c r="K100" s="3">
        <v>22493.55</v>
      </c>
      <c r="L100" s="3">
        <v>32311.54</v>
      </c>
      <c r="M100" s="12">
        <v>44653.57</v>
      </c>
      <c r="N100" s="169">
        <v>12410793.779999999</v>
      </c>
      <c r="O100" s="201">
        <f t="shared" ref="O100:Q100" si="249">(C100-C99)</f>
        <v>175210.15000000037</v>
      </c>
      <c r="P100" s="201">
        <f t="shared" si="249"/>
        <v>4581</v>
      </c>
      <c r="Q100" s="201">
        <f t="shared" si="249"/>
        <v>141836.25000000023</v>
      </c>
      <c r="R100" s="201">
        <f t="shared" ref="R100:V100" si="250">F100-F99</f>
        <v>52508.599999999977</v>
      </c>
      <c r="S100" s="201">
        <f t="shared" si="250"/>
        <v>32229.249999999942</v>
      </c>
      <c r="T100" s="201">
        <f t="shared" si="250"/>
        <v>37464</v>
      </c>
      <c r="U100" s="201">
        <f t="shared" si="250"/>
        <v>4994.3600000000442</v>
      </c>
      <c r="V100" s="201">
        <f t="shared" si="250"/>
        <v>41358.500000000036</v>
      </c>
      <c r="W100" s="201">
        <f t="shared" ref="W100:Z100" si="251">(K100-K99)</f>
        <v>19.5</v>
      </c>
      <c r="X100" s="201">
        <f t="shared" si="251"/>
        <v>90.650000000001455</v>
      </c>
      <c r="Y100" s="201">
        <f t="shared" si="251"/>
        <v>310</v>
      </c>
      <c r="Z100" s="201">
        <f t="shared" si="251"/>
        <v>490182.1099999994</v>
      </c>
    </row>
    <row r="101" spans="2:26" ht="14">
      <c r="B101" s="194">
        <v>45362</v>
      </c>
      <c r="C101" s="1">
        <v>7418625.5499999998</v>
      </c>
      <c r="D101" s="1">
        <v>958024.52999999991</v>
      </c>
      <c r="E101" s="169">
        <v>1676014.6999999997</v>
      </c>
      <c r="F101" s="1">
        <v>376787.18000000011</v>
      </c>
      <c r="G101" s="1">
        <v>273279.96000000002</v>
      </c>
      <c r="H101" s="1">
        <v>196334.15000000008</v>
      </c>
      <c r="I101" s="1">
        <v>-263426.24999999994</v>
      </c>
      <c r="J101" s="1">
        <v>-130839.24999999997</v>
      </c>
      <c r="K101" s="3">
        <v>22332.65</v>
      </c>
      <c r="L101" s="3">
        <v>32079.33</v>
      </c>
      <c r="M101" s="12">
        <v>43754.51</v>
      </c>
      <c r="N101" s="169">
        <v>10504800.57</v>
      </c>
      <c r="O101" s="192">
        <f t="shared" ref="O101:Q101" si="252">(C101-C100)</f>
        <v>-671294.04999999981</v>
      </c>
      <c r="P101" s="192">
        <f t="shared" si="252"/>
        <v>-60814.500000000116</v>
      </c>
      <c r="Q101" s="192">
        <f t="shared" si="252"/>
        <v>-387090.35000000033</v>
      </c>
      <c r="R101" s="192">
        <f t="shared" ref="R101:V101" si="253">F101-F100</f>
        <v>-230661.64999999997</v>
      </c>
      <c r="S101" s="192">
        <f t="shared" si="253"/>
        <v>-202716.74999999988</v>
      </c>
      <c r="T101" s="192">
        <f t="shared" si="253"/>
        <v>-191768.49999999994</v>
      </c>
      <c r="U101" s="192">
        <f t="shared" si="253"/>
        <v>-88094.16</v>
      </c>
      <c r="V101" s="192">
        <f t="shared" si="253"/>
        <v>-73553.249999999971</v>
      </c>
      <c r="W101" s="192">
        <f t="shared" ref="W101:Z101" si="254">(K101-K100)</f>
        <v>-160.89999999999782</v>
      </c>
      <c r="X101" s="192">
        <f t="shared" si="254"/>
        <v>-232.20999999999913</v>
      </c>
      <c r="Y101" s="192">
        <f t="shared" si="254"/>
        <v>-899.05999999999767</v>
      </c>
      <c r="Z101" s="192">
        <f t="shared" si="254"/>
        <v>-1905993.209999999</v>
      </c>
    </row>
    <row r="102" spans="2:26" ht="14">
      <c r="B102" s="194">
        <v>45363</v>
      </c>
      <c r="C102" s="1">
        <v>6785260.6499999994</v>
      </c>
      <c r="D102" s="1">
        <v>902398.52999999991</v>
      </c>
      <c r="E102" s="169">
        <v>1276562.4500000002</v>
      </c>
      <c r="F102" s="1">
        <v>35127.280000000072</v>
      </c>
      <c r="G102" s="1">
        <v>80047.010000000038</v>
      </c>
      <c r="H102" s="1">
        <v>57331.19999999999</v>
      </c>
      <c r="I102" s="1">
        <v>-377081.69999999995</v>
      </c>
      <c r="J102" s="1">
        <v>-229525.5</v>
      </c>
      <c r="K102" s="3">
        <v>22335.7</v>
      </c>
      <c r="L102" s="3">
        <v>31899.19</v>
      </c>
      <c r="M102" s="12">
        <v>42831.29</v>
      </c>
      <c r="N102" s="169">
        <v>8530119.9199999981</v>
      </c>
      <c r="O102" s="192">
        <f t="shared" ref="O102:Q102" si="255">(C102-C101)</f>
        <v>-633364.90000000037</v>
      </c>
      <c r="P102" s="192">
        <f t="shared" si="255"/>
        <v>-55626</v>
      </c>
      <c r="Q102" s="192">
        <f t="shared" si="255"/>
        <v>-399452.24999999953</v>
      </c>
      <c r="R102" s="192">
        <f t="shared" ref="R102:V102" si="256">F102-F101</f>
        <v>-341659.9</v>
      </c>
      <c r="S102" s="192">
        <f t="shared" si="256"/>
        <v>-193232.94999999998</v>
      </c>
      <c r="T102" s="192">
        <f t="shared" si="256"/>
        <v>-139002.9500000001</v>
      </c>
      <c r="U102" s="192">
        <f t="shared" si="256"/>
        <v>-113655.45000000001</v>
      </c>
      <c r="V102" s="192">
        <f t="shared" si="256"/>
        <v>-98686.250000000029</v>
      </c>
      <c r="W102" s="192">
        <f t="shared" ref="W102:Z102" si="257">(K102-K101)</f>
        <v>3.0499999999992724</v>
      </c>
      <c r="X102" s="192">
        <f t="shared" si="257"/>
        <v>-180.14000000000306</v>
      </c>
      <c r="Y102" s="192">
        <f t="shared" si="257"/>
        <v>-923.22000000000116</v>
      </c>
      <c r="Z102" s="192">
        <f t="shared" si="257"/>
        <v>-1974680.6500000022</v>
      </c>
    </row>
    <row r="103" spans="2:26" ht="14">
      <c r="B103" s="194">
        <v>45364</v>
      </c>
      <c r="C103" s="1">
        <v>5398301.75</v>
      </c>
      <c r="D103" s="1">
        <v>781933.02999999991</v>
      </c>
      <c r="E103" s="1">
        <v>572536.85000000009</v>
      </c>
      <c r="F103" s="1">
        <v>-321599.17000000004</v>
      </c>
      <c r="G103" s="1">
        <v>-286888.49</v>
      </c>
      <c r="H103" s="1">
        <v>-286323.04999999993</v>
      </c>
      <c r="I103" s="1">
        <v>-587217.48</v>
      </c>
      <c r="J103" s="1">
        <v>-419649.99999999994</v>
      </c>
      <c r="K103" s="3">
        <v>21997.7</v>
      </c>
      <c r="L103" s="3">
        <v>31073.54</v>
      </c>
      <c r="M103" s="12">
        <v>40641.67</v>
      </c>
      <c r="N103" s="169">
        <v>4851093.4400000013</v>
      </c>
      <c r="O103" s="192">
        <f t="shared" ref="O103:Q103" si="258">(C103-C102)</f>
        <v>-1386958.8999999994</v>
      </c>
      <c r="P103" s="192">
        <f t="shared" si="258"/>
        <v>-120465.5</v>
      </c>
      <c r="Q103" s="192">
        <f t="shared" si="258"/>
        <v>-704025.60000000009</v>
      </c>
      <c r="R103" s="192">
        <f t="shared" ref="R103:V103" si="259">F103-F102</f>
        <v>-356726.45000000013</v>
      </c>
      <c r="S103" s="192">
        <f t="shared" si="259"/>
        <v>-366935.5</v>
      </c>
      <c r="T103" s="192">
        <f t="shared" si="259"/>
        <v>-343654.24999999994</v>
      </c>
      <c r="U103" s="192">
        <f t="shared" si="259"/>
        <v>-210135.78000000003</v>
      </c>
      <c r="V103" s="192">
        <f t="shared" si="259"/>
        <v>-190124.49999999994</v>
      </c>
      <c r="W103" s="192">
        <f t="shared" ref="W103:Z103" si="260">(K103-K102)</f>
        <v>-338</v>
      </c>
      <c r="X103" s="192">
        <f t="shared" si="260"/>
        <v>-825.64999999999782</v>
      </c>
      <c r="Y103" s="192">
        <f t="shared" si="260"/>
        <v>-2189.6200000000026</v>
      </c>
      <c r="Z103" s="192">
        <f t="shared" si="260"/>
        <v>-3679026.4799999967</v>
      </c>
    </row>
    <row r="104" spans="2:26" ht="14">
      <c r="B104" s="194">
        <v>45365</v>
      </c>
      <c r="C104" s="1">
        <v>6451984.75</v>
      </c>
      <c r="D104" s="1">
        <v>872773.02999999991</v>
      </c>
      <c r="E104" s="1">
        <v>1072178.8500000001</v>
      </c>
      <c r="F104" s="1">
        <v>-70012.56999999992</v>
      </c>
      <c r="G104" s="1">
        <v>-43834.589999999967</v>
      </c>
      <c r="H104" s="1">
        <v>-43742.149999999921</v>
      </c>
      <c r="I104" s="1">
        <v>-394359.27</v>
      </c>
      <c r="J104" s="1">
        <v>-285795.75</v>
      </c>
      <c r="K104" s="3">
        <v>22146.65</v>
      </c>
      <c r="L104" s="3">
        <v>31509.46</v>
      </c>
      <c r="M104" s="12">
        <v>41907.120000000003</v>
      </c>
      <c r="N104" s="169">
        <v>7559192.3000000007</v>
      </c>
      <c r="O104" s="192">
        <f t="shared" ref="O104:Q104" si="261">(C104-C103)</f>
        <v>1053683</v>
      </c>
      <c r="P104" s="192">
        <f t="shared" si="261"/>
        <v>90840</v>
      </c>
      <c r="Q104" s="192">
        <f t="shared" si="261"/>
        <v>499642</v>
      </c>
      <c r="R104" s="192">
        <f t="shared" ref="R104:V104" si="262">F104-F103</f>
        <v>251586.60000000012</v>
      </c>
      <c r="S104" s="192">
        <f t="shared" si="262"/>
        <v>243053.90000000002</v>
      </c>
      <c r="T104" s="192">
        <f t="shared" si="262"/>
        <v>242580.90000000002</v>
      </c>
      <c r="U104" s="192">
        <f t="shared" si="262"/>
        <v>192858.20999999996</v>
      </c>
      <c r="V104" s="192">
        <f t="shared" si="262"/>
        <v>133854.24999999994</v>
      </c>
      <c r="W104" s="192">
        <f t="shared" ref="W104:Z104" si="263">(K104-K103)</f>
        <v>148.95000000000073</v>
      </c>
      <c r="X104" s="192">
        <f t="shared" si="263"/>
        <v>435.91999999999825</v>
      </c>
      <c r="Y104" s="192">
        <f t="shared" si="263"/>
        <v>1265.4500000000044</v>
      </c>
      <c r="Z104" s="192">
        <f t="shared" si="263"/>
        <v>2708098.8599999994</v>
      </c>
    </row>
    <row r="105" spans="2:26" ht="14">
      <c r="B105" s="194">
        <v>45366</v>
      </c>
      <c r="C105" s="1">
        <v>6671191.1500000004</v>
      </c>
      <c r="D105" s="1">
        <v>871573.02999999991</v>
      </c>
      <c r="E105" s="1">
        <v>1209068.0999999999</v>
      </c>
      <c r="F105" s="1">
        <v>-26889.670000000016</v>
      </c>
      <c r="G105" s="1">
        <v>-2676.3899999999921</v>
      </c>
      <c r="H105" s="1">
        <v>23547.850000000049</v>
      </c>
      <c r="I105" s="1">
        <v>-386460.88</v>
      </c>
      <c r="J105" s="1">
        <v>-283799.75</v>
      </c>
      <c r="K105" s="3">
        <v>22023.35</v>
      </c>
      <c r="L105" s="3">
        <v>31360.67</v>
      </c>
      <c r="M105" s="12">
        <v>42012.75</v>
      </c>
      <c r="N105" s="169">
        <v>8075553.4400000004</v>
      </c>
      <c r="O105" s="201">
        <f t="shared" ref="O105:Q105" si="264">(C105-C104)</f>
        <v>219206.40000000037</v>
      </c>
      <c r="P105" s="201">
        <f t="shared" si="264"/>
        <v>-1200</v>
      </c>
      <c r="Q105" s="201">
        <f t="shared" si="264"/>
        <v>136889.24999999977</v>
      </c>
      <c r="R105" s="201">
        <f t="shared" ref="R105:V105" si="265">F105-F104</f>
        <v>43122.899999999907</v>
      </c>
      <c r="S105" s="201">
        <f t="shared" si="265"/>
        <v>41158.199999999975</v>
      </c>
      <c r="T105" s="201">
        <f t="shared" si="265"/>
        <v>67289.999999999971</v>
      </c>
      <c r="U105" s="201">
        <f t="shared" si="265"/>
        <v>7898.390000000014</v>
      </c>
      <c r="V105" s="201">
        <f t="shared" si="265"/>
        <v>1996</v>
      </c>
      <c r="W105" s="201">
        <f t="shared" ref="W105:Z105" si="266">(K105-K104)</f>
        <v>-123.30000000000291</v>
      </c>
      <c r="X105" s="201">
        <f t="shared" si="266"/>
        <v>-148.79000000000087</v>
      </c>
      <c r="Y105" s="201">
        <f t="shared" si="266"/>
        <v>105.62999999999738</v>
      </c>
      <c r="Z105" s="201">
        <f t="shared" si="266"/>
        <v>516361.13999999966</v>
      </c>
    </row>
    <row r="106" spans="2:26" ht="14">
      <c r="B106" s="194">
        <v>45369</v>
      </c>
      <c r="C106" s="1">
        <v>6590881.25</v>
      </c>
      <c r="D106" s="1">
        <v>887978.02999999991</v>
      </c>
      <c r="E106" s="1">
        <v>1188980.1000000001</v>
      </c>
      <c r="F106" s="1">
        <v>-34456.269999999953</v>
      </c>
      <c r="G106" s="1">
        <v>-15070.239999999949</v>
      </c>
      <c r="H106" s="1">
        <v>3081.5000000001064</v>
      </c>
      <c r="I106" s="1">
        <v>-386024.69</v>
      </c>
      <c r="J106" s="1">
        <v>-294035</v>
      </c>
      <c r="K106" s="3">
        <v>22055.7</v>
      </c>
      <c r="L106" s="3">
        <v>31387.34</v>
      </c>
      <c r="M106" s="12">
        <v>41982.16</v>
      </c>
      <c r="N106" s="169">
        <v>7941334.6800000006</v>
      </c>
      <c r="O106" s="201">
        <f t="shared" ref="O106:Q106" si="267">(C106-C105)</f>
        <v>-80309.900000000373</v>
      </c>
      <c r="P106" s="201">
        <f t="shared" si="267"/>
        <v>16405</v>
      </c>
      <c r="Q106" s="201">
        <f t="shared" si="267"/>
        <v>-20087.999999999767</v>
      </c>
      <c r="R106" s="201">
        <f t="shared" ref="R106:V106" si="268">F106-F105</f>
        <v>-7566.5999999999367</v>
      </c>
      <c r="S106" s="201">
        <f t="shared" si="268"/>
        <v>-12393.849999999957</v>
      </c>
      <c r="T106" s="201">
        <f t="shared" si="268"/>
        <v>-20466.349999999944</v>
      </c>
      <c r="U106" s="201">
        <f t="shared" si="268"/>
        <v>436.19000000000233</v>
      </c>
      <c r="V106" s="201">
        <f t="shared" si="268"/>
        <v>-10235.25</v>
      </c>
      <c r="W106" s="201">
        <f t="shared" ref="W106:Z106" si="269">(K106-K105)</f>
        <v>32.350000000002183</v>
      </c>
      <c r="X106" s="201">
        <f t="shared" si="269"/>
        <v>26.670000000001892</v>
      </c>
      <c r="Y106" s="201">
        <f t="shared" si="269"/>
        <v>-30.589999999996508</v>
      </c>
      <c r="Z106" s="201">
        <f t="shared" si="269"/>
        <v>-134218.75999999978</v>
      </c>
    </row>
    <row r="107" spans="2:26" ht="14">
      <c r="B107" s="194">
        <v>45370</v>
      </c>
      <c r="C107" s="1">
        <v>6358340</v>
      </c>
      <c r="D107" s="1">
        <v>870787.52999999991</v>
      </c>
      <c r="E107" s="1">
        <v>1038577.8500000001</v>
      </c>
      <c r="F107" s="1">
        <v>-64036.319999999963</v>
      </c>
      <c r="G107" s="1">
        <v>-70439.489999999976</v>
      </c>
      <c r="H107" s="1">
        <v>-33772.299999999937</v>
      </c>
      <c r="I107" s="1">
        <v>-404427.54000000004</v>
      </c>
      <c r="J107" s="1">
        <v>-337990.5</v>
      </c>
      <c r="K107" s="3">
        <v>21817.45</v>
      </c>
      <c r="L107" s="3">
        <v>31023.13</v>
      </c>
      <c r="M107" s="12">
        <v>41744.019999999997</v>
      </c>
      <c r="N107" s="169">
        <v>7357039.2300000004</v>
      </c>
      <c r="O107" s="201">
        <f t="shared" ref="O107:Q107" si="270">(C107-C106)</f>
        <v>-232541.25</v>
      </c>
      <c r="P107" s="201">
        <f t="shared" si="270"/>
        <v>-17190.5</v>
      </c>
      <c r="Q107" s="201">
        <f t="shared" si="270"/>
        <v>-150402.25</v>
      </c>
      <c r="R107" s="201">
        <f t="shared" ref="R107:V107" si="271">F107-F106</f>
        <v>-29580.05000000001</v>
      </c>
      <c r="S107" s="201">
        <f t="shared" si="271"/>
        <v>-55369.250000000029</v>
      </c>
      <c r="T107" s="201">
        <f t="shared" si="271"/>
        <v>-36853.800000000047</v>
      </c>
      <c r="U107" s="201">
        <f t="shared" si="271"/>
        <v>-18402.850000000035</v>
      </c>
      <c r="V107" s="201">
        <f t="shared" si="271"/>
        <v>-43955.5</v>
      </c>
      <c r="W107" s="201">
        <f t="shared" ref="W107:Z107" si="272">(K107-K106)</f>
        <v>-238.25</v>
      </c>
      <c r="X107" s="201">
        <f t="shared" si="272"/>
        <v>-364.20999999999913</v>
      </c>
      <c r="Y107" s="201">
        <f t="shared" si="272"/>
        <v>-238.14000000000669</v>
      </c>
      <c r="Z107" s="201">
        <f t="shared" si="272"/>
        <v>-584295.45000000019</v>
      </c>
    </row>
    <row r="108" spans="2:26" ht="14">
      <c r="B108" s="194">
        <v>45371</v>
      </c>
      <c r="C108" s="1">
        <v>6341485.5</v>
      </c>
      <c r="D108" s="1">
        <v>869865.52999999991</v>
      </c>
      <c r="E108" s="1">
        <v>1042674.8499999999</v>
      </c>
      <c r="F108" s="1">
        <v>-65354.820000000022</v>
      </c>
      <c r="G108" s="1">
        <v>-99239.239999999991</v>
      </c>
      <c r="H108" s="1">
        <v>-53567.549999999974</v>
      </c>
      <c r="I108" s="1">
        <v>-386981.21</v>
      </c>
      <c r="J108" s="1">
        <v>-351631.75</v>
      </c>
      <c r="K108" s="3">
        <v>21839.1</v>
      </c>
      <c r="L108" s="3">
        <v>31058.15</v>
      </c>
      <c r="M108" s="12">
        <v>41487.14</v>
      </c>
      <c r="N108" s="169">
        <v>7297251.3099999996</v>
      </c>
      <c r="O108" s="201">
        <f t="shared" ref="O108:Q108" si="273">(C108-C107)</f>
        <v>-16854.5</v>
      </c>
      <c r="P108" s="201">
        <f t="shared" si="273"/>
        <v>-922</v>
      </c>
      <c r="Q108" s="201">
        <f t="shared" si="273"/>
        <v>4096.9999999997672</v>
      </c>
      <c r="R108" s="201">
        <f t="shared" ref="R108:V108" si="274">F108-F107</f>
        <v>-1318.5000000000582</v>
      </c>
      <c r="S108" s="201">
        <f t="shared" si="274"/>
        <v>-28799.750000000015</v>
      </c>
      <c r="T108" s="201">
        <f t="shared" si="274"/>
        <v>-19795.250000000036</v>
      </c>
      <c r="U108" s="201">
        <f t="shared" si="274"/>
        <v>17446.330000000016</v>
      </c>
      <c r="V108" s="201">
        <f t="shared" si="274"/>
        <v>-13641.25</v>
      </c>
      <c r="W108" s="201">
        <f t="shared" ref="W108:Z108" si="275">(K108-K107)</f>
        <v>21.649999999997817</v>
      </c>
      <c r="X108" s="201">
        <f t="shared" si="275"/>
        <v>35.020000000000437</v>
      </c>
      <c r="Y108" s="201">
        <f t="shared" si="275"/>
        <v>-256.87999999999738</v>
      </c>
      <c r="Z108" s="201">
        <f t="shared" si="275"/>
        <v>-59787.920000000857</v>
      </c>
    </row>
    <row r="109" spans="2:26" ht="14">
      <c r="B109" s="194">
        <v>45372</v>
      </c>
      <c r="C109" s="1">
        <v>6707090.25</v>
      </c>
      <c r="D109" s="1">
        <v>914677.02999999991</v>
      </c>
      <c r="E109" s="1">
        <v>1246751.8500000001</v>
      </c>
      <c r="F109" s="1">
        <v>-50752.270000000048</v>
      </c>
      <c r="G109" s="1">
        <v>-71015.940000000031</v>
      </c>
      <c r="H109" s="1">
        <v>-30679.749999999978</v>
      </c>
      <c r="I109" s="1">
        <v>-330113.68000000005</v>
      </c>
      <c r="J109" s="1">
        <v>-299714.00000000006</v>
      </c>
      <c r="K109" s="3">
        <v>22063.45</v>
      </c>
      <c r="L109" s="3">
        <v>31458.18</v>
      </c>
      <c r="M109" s="12">
        <v>42241.01</v>
      </c>
      <c r="N109" s="169">
        <v>8086243.4900000021</v>
      </c>
      <c r="O109" s="201">
        <f t="shared" ref="O109:Q109" si="276">(C109-C108)</f>
        <v>365604.75</v>
      </c>
      <c r="P109" s="201">
        <f t="shared" si="276"/>
        <v>44811.5</v>
      </c>
      <c r="Q109" s="201">
        <f t="shared" si="276"/>
        <v>204077.00000000023</v>
      </c>
      <c r="R109" s="201">
        <f t="shared" ref="R109:V109" si="277">F109-F108</f>
        <v>14602.549999999974</v>
      </c>
      <c r="S109" s="201">
        <f t="shared" si="277"/>
        <v>28223.299999999959</v>
      </c>
      <c r="T109" s="201">
        <f t="shared" si="277"/>
        <v>22887.799999999996</v>
      </c>
      <c r="U109" s="201">
        <f t="shared" si="277"/>
        <v>56867.52999999997</v>
      </c>
      <c r="V109" s="201">
        <f t="shared" si="277"/>
        <v>51917.749999999942</v>
      </c>
      <c r="W109" s="201">
        <f t="shared" ref="W109:Z109" si="278">(K109-K108)</f>
        <v>224.35000000000218</v>
      </c>
      <c r="X109" s="201">
        <f t="shared" si="278"/>
        <v>400.02999999999884</v>
      </c>
      <c r="Y109" s="201">
        <f t="shared" si="278"/>
        <v>753.87000000000262</v>
      </c>
      <c r="Z109" s="201">
        <f t="shared" si="278"/>
        <v>788992.1800000025</v>
      </c>
    </row>
    <row r="110" spans="2:26" ht="14">
      <c r="B110" s="194">
        <v>45373</v>
      </c>
      <c r="C110" s="1">
        <v>7122965.25</v>
      </c>
      <c r="D110" s="1">
        <v>933179.02999999991</v>
      </c>
      <c r="E110" s="1">
        <v>1448032.0999999999</v>
      </c>
      <c r="F110" s="1">
        <v>4644.429999999973</v>
      </c>
      <c r="G110" s="1">
        <v>-2154.2399999999616</v>
      </c>
      <c r="H110" s="1">
        <v>42942.45000000007</v>
      </c>
      <c r="I110" s="1">
        <v>-264060.42999999993</v>
      </c>
      <c r="J110" s="1">
        <v>-255335.75000000003</v>
      </c>
      <c r="K110" s="3">
        <v>22096.75</v>
      </c>
      <c r="L110" s="3">
        <v>31622.7</v>
      </c>
      <c r="M110" s="12">
        <v>42771.27</v>
      </c>
      <c r="N110" s="169">
        <v>9030212.8399999999</v>
      </c>
      <c r="O110" s="201">
        <f t="shared" ref="O110:Q110" si="279">(C110-C109)</f>
        <v>415875</v>
      </c>
      <c r="P110" s="201">
        <f t="shared" si="279"/>
        <v>18502</v>
      </c>
      <c r="Q110" s="201">
        <f t="shared" si="279"/>
        <v>201280.24999999977</v>
      </c>
      <c r="R110" s="201">
        <f t="shared" ref="R110:V110" si="280">F110-F109</f>
        <v>55396.700000000019</v>
      </c>
      <c r="S110" s="201">
        <f t="shared" si="280"/>
        <v>68861.70000000007</v>
      </c>
      <c r="T110" s="201">
        <f t="shared" si="280"/>
        <v>73622.200000000041</v>
      </c>
      <c r="U110" s="201">
        <f t="shared" si="280"/>
        <v>66053.250000000116</v>
      </c>
      <c r="V110" s="201">
        <f t="shared" si="280"/>
        <v>44378.250000000029</v>
      </c>
      <c r="W110" s="201">
        <f t="shared" ref="W110:Z110" si="281">(K110-K109)</f>
        <v>33.299999999999272</v>
      </c>
      <c r="X110" s="201">
        <f t="shared" si="281"/>
        <v>164.52000000000044</v>
      </c>
      <c r="Y110" s="201">
        <f t="shared" si="281"/>
        <v>530.25999999999476</v>
      </c>
      <c r="Z110" s="201">
        <f t="shared" si="281"/>
        <v>943969.34999999776</v>
      </c>
    </row>
    <row r="111" spans="2:26" ht="14">
      <c r="B111" s="194">
        <v>45377</v>
      </c>
      <c r="C111" s="1">
        <v>7172701.5</v>
      </c>
      <c r="D111" s="1">
        <v>920893.52999999991</v>
      </c>
      <c r="E111" s="1">
        <v>1423282.1</v>
      </c>
      <c r="F111" s="1">
        <v>8.6800000000275759</v>
      </c>
      <c r="G111" s="1">
        <v>-40953.989999999976</v>
      </c>
      <c r="H111" s="1">
        <v>9480.7000000000389</v>
      </c>
      <c r="I111" s="1">
        <v>-267849.21000000002</v>
      </c>
      <c r="J111" s="1">
        <v>-242809.25000000003</v>
      </c>
      <c r="K111" s="3">
        <v>22004.7</v>
      </c>
      <c r="L111" s="3">
        <v>31635.97</v>
      </c>
      <c r="M111" s="12">
        <v>42726.22</v>
      </c>
      <c r="N111" s="169">
        <v>8974754.0599999987</v>
      </c>
      <c r="O111" s="201">
        <f t="shared" ref="O111:Q111" si="282">(C111-C110)</f>
        <v>49736.25</v>
      </c>
      <c r="P111" s="201">
        <f t="shared" si="282"/>
        <v>-12285.5</v>
      </c>
      <c r="Q111" s="201">
        <f t="shared" si="282"/>
        <v>-24749.999999999767</v>
      </c>
      <c r="R111" s="201">
        <f t="shared" ref="R111:V111" si="283">F111-F110</f>
        <v>-4635.7499999999454</v>
      </c>
      <c r="S111" s="201">
        <f t="shared" si="283"/>
        <v>-38799.750000000015</v>
      </c>
      <c r="T111" s="201">
        <f t="shared" si="283"/>
        <v>-33461.750000000029</v>
      </c>
      <c r="U111" s="201">
        <f t="shared" si="283"/>
        <v>-3788.7800000000861</v>
      </c>
      <c r="V111" s="201">
        <f t="shared" si="283"/>
        <v>12526.5</v>
      </c>
      <c r="W111" s="201">
        <f t="shared" ref="W111:Z111" si="284">(K111-K110)</f>
        <v>-92.049999999999272</v>
      </c>
      <c r="X111" s="201">
        <f t="shared" si="284"/>
        <v>13.270000000000437</v>
      </c>
      <c r="Y111" s="201">
        <f t="shared" si="284"/>
        <v>-45.049999999995634</v>
      </c>
      <c r="Z111" s="201">
        <f t="shared" si="284"/>
        <v>-55458.780000001192</v>
      </c>
    </row>
    <row r="112" spans="2:26" ht="14">
      <c r="B112" s="194">
        <v>45378</v>
      </c>
      <c r="C112" s="1">
        <v>7349089.1999999993</v>
      </c>
      <c r="D112" s="1">
        <v>950572.02999999991</v>
      </c>
      <c r="E112" s="1">
        <v>1519401.3499999999</v>
      </c>
      <c r="F112" s="1">
        <v>37957.929999999964</v>
      </c>
      <c r="G112" s="1">
        <v>4592.5099999999456</v>
      </c>
      <c r="H112" s="1">
        <v>56182.200000000012</v>
      </c>
      <c r="I112" s="1">
        <v>-236502.76000000007</v>
      </c>
      <c r="J112" s="1">
        <v>-219657</v>
      </c>
      <c r="K112" s="3">
        <v>22167.9</v>
      </c>
      <c r="L112" s="3">
        <v>31868.59</v>
      </c>
      <c r="M112" s="12">
        <v>43132.01</v>
      </c>
      <c r="N112" s="169">
        <v>9461635.459999999</v>
      </c>
      <c r="O112" s="201">
        <f t="shared" ref="O112:Q112" si="285">(C112-C111)</f>
        <v>176387.69999999925</v>
      </c>
      <c r="P112" s="201">
        <f t="shared" si="285"/>
        <v>29678.5</v>
      </c>
      <c r="Q112" s="201">
        <f t="shared" si="285"/>
        <v>96119.249999999767</v>
      </c>
      <c r="R112" s="201">
        <f t="shared" ref="R112:V112" si="286">F112-F111</f>
        <v>37949.249999999935</v>
      </c>
      <c r="S112" s="201">
        <f t="shared" si="286"/>
        <v>45546.49999999992</v>
      </c>
      <c r="T112" s="201">
        <f t="shared" si="286"/>
        <v>46701.499999999971</v>
      </c>
      <c r="U112" s="201">
        <f t="shared" si="286"/>
        <v>31346.449999999953</v>
      </c>
      <c r="V112" s="201">
        <f t="shared" si="286"/>
        <v>23152.250000000029</v>
      </c>
      <c r="W112" s="201">
        <f t="shared" ref="W112:Z112" si="287">(K112-K111)</f>
        <v>163.20000000000073</v>
      </c>
      <c r="X112" s="201">
        <f t="shared" si="287"/>
        <v>232.61999999999898</v>
      </c>
      <c r="Y112" s="201">
        <f t="shared" si="287"/>
        <v>405.79000000000087</v>
      </c>
      <c r="Z112" s="201">
        <f t="shared" si="287"/>
        <v>486881.40000000037</v>
      </c>
    </row>
    <row r="113" spans="2:26" ht="14">
      <c r="B113" s="194">
        <v>45379</v>
      </c>
      <c r="C113" s="1">
        <v>7391740.5999999996</v>
      </c>
      <c r="D113" s="1">
        <v>947393.02999999991</v>
      </c>
      <c r="E113" s="1">
        <v>1504759.8499999999</v>
      </c>
      <c r="F113" s="1">
        <v>50318.679999999986</v>
      </c>
      <c r="G113" s="1">
        <v>-7703.990000000028</v>
      </c>
      <c r="H113" s="1">
        <v>58713.200000000004</v>
      </c>
      <c r="I113" s="1">
        <v>-202517.59000000003</v>
      </c>
      <c r="J113" s="1">
        <v>-207905.25000000003</v>
      </c>
      <c r="K113" s="3">
        <v>22326.9</v>
      </c>
      <c r="L113" s="3">
        <v>32043.200000000001</v>
      </c>
      <c r="M113" s="12">
        <v>43166.34</v>
      </c>
      <c r="N113" s="169">
        <v>9534798.5299999993</v>
      </c>
      <c r="O113" s="201">
        <f t="shared" ref="O113:Q113" si="288">(C113-C112)</f>
        <v>42651.400000000373</v>
      </c>
      <c r="P113" s="201">
        <f t="shared" si="288"/>
        <v>-3179</v>
      </c>
      <c r="Q113" s="201">
        <f t="shared" si="288"/>
        <v>-14641.5</v>
      </c>
      <c r="R113" s="201">
        <f t="shared" ref="R113:V113" si="289">F113-F112</f>
        <v>12360.750000000022</v>
      </c>
      <c r="S113" s="201">
        <f t="shared" si="289"/>
        <v>-12296.499999999975</v>
      </c>
      <c r="T113" s="201">
        <f t="shared" si="289"/>
        <v>2530.9999999999927</v>
      </c>
      <c r="U113" s="201">
        <f t="shared" si="289"/>
        <v>33985.170000000042</v>
      </c>
      <c r="V113" s="201">
        <f t="shared" si="289"/>
        <v>11751.749999999971</v>
      </c>
      <c r="W113" s="201">
        <f t="shared" ref="W113:Z113" si="290">(K113-K112)</f>
        <v>159</v>
      </c>
      <c r="X113" s="201">
        <f t="shared" si="290"/>
        <v>174.61000000000058</v>
      </c>
      <c r="Y113" s="201">
        <f t="shared" si="290"/>
        <v>34.32999999999447</v>
      </c>
      <c r="Z113" s="201">
        <f t="shared" si="290"/>
        <v>73163.070000000298</v>
      </c>
    </row>
    <row r="114" spans="2:26" ht="14">
      <c r="B114" s="194">
        <v>45383</v>
      </c>
      <c r="C114" s="1">
        <v>7739002.5499999998</v>
      </c>
      <c r="D114" s="1">
        <v>1011223.0299999999</v>
      </c>
      <c r="E114" s="1">
        <v>1738485.3499999999</v>
      </c>
      <c r="F114" s="1">
        <v>155696.03000000003</v>
      </c>
      <c r="G114" s="1">
        <v>129624.61</v>
      </c>
      <c r="H114" s="1">
        <v>184728.30000000002</v>
      </c>
      <c r="I114" s="1">
        <v>-212671.91</v>
      </c>
      <c r="J114" s="1">
        <v>-142590.75</v>
      </c>
      <c r="K114" s="3">
        <v>22462</v>
      </c>
      <c r="L114" s="3">
        <v>32393.59</v>
      </c>
      <c r="M114" s="12">
        <v>44454.63</v>
      </c>
      <c r="N114" s="169">
        <v>10603497.209999999</v>
      </c>
      <c r="O114" s="192">
        <f t="shared" ref="O114:Q114" si="291">(C114-C113)</f>
        <v>347261.95000000019</v>
      </c>
      <c r="P114" s="192">
        <f t="shared" si="291"/>
        <v>63830</v>
      </c>
      <c r="Q114" s="192">
        <f t="shared" si="291"/>
        <v>233725.5</v>
      </c>
      <c r="R114" s="192">
        <f t="shared" ref="R114:V114" si="292">F114-F113</f>
        <v>105377.35000000003</v>
      </c>
      <c r="S114" s="192">
        <f t="shared" si="292"/>
        <v>137328.60000000003</v>
      </c>
      <c r="T114" s="192">
        <f t="shared" si="292"/>
        <v>126015.1</v>
      </c>
      <c r="U114" s="192">
        <f t="shared" si="292"/>
        <v>-10154.319999999978</v>
      </c>
      <c r="V114" s="192">
        <f t="shared" si="292"/>
        <v>65314.500000000029</v>
      </c>
      <c r="W114" s="192">
        <f t="shared" ref="W114:Z114" si="293">(K114-K113)</f>
        <v>135.09999999999854</v>
      </c>
      <c r="X114" s="192">
        <f t="shared" si="293"/>
        <v>350.38999999999942</v>
      </c>
      <c r="Y114" s="192">
        <f t="shared" si="293"/>
        <v>1288.2900000000009</v>
      </c>
      <c r="Z114" s="192">
        <f t="shared" si="293"/>
        <v>1068698.6799999997</v>
      </c>
    </row>
    <row r="115" spans="2:26" ht="14">
      <c r="B115" s="194">
        <v>45384</v>
      </c>
      <c r="C115" s="1">
        <v>8043974.0499999998</v>
      </c>
      <c r="D115" s="1">
        <v>1030072.03</v>
      </c>
      <c r="E115" s="1">
        <v>1919272.1</v>
      </c>
      <c r="F115" s="1">
        <v>209150.43</v>
      </c>
      <c r="G115" s="1">
        <v>187468.01</v>
      </c>
      <c r="H115" s="1">
        <v>241400.9500000001</v>
      </c>
      <c r="I115" s="1">
        <v>-152967.96</v>
      </c>
      <c r="J115" s="1">
        <v>-97765.25</v>
      </c>
      <c r="K115" s="3">
        <v>22451.75</v>
      </c>
      <c r="L115" s="3">
        <v>32552.85</v>
      </c>
      <c r="M115" s="12">
        <v>45393.47</v>
      </c>
      <c r="N115" s="169">
        <v>11380604.359999998</v>
      </c>
      <c r="O115" s="201">
        <f t="shared" ref="O115:Q115" si="294">(C115-C114)</f>
        <v>304971.5</v>
      </c>
      <c r="P115" s="201">
        <f t="shared" si="294"/>
        <v>18849.000000000116</v>
      </c>
      <c r="Q115" s="201">
        <f t="shared" si="294"/>
        <v>180786.75000000023</v>
      </c>
      <c r="R115" s="201">
        <f t="shared" ref="R115:V115" si="295">F115-F114</f>
        <v>53454.399999999965</v>
      </c>
      <c r="S115" s="201">
        <f t="shared" si="295"/>
        <v>57843.400000000009</v>
      </c>
      <c r="T115" s="201">
        <f t="shared" si="295"/>
        <v>56672.650000000081</v>
      </c>
      <c r="U115" s="201">
        <f t="shared" si="295"/>
        <v>59703.950000000012</v>
      </c>
      <c r="V115" s="201">
        <f t="shared" si="295"/>
        <v>44825.5</v>
      </c>
      <c r="W115" s="201">
        <f t="shared" ref="W115:Z115" si="296">(K115-K114)</f>
        <v>-10.25</v>
      </c>
      <c r="X115" s="201">
        <f t="shared" si="296"/>
        <v>159.2599999999984</v>
      </c>
      <c r="Y115" s="201">
        <f t="shared" si="296"/>
        <v>938.84000000000378</v>
      </c>
      <c r="Z115" s="201">
        <f t="shared" si="296"/>
        <v>777107.14999999851</v>
      </c>
    </row>
    <row r="116" spans="2:26" ht="14">
      <c r="B116" s="194">
        <v>45385</v>
      </c>
      <c r="C116" s="1">
        <v>8140620.5</v>
      </c>
      <c r="D116" s="1">
        <v>1038271.0299999999</v>
      </c>
      <c r="E116" s="1">
        <v>1983336.5999999999</v>
      </c>
      <c r="F116" s="1">
        <v>212984.67999999996</v>
      </c>
      <c r="G116" s="1">
        <v>194327.50999999998</v>
      </c>
      <c r="H116" s="1">
        <v>251200.70000000007</v>
      </c>
      <c r="I116" s="1">
        <v>-149628.13999999998</v>
      </c>
      <c r="J116" s="1">
        <v>-104167.25000000001</v>
      </c>
      <c r="K116" s="3">
        <v>22434.65</v>
      </c>
      <c r="L116" s="3">
        <v>32567.82</v>
      </c>
      <c r="M116" s="12">
        <v>45556.08</v>
      </c>
      <c r="N116" s="169">
        <v>11566945.629999997</v>
      </c>
      <c r="O116" s="201">
        <f t="shared" ref="O116:Q116" si="297">(C116-C115)</f>
        <v>96646.450000000186</v>
      </c>
      <c r="P116" s="201">
        <f t="shared" si="297"/>
        <v>8198.9999999998836</v>
      </c>
      <c r="Q116" s="201">
        <f t="shared" si="297"/>
        <v>64064.499999999767</v>
      </c>
      <c r="R116" s="201">
        <f t="shared" ref="R116:V116" si="298">F116-F115</f>
        <v>3834.2499999999709</v>
      </c>
      <c r="S116" s="201">
        <f t="shared" si="298"/>
        <v>6859.4999999999709</v>
      </c>
      <c r="T116" s="201">
        <f t="shared" si="298"/>
        <v>9799.7499999999709</v>
      </c>
      <c r="U116" s="201">
        <f t="shared" si="298"/>
        <v>3339.820000000007</v>
      </c>
      <c r="V116" s="201">
        <f t="shared" si="298"/>
        <v>-6402.0000000000146</v>
      </c>
      <c r="W116" s="201">
        <f t="shared" ref="W116:Z116" si="299">(K116-K115)</f>
        <v>-17.099999999998545</v>
      </c>
      <c r="X116" s="201">
        <f t="shared" si="299"/>
        <v>14.970000000001164</v>
      </c>
      <c r="Y116" s="201">
        <f t="shared" si="299"/>
        <v>162.61000000000058</v>
      </c>
      <c r="Z116" s="201">
        <f t="shared" si="299"/>
        <v>186341.26999999955</v>
      </c>
    </row>
    <row r="117" spans="2:26" ht="14">
      <c r="B117" s="194">
        <v>45386</v>
      </c>
      <c r="C117" s="1">
        <v>8419239.5500000007</v>
      </c>
      <c r="D117" s="1">
        <v>1046993.0299999999</v>
      </c>
      <c r="E117" s="1">
        <v>2076828.85</v>
      </c>
      <c r="F117" s="1">
        <v>198480.18</v>
      </c>
      <c r="G117" s="1">
        <v>200330.00999999995</v>
      </c>
      <c r="H117" s="1">
        <v>248572.20000000004</v>
      </c>
      <c r="I117" s="1">
        <v>-117301.04000000001</v>
      </c>
      <c r="J117" s="1">
        <v>-92230.250000000044</v>
      </c>
      <c r="K117" s="3">
        <v>22514.65</v>
      </c>
      <c r="L117" s="3">
        <v>32655.68</v>
      </c>
      <c r="M117" s="12">
        <v>45803.97</v>
      </c>
      <c r="N117" s="169">
        <v>11980912.529999999</v>
      </c>
      <c r="O117" s="201">
        <f t="shared" ref="O117:Q117" si="300">(C117-C116)</f>
        <v>278619.05000000075</v>
      </c>
      <c r="P117" s="201">
        <f t="shared" si="300"/>
        <v>8722</v>
      </c>
      <c r="Q117" s="201">
        <f t="shared" si="300"/>
        <v>93492.250000000233</v>
      </c>
      <c r="R117" s="201">
        <f t="shared" ref="R117:V117" si="301">F117-F116</f>
        <v>-14504.499999999971</v>
      </c>
      <c r="S117" s="201">
        <f t="shared" si="301"/>
        <v>6002.4999999999709</v>
      </c>
      <c r="T117" s="201">
        <f t="shared" si="301"/>
        <v>-2628.5000000000291</v>
      </c>
      <c r="U117" s="201">
        <f t="shared" si="301"/>
        <v>32327.099999999977</v>
      </c>
      <c r="V117" s="201">
        <f t="shared" si="301"/>
        <v>11936.999999999971</v>
      </c>
      <c r="W117" s="201">
        <f t="shared" ref="W117:Z117" si="302">(K117-K116)</f>
        <v>80</v>
      </c>
      <c r="X117" s="201">
        <f t="shared" si="302"/>
        <v>87.860000000000582</v>
      </c>
      <c r="Y117" s="201">
        <f t="shared" si="302"/>
        <v>247.88999999999942</v>
      </c>
      <c r="Z117" s="201">
        <f t="shared" si="302"/>
        <v>413966.90000000224</v>
      </c>
    </row>
    <row r="118" spans="2:26" ht="14">
      <c r="B118" s="194">
        <v>45387</v>
      </c>
      <c r="C118" s="1">
        <v>8581584.3499999996</v>
      </c>
      <c r="D118" s="1">
        <v>1043658.0299999999</v>
      </c>
      <c r="E118" s="1">
        <v>2172189.35</v>
      </c>
      <c r="F118" s="1">
        <v>223102.68000000005</v>
      </c>
      <c r="G118" s="1">
        <v>235927.51000000007</v>
      </c>
      <c r="H118" s="1">
        <v>294034.95000000007</v>
      </c>
      <c r="I118" s="1">
        <v>-113668.07</v>
      </c>
      <c r="J118" s="1">
        <v>-72465.25</v>
      </c>
      <c r="K118" s="3">
        <v>22513.7</v>
      </c>
      <c r="L118" s="3">
        <v>32723.97</v>
      </c>
      <c r="M118" s="12">
        <v>46032.71</v>
      </c>
      <c r="N118" s="169">
        <v>12364363.549999997</v>
      </c>
      <c r="O118" s="201">
        <f t="shared" ref="O118:Q118" si="303">(C118-C117)</f>
        <v>162344.79999999888</v>
      </c>
      <c r="P118" s="201">
        <f t="shared" si="303"/>
        <v>-3335</v>
      </c>
      <c r="Q118" s="201">
        <f t="shared" si="303"/>
        <v>95360.5</v>
      </c>
      <c r="R118" s="201">
        <f t="shared" ref="R118:V118" si="304">F118-F117</f>
        <v>24622.500000000058</v>
      </c>
      <c r="S118" s="201">
        <f t="shared" si="304"/>
        <v>35597.500000000116</v>
      </c>
      <c r="T118" s="201">
        <f t="shared" si="304"/>
        <v>45462.750000000029</v>
      </c>
      <c r="U118" s="201">
        <f t="shared" si="304"/>
        <v>3632.9700000000012</v>
      </c>
      <c r="V118" s="201">
        <f t="shared" si="304"/>
        <v>19765.000000000044</v>
      </c>
      <c r="W118" s="201">
        <f t="shared" ref="W118:Z118" si="305">(K118-K117)</f>
        <v>-0.9500000000007276</v>
      </c>
      <c r="X118" s="201">
        <f t="shared" si="305"/>
        <v>68.290000000000873</v>
      </c>
      <c r="Y118" s="201">
        <f t="shared" si="305"/>
        <v>228.73999999999796</v>
      </c>
      <c r="Z118" s="201">
        <f t="shared" si="305"/>
        <v>383451.01999999769</v>
      </c>
    </row>
    <row r="119" spans="2:26" ht="14">
      <c r="B119" s="194">
        <v>45390</v>
      </c>
      <c r="C119" s="1">
        <v>8578204.5</v>
      </c>
      <c r="D119" s="1">
        <v>1022004.5299999999</v>
      </c>
      <c r="E119" s="1">
        <v>2163212.6</v>
      </c>
      <c r="F119" s="1">
        <v>213797.43000000008</v>
      </c>
      <c r="G119" s="1">
        <v>222059.01</v>
      </c>
      <c r="H119" s="1">
        <v>285432.20000000007</v>
      </c>
      <c r="I119" s="1">
        <v>-108173.90000000001</v>
      </c>
      <c r="J119" s="1">
        <v>-83349.500000000029</v>
      </c>
      <c r="K119" s="3">
        <v>22666.3</v>
      </c>
      <c r="L119" s="3">
        <v>32890.839999999997</v>
      </c>
      <c r="M119" s="12">
        <v>46267.08</v>
      </c>
      <c r="N119" s="169">
        <v>12293186.869999997</v>
      </c>
      <c r="O119" s="201">
        <f t="shared" ref="O119:Q119" si="306">(C119-C118)</f>
        <v>-3379.8499999996275</v>
      </c>
      <c r="P119" s="201">
        <f t="shared" si="306"/>
        <v>-21653.5</v>
      </c>
      <c r="Q119" s="201">
        <f t="shared" si="306"/>
        <v>-8976.75</v>
      </c>
      <c r="R119" s="201">
        <f t="shared" ref="R119:V119" si="307">F119-F118</f>
        <v>-9305.2499999999709</v>
      </c>
      <c r="S119" s="201">
        <f t="shared" si="307"/>
        <v>-13868.500000000058</v>
      </c>
      <c r="T119" s="201">
        <f t="shared" si="307"/>
        <v>-8602.75</v>
      </c>
      <c r="U119" s="201">
        <f t="shared" si="307"/>
        <v>5494.1699999999983</v>
      </c>
      <c r="V119" s="201">
        <f t="shared" si="307"/>
        <v>-10884.250000000029</v>
      </c>
      <c r="W119" s="201">
        <f t="shared" ref="W119:Z119" si="308">(K119-K118)</f>
        <v>152.59999999999854</v>
      </c>
      <c r="X119" s="201">
        <f t="shared" si="308"/>
        <v>166.86999999999534</v>
      </c>
      <c r="Y119" s="201">
        <f t="shared" si="308"/>
        <v>234.37000000000262</v>
      </c>
      <c r="Z119" s="201">
        <f t="shared" si="308"/>
        <v>-71176.679999999702</v>
      </c>
    </row>
    <row r="120" spans="2:26" ht="14">
      <c r="B120" s="194">
        <v>45391</v>
      </c>
      <c r="C120" s="1">
        <v>8535959.25</v>
      </c>
      <c r="D120" s="1">
        <v>1012608.03</v>
      </c>
      <c r="E120" s="1">
        <v>2136020.5499999998</v>
      </c>
      <c r="F120" s="1">
        <v>179758.03000000003</v>
      </c>
      <c r="G120" s="1">
        <v>201329.50999999995</v>
      </c>
      <c r="H120" s="1">
        <v>258885.94999999998</v>
      </c>
      <c r="I120" s="1">
        <v>-124226.34999999998</v>
      </c>
      <c r="J120" s="1">
        <v>-93717.000000000058</v>
      </c>
      <c r="K120" s="3">
        <v>22642.75</v>
      </c>
      <c r="L120" s="3">
        <v>32848.160000000003</v>
      </c>
      <c r="M120" s="12">
        <v>45935.21</v>
      </c>
      <c r="N120" s="169">
        <v>12106617.969999997</v>
      </c>
      <c r="O120" s="201">
        <f t="shared" ref="O120:Q120" si="309">(C120-C119)</f>
        <v>-42245.25</v>
      </c>
      <c r="P120" s="201">
        <f t="shared" si="309"/>
        <v>-9396.4999999998836</v>
      </c>
      <c r="Q120" s="201">
        <f t="shared" si="309"/>
        <v>-27192.050000000279</v>
      </c>
      <c r="R120" s="201">
        <f t="shared" ref="R120:V120" si="310">F120-F119</f>
        <v>-34039.400000000052</v>
      </c>
      <c r="S120" s="201">
        <f t="shared" si="310"/>
        <v>-20729.500000000058</v>
      </c>
      <c r="T120" s="201">
        <f t="shared" si="310"/>
        <v>-26546.250000000087</v>
      </c>
      <c r="U120" s="201">
        <f t="shared" si="310"/>
        <v>-16052.449999999968</v>
      </c>
      <c r="V120" s="201">
        <f t="shared" si="310"/>
        <v>-10367.500000000029</v>
      </c>
      <c r="W120" s="201">
        <f t="shared" ref="W120:Z120" si="311">(K120-K119)</f>
        <v>-23.549999999999272</v>
      </c>
      <c r="X120" s="201">
        <f t="shared" si="311"/>
        <v>-42.679999999993015</v>
      </c>
      <c r="Y120" s="201">
        <f t="shared" si="311"/>
        <v>-331.87000000000262</v>
      </c>
      <c r="Z120" s="201">
        <f t="shared" si="311"/>
        <v>-186568.90000000037</v>
      </c>
    </row>
    <row r="121" spans="2:26" ht="14">
      <c r="B121" s="194">
        <v>45392</v>
      </c>
      <c r="C121" s="1">
        <v>8521660.5</v>
      </c>
      <c r="D121" s="1">
        <v>998195.52999999991</v>
      </c>
      <c r="E121" s="1">
        <v>2170118.7999999998</v>
      </c>
      <c r="F121" s="1">
        <v>210394.78000000009</v>
      </c>
      <c r="G121" s="1">
        <v>221331.75999999998</v>
      </c>
      <c r="H121" s="1">
        <v>270711.20000000007</v>
      </c>
      <c r="I121" s="1">
        <v>-107338.53999999992</v>
      </c>
      <c r="J121" s="1">
        <v>-91221.999999999956</v>
      </c>
      <c r="K121" s="3">
        <v>22673.200000000001</v>
      </c>
      <c r="L121" s="3">
        <v>33038.04</v>
      </c>
      <c r="M121" s="12">
        <v>46222.05</v>
      </c>
      <c r="N121" s="169">
        <v>12193852.029999997</v>
      </c>
      <c r="O121" s="201">
        <f t="shared" ref="O121:Q121" si="312">(C121-C120)</f>
        <v>-14298.75</v>
      </c>
      <c r="P121" s="201">
        <f t="shared" si="312"/>
        <v>-14412.500000000116</v>
      </c>
      <c r="Q121" s="201">
        <f t="shared" si="312"/>
        <v>34098.25</v>
      </c>
      <c r="R121" s="201">
        <f t="shared" ref="R121:V121" si="313">F121-F120</f>
        <v>30636.750000000058</v>
      </c>
      <c r="S121" s="201">
        <f t="shared" si="313"/>
        <v>20002.250000000029</v>
      </c>
      <c r="T121" s="201">
        <f t="shared" si="313"/>
        <v>11825.250000000087</v>
      </c>
      <c r="U121" s="201">
        <f t="shared" si="313"/>
        <v>16887.810000000056</v>
      </c>
      <c r="V121" s="201">
        <f t="shared" si="313"/>
        <v>2495.0000000001019</v>
      </c>
      <c r="W121" s="201">
        <f t="shared" ref="W121:Z121" si="314">(K121-K120)</f>
        <v>30.450000000000728</v>
      </c>
      <c r="X121" s="201">
        <f t="shared" si="314"/>
        <v>189.87999999999738</v>
      </c>
      <c r="Y121" s="201">
        <f t="shared" si="314"/>
        <v>286.84000000000378</v>
      </c>
      <c r="Z121" s="201">
        <f t="shared" si="314"/>
        <v>87234.060000000522</v>
      </c>
    </row>
    <row r="122" spans="2:26" ht="14">
      <c r="B122" s="194">
        <v>45394</v>
      </c>
      <c r="C122" s="1">
        <v>8443798.5999999996</v>
      </c>
      <c r="D122" s="1">
        <v>983042.03</v>
      </c>
      <c r="E122" s="1">
        <v>1898842.45</v>
      </c>
      <c r="F122" s="1">
        <v>195077.18000000005</v>
      </c>
      <c r="G122" s="1">
        <v>179590.65999999995</v>
      </c>
      <c r="H122" s="1">
        <v>231034.35000000003</v>
      </c>
      <c r="I122" s="1">
        <v>-119247.53</v>
      </c>
      <c r="J122" s="1">
        <v>-99752.750000000029</v>
      </c>
      <c r="K122" s="3">
        <v>22519.4</v>
      </c>
      <c r="L122" s="3">
        <v>32772.26</v>
      </c>
      <c r="M122" s="12">
        <v>45872.07</v>
      </c>
      <c r="N122" s="169">
        <v>11712384.989999998</v>
      </c>
      <c r="O122" s="201">
        <f t="shared" ref="O122:Q122" si="315">(C122-C121)</f>
        <v>-77861.900000000373</v>
      </c>
      <c r="P122" s="201">
        <f t="shared" si="315"/>
        <v>-15153.499999999884</v>
      </c>
      <c r="Q122" s="201">
        <f t="shared" si="315"/>
        <v>-271276.34999999986</v>
      </c>
      <c r="R122" s="201">
        <f t="shared" ref="R122:V122" si="316">F122-F121</f>
        <v>-15317.600000000035</v>
      </c>
      <c r="S122" s="201">
        <f t="shared" si="316"/>
        <v>-41741.100000000035</v>
      </c>
      <c r="T122" s="201">
        <f t="shared" si="316"/>
        <v>-39676.850000000035</v>
      </c>
      <c r="U122" s="201">
        <f t="shared" si="316"/>
        <v>-11908.990000000078</v>
      </c>
      <c r="V122" s="201">
        <f t="shared" si="316"/>
        <v>-8530.7500000000728</v>
      </c>
      <c r="W122" s="201">
        <f t="shared" ref="W122:Z122" si="317">(K122-K121)</f>
        <v>-153.79999999999927</v>
      </c>
      <c r="X122" s="201">
        <f t="shared" si="317"/>
        <v>-265.77999999999884</v>
      </c>
      <c r="Y122" s="201">
        <f t="shared" si="317"/>
        <v>-349.9800000000032</v>
      </c>
      <c r="Z122" s="201">
        <f t="shared" si="317"/>
        <v>-481467.03999999911</v>
      </c>
    </row>
    <row r="123" spans="2:26" ht="13">
      <c r="B123" s="194">
        <v>45397</v>
      </c>
      <c r="M123" s="12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</row>
    <row r="124" spans="2:26" ht="13">
      <c r="B124" s="194">
        <v>45398</v>
      </c>
      <c r="M124" s="12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</row>
    <row r="125" spans="2:26" ht="13">
      <c r="B125" s="194">
        <v>45399</v>
      </c>
      <c r="M125" s="12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</row>
    <row r="126" spans="2:26" ht="13">
      <c r="B126" s="194">
        <v>45400</v>
      </c>
      <c r="M126" s="12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</row>
    <row r="127" spans="2:26" ht="13">
      <c r="B127" s="194">
        <v>45401</v>
      </c>
      <c r="M127" s="12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</row>
    <row r="128" spans="2:26" ht="13">
      <c r="B128" s="194">
        <v>45402</v>
      </c>
      <c r="M128" s="12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</row>
    <row r="129" spans="2:24" ht="13">
      <c r="B129" s="194">
        <v>45403</v>
      </c>
      <c r="M129" s="12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</row>
    <row r="130" spans="2:24" ht="13">
      <c r="B130" s="194">
        <v>45404</v>
      </c>
      <c r="M130" s="12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</row>
    <row r="131" spans="2:24" ht="13">
      <c r="B131" s="194">
        <v>45405</v>
      </c>
      <c r="M131" s="12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</row>
    <row r="132" spans="2:24" ht="13">
      <c r="B132" s="194">
        <v>45406</v>
      </c>
      <c r="M132" s="12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</row>
    <row r="133" spans="2:24" ht="13">
      <c r="B133" s="194">
        <v>45407</v>
      </c>
      <c r="M133" s="12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</row>
    <row r="134" spans="2:24" ht="13">
      <c r="B134" s="194">
        <v>45408</v>
      </c>
      <c r="M134" s="12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</row>
    <row r="135" spans="2:24" ht="13">
      <c r="B135" s="194">
        <v>45409</v>
      </c>
      <c r="M135" s="12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</row>
    <row r="136" spans="2:24" ht="13">
      <c r="B136" s="194">
        <v>45410</v>
      </c>
      <c r="M136" s="12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</row>
    <row r="137" spans="2:24" ht="13">
      <c r="B137" s="194">
        <v>45411</v>
      </c>
      <c r="M137" s="12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</row>
    <row r="138" spans="2:24" ht="13">
      <c r="B138" s="194">
        <v>45412</v>
      </c>
      <c r="M138" s="12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</row>
    <row r="139" spans="2:24" ht="13">
      <c r="B139" s="194">
        <v>45413</v>
      </c>
      <c r="M139" s="12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</row>
    <row r="140" spans="2:24" ht="13">
      <c r="M140" s="12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</row>
    <row r="141" spans="2:24" ht="13">
      <c r="M141" s="12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</row>
    <row r="142" spans="2:24" ht="13">
      <c r="M142" s="12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</row>
    <row r="143" spans="2:24" ht="13">
      <c r="M143" s="12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</row>
    <row r="144" spans="2:24" ht="13">
      <c r="M144" s="12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</row>
    <row r="145" spans="13:24" ht="13">
      <c r="M145" s="12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</row>
    <row r="146" spans="13:24" ht="13">
      <c r="M146" s="12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</row>
    <row r="147" spans="13:24" ht="13">
      <c r="M147" s="12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</row>
    <row r="148" spans="13:24" ht="13">
      <c r="M148" s="12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</row>
    <row r="149" spans="13:24" ht="13">
      <c r="M149" s="12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</row>
    <row r="150" spans="13:24" ht="13">
      <c r="M150" s="12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</row>
    <row r="151" spans="13:24" ht="13">
      <c r="M151" s="12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</row>
    <row r="152" spans="13:24" ht="13">
      <c r="M152" s="12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</row>
    <row r="153" spans="13:24" ht="13">
      <c r="M153" s="12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</row>
    <row r="154" spans="13:24" ht="13">
      <c r="M154" s="12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</row>
    <row r="155" spans="13:24" ht="13">
      <c r="M155" s="12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</row>
    <row r="156" spans="13:24" ht="13">
      <c r="M156" s="12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</row>
    <row r="157" spans="13:24" ht="13">
      <c r="M157" s="12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</row>
    <row r="158" spans="13:24" ht="13">
      <c r="M158" s="12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</row>
    <row r="159" spans="13:24" ht="13">
      <c r="M159" s="12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</row>
    <row r="160" spans="13:24" ht="13">
      <c r="M160" s="12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</row>
    <row r="161" spans="13:24" ht="13">
      <c r="M161" s="12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</row>
    <row r="162" spans="13:24" ht="13">
      <c r="M162" s="12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</row>
    <row r="163" spans="13:24" ht="13">
      <c r="M163" s="12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</row>
    <row r="164" spans="13:24" ht="13">
      <c r="M164" s="12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</row>
    <row r="165" spans="13:24" ht="13">
      <c r="M165" s="12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</row>
    <row r="166" spans="13:24" ht="13">
      <c r="M166" s="12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</row>
    <row r="167" spans="13:24" ht="13">
      <c r="M167" s="12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</row>
    <row r="168" spans="13:24" ht="13">
      <c r="M168" s="12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</row>
    <row r="169" spans="13:24" ht="13">
      <c r="M169" s="12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</row>
    <row r="170" spans="13:24" ht="13">
      <c r="M170" s="12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</row>
    <row r="171" spans="13:24" ht="13">
      <c r="M171" s="12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</row>
    <row r="172" spans="13:24" ht="13">
      <c r="M172" s="12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</row>
    <row r="173" spans="13:24" ht="13">
      <c r="M173" s="12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</row>
    <row r="174" spans="13:24" ht="13">
      <c r="M174" s="12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</row>
    <row r="175" spans="13:24" ht="13">
      <c r="M175" s="12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</row>
    <row r="176" spans="13:24" ht="13">
      <c r="M176" s="12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</row>
    <row r="177" spans="13:24" ht="13">
      <c r="M177" s="12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</row>
    <row r="178" spans="13:24" ht="13">
      <c r="M178" s="12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</row>
    <row r="179" spans="13:24" ht="13">
      <c r="M179" s="12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</row>
    <row r="180" spans="13:24" ht="13">
      <c r="M180" s="12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</row>
    <row r="181" spans="13:24" ht="13">
      <c r="M181" s="12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</row>
    <row r="182" spans="13:24" ht="13">
      <c r="M182" s="12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</row>
    <row r="183" spans="13:24" ht="13">
      <c r="M183" s="12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</row>
    <row r="184" spans="13:24" ht="13">
      <c r="M184" s="12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</row>
    <row r="185" spans="13:24" ht="13">
      <c r="M185" s="12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</row>
    <row r="186" spans="13:24" ht="13">
      <c r="M186" s="12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</row>
    <row r="187" spans="13:24" ht="13">
      <c r="M187" s="12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</row>
    <row r="188" spans="13:24" ht="13">
      <c r="M188" s="12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</row>
    <row r="189" spans="13:24" ht="13">
      <c r="M189" s="12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</row>
    <row r="190" spans="13:24" ht="13">
      <c r="M190" s="12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</row>
    <row r="191" spans="13:24" ht="13">
      <c r="M191" s="12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</row>
    <row r="192" spans="13:24" ht="13">
      <c r="M192" s="12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</row>
    <row r="193" spans="13:24" ht="13">
      <c r="M193" s="12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</row>
    <row r="194" spans="13:24" ht="13">
      <c r="M194" s="12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</row>
    <row r="195" spans="13:24" ht="13">
      <c r="M195" s="12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</row>
    <row r="196" spans="13:24" ht="13">
      <c r="M196" s="12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</row>
    <row r="197" spans="13:24" ht="13">
      <c r="M197" s="12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</row>
    <row r="198" spans="13:24" ht="13">
      <c r="M198" s="12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</row>
    <row r="199" spans="13:24" ht="13">
      <c r="M199" s="12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</row>
    <row r="200" spans="13:24" ht="13">
      <c r="M200" s="12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</row>
    <row r="201" spans="13:24" ht="13">
      <c r="M201" s="12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</row>
    <row r="202" spans="13:24" ht="13">
      <c r="M202" s="12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</row>
    <row r="203" spans="13:24" ht="13">
      <c r="M203" s="12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</row>
    <row r="204" spans="13:24" ht="13">
      <c r="M204" s="12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</row>
    <row r="205" spans="13:24" ht="13">
      <c r="M205" s="12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</row>
    <row r="206" spans="13:24" ht="13">
      <c r="M206" s="12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</row>
    <row r="207" spans="13:24" ht="13">
      <c r="M207" s="12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</row>
    <row r="208" spans="13:24" ht="13">
      <c r="M208" s="12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</row>
    <row r="209" spans="13:24" ht="13">
      <c r="M209" s="12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</row>
    <row r="210" spans="13:24" ht="13">
      <c r="M210" s="12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</row>
    <row r="211" spans="13:24" ht="13">
      <c r="M211" s="12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</row>
    <row r="212" spans="13:24" ht="13">
      <c r="M212" s="12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</row>
    <row r="213" spans="13:24" ht="13">
      <c r="M213" s="12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</row>
    <row r="214" spans="13:24" ht="13">
      <c r="M214" s="12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</row>
    <row r="215" spans="13:24" ht="13">
      <c r="M215" s="12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</row>
    <row r="216" spans="13:24" ht="13">
      <c r="M216" s="12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</row>
    <row r="217" spans="13:24" ht="13">
      <c r="M217" s="12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</row>
    <row r="218" spans="13:24" ht="13">
      <c r="M218" s="12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</row>
    <row r="219" spans="13:24" ht="13">
      <c r="M219" s="12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</row>
    <row r="220" spans="13:24" ht="13">
      <c r="M220" s="12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</row>
    <row r="221" spans="13:24" ht="13">
      <c r="M221" s="12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</row>
    <row r="222" spans="13:24" ht="13">
      <c r="M222" s="12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</row>
    <row r="223" spans="13:24" ht="13">
      <c r="M223" s="12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</row>
    <row r="224" spans="13:24" ht="13">
      <c r="M224" s="12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</row>
    <row r="225" spans="13:24" ht="13">
      <c r="M225" s="12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</row>
    <row r="226" spans="13:24" ht="13">
      <c r="M226" s="12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</row>
    <row r="227" spans="13:24" ht="13">
      <c r="M227" s="12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</row>
    <row r="228" spans="13:24" ht="13">
      <c r="M228" s="12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</row>
    <row r="229" spans="13:24" ht="13">
      <c r="M229" s="12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</row>
    <row r="230" spans="13:24" ht="13">
      <c r="M230" s="12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</row>
    <row r="231" spans="13:24" ht="13">
      <c r="M231" s="12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</row>
    <row r="232" spans="13:24" ht="13">
      <c r="M232" s="12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</row>
    <row r="233" spans="13:24" ht="13">
      <c r="M233" s="12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</row>
    <row r="234" spans="13:24" ht="13">
      <c r="M234" s="12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</row>
    <row r="235" spans="13:24" ht="13">
      <c r="M235" s="12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</row>
    <row r="236" spans="13:24" ht="13">
      <c r="M236" s="12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</row>
    <row r="237" spans="13:24" ht="13">
      <c r="M237" s="12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</row>
    <row r="238" spans="13:24" ht="13">
      <c r="M238" s="12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</row>
    <row r="239" spans="13:24" ht="13">
      <c r="M239" s="12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</row>
    <row r="240" spans="13:24" ht="13">
      <c r="M240" s="12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</row>
    <row r="241" spans="13:24" ht="13">
      <c r="M241" s="12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</row>
    <row r="242" spans="13:24" ht="13">
      <c r="M242" s="12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</row>
    <row r="243" spans="13:24" ht="13">
      <c r="M243" s="12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</row>
    <row r="244" spans="13:24" ht="13">
      <c r="M244" s="12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</row>
    <row r="245" spans="13:24" ht="13">
      <c r="M245" s="12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</row>
    <row r="246" spans="13:24" ht="13">
      <c r="M246" s="12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</row>
    <row r="247" spans="13:24" ht="13">
      <c r="M247" s="12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</row>
    <row r="248" spans="13:24" ht="13">
      <c r="M248" s="12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</row>
    <row r="249" spans="13:24" ht="13">
      <c r="M249" s="12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</row>
    <row r="250" spans="13:24" ht="13">
      <c r="M250" s="12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</row>
    <row r="251" spans="13:24" ht="13">
      <c r="M251" s="12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</row>
    <row r="252" spans="13:24" ht="13">
      <c r="M252" s="12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</row>
    <row r="253" spans="13:24" ht="13">
      <c r="M253" s="12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</row>
    <row r="254" spans="13:24" ht="13">
      <c r="M254" s="12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</row>
    <row r="255" spans="13:24" ht="13">
      <c r="M255" s="12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</row>
    <row r="256" spans="13:24" ht="13">
      <c r="M256" s="12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</row>
    <row r="257" spans="13:24" ht="13">
      <c r="M257" s="12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</row>
    <row r="258" spans="13:24" ht="13">
      <c r="M258" s="12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</row>
    <row r="259" spans="13:24" ht="13">
      <c r="M259" s="12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</row>
    <row r="260" spans="13:24" ht="13">
      <c r="M260" s="12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</row>
    <row r="261" spans="13:24" ht="13">
      <c r="M261" s="12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</row>
    <row r="262" spans="13:24" ht="13">
      <c r="M262" s="12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</row>
    <row r="263" spans="13:24" ht="13">
      <c r="M263" s="12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</row>
    <row r="264" spans="13:24" ht="13">
      <c r="M264" s="12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</row>
    <row r="265" spans="13:24" ht="13">
      <c r="M265" s="12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</row>
    <row r="266" spans="13:24" ht="13">
      <c r="M266" s="12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</row>
    <row r="267" spans="13:24" ht="13">
      <c r="M267" s="12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</row>
    <row r="268" spans="13:24" ht="13">
      <c r="M268" s="12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</row>
    <row r="269" spans="13:24" ht="13">
      <c r="M269" s="12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</row>
    <row r="270" spans="13:24" ht="13">
      <c r="M270" s="12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</row>
    <row r="271" spans="13:24" ht="13">
      <c r="M271" s="12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</row>
    <row r="272" spans="13:24" ht="13">
      <c r="M272" s="12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</row>
    <row r="273" spans="13:24" ht="13">
      <c r="M273" s="12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</row>
    <row r="274" spans="13:24" ht="13">
      <c r="M274" s="12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</row>
    <row r="275" spans="13:24" ht="13">
      <c r="M275" s="12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</row>
    <row r="276" spans="13:24" ht="13">
      <c r="M276" s="12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</row>
    <row r="277" spans="13:24" ht="13">
      <c r="M277" s="12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</row>
    <row r="278" spans="13:24" ht="13">
      <c r="M278" s="12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</row>
    <row r="279" spans="13:24" ht="13">
      <c r="M279" s="12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</row>
    <row r="280" spans="13:24" ht="13">
      <c r="M280" s="12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</row>
    <row r="281" spans="13:24" ht="13">
      <c r="M281" s="12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</row>
    <row r="282" spans="13:24" ht="13">
      <c r="M282" s="12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</row>
    <row r="283" spans="13:24" ht="13">
      <c r="M283" s="12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</row>
    <row r="284" spans="13:24" ht="13">
      <c r="M284" s="12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</row>
    <row r="285" spans="13:24" ht="13">
      <c r="M285" s="12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</row>
    <row r="286" spans="13:24" ht="13">
      <c r="M286" s="12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</row>
    <row r="287" spans="13:24" ht="13">
      <c r="M287" s="12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</row>
    <row r="288" spans="13:24" ht="13">
      <c r="M288" s="12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</row>
    <row r="289" spans="13:24" ht="13">
      <c r="M289" s="12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</row>
    <row r="290" spans="13:24" ht="13">
      <c r="M290" s="12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</row>
    <row r="291" spans="13:24" ht="13">
      <c r="M291" s="12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</row>
    <row r="292" spans="13:24" ht="13">
      <c r="M292" s="12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</row>
    <row r="293" spans="13:24" ht="13">
      <c r="M293" s="12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</row>
    <row r="294" spans="13:24" ht="13">
      <c r="M294" s="12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</row>
    <row r="295" spans="13:24" ht="13">
      <c r="M295" s="12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</row>
    <row r="296" spans="13:24" ht="13">
      <c r="M296" s="12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</row>
    <row r="297" spans="13:24" ht="13">
      <c r="M297" s="12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</row>
    <row r="298" spans="13:24" ht="13">
      <c r="M298" s="12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</row>
    <row r="299" spans="13:24" ht="13">
      <c r="M299" s="12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</row>
    <row r="300" spans="13:24" ht="13">
      <c r="M300" s="12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</row>
    <row r="301" spans="13:24" ht="13">
      <c r="M301" s="12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</row>
    <row r="302" spans="13:24" ht="13">
      <c r="M302" s="12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</row>
    <row r="303" spans="13:24" ht="13">
      <c r="M303" s="12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</row>
    <row r="304" spans="13:24" ht="13">
      <c r="M304" s="12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</row>
    <row r="305" spans="13:24" ht="13">
      <c r="M305" s="12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</row>
    <row r="306" spans="13:24" ht="13">
      <c r="M306" s="12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</row>
    <row r="307" spans="13:24" ht="13">
      <c r="M307" s="12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</row>
    <row r="308" spans="13:24" ht="13">
      <c r="M308" s="12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</row>
    <row r="309" spans="13:24" ht="13">
      <c r="M309" s="12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</row>
    <row r="310" spans="13:24" ht="13">
      <c r="M310" s="12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</row>
    <row r="311" spans="13:24" ht="13">
      <c r="M311" s="12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</row>
    <row r="312" spans="13:24" ht="13">
      <c r="M312" s="12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</row>
    <row r="313" spans="13:24" ht="13">
      <c r="M313" s="12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</row>
    <row r="314" spans="13:24" ht="13">
      <c r="M314" s="12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</row>
    <row r="315" spans="13:24" ht="13">
      <c r="M315" s="12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</row>
    <row r="316" spans="13:24" ht="13">
      <c r="M316" s="12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</row>
    <row r="317" spans="13:24" ht="13">
      <c r="M317" s="12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</row>
    <row r="318" spans="13:24" ht="13">
      <c r="M318" s="12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</row>
    <row r="319" spans="13:24" ht="13">
      <c r="M319" s="12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</row>
    <row r="320" spans="13:24" ht="13">
      <c r="M320" s="12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</row>
    <row r="321" spans="13:24" ht="13">
      <c r="M321" s="12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</row>
    <row r="322" spans="13:24" ht="13">
      <c r="M322" s="12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</row>
    <row r="323" spans="13:24" ht="13">
      <c r="M323" s="12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</row>
    <row r="324" spans="13:24" ht="13">
      <c r="M324" s="12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</row>
    <row r="325" spans="13:24" ht="13">
      <c r="M325" s="12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</row>
    <row r="326" spans="13:24" ht="13">
      <c r="M326" s="12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</row>
    <row r="327" spans="13:24" ht="13">
      <c r="M327" s="12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</row>
    <row r="328" spans="13:24" ht="13">
      <c r="M328" s="12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</row>
    <row r="329" spans="13:24" ht="13">
      <c r="M329" s="12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</row>
    <row r="330" spans="13:24" ht="13">
      <c r="M330" s="12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</row>
    <row r="331" spans="13:24" ht="13">
      <c r="M331" s="12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</row>
    <row r="332" spans="13:24" ht="13">
      <c r="M332" s="12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</row>
    <row r="333" spans="13:24" ht="13">
      <c r="M333" s="12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</row>
    <row r="334" spans="13:24" ht="13">
      <c r="M334" s="12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</row>
    <row r="335" spans="13:24" ht="13">
      <c r="M335" s="12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</row>
    <row r="336" spans="13:24" ht="13">
      <c r="M336" s="12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</row>
    <row r="337" spans="13:24" ht="13">
      <c r="M337" s="12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</row>
    <row r="338" spans="13:24" ht="13">
      <c r="M338" s="12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</row>
    <row r="339" spans="13:24" ht="13">
      <c r="M339" s="12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</row>
    <row r="340" spans="13:24" ht="13">
      <c r="M340" s="12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</row>
    <row r="341" spans="13:24" ht="13">
      <c r="M341" s="12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</row>
    <row r="342" spans="13:24" ht="13">
      <c r="M342" s="12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</row>
    <row r="343" spans="13:24" ht="13">
      <c r="M343" s="12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</row>
    <row r="344" spans="13:24" ht="13">
      <c r="M344" s="12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</row>
    <row r="345" spans="13:24" ht="13">
      <c r="M345" s="12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</row>
    <row r="346" spans="13:24" ht="13">
      <c r="M346" s="12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</row>
    <row r="347" spans="13:24" ht="13">
      <c r="M347" s="12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</row>
    <row r="348" spans="13:24" ht="13">
      <c r="M348" s="12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</row>
    <row r="349" spans="13:24" ht="13">
      <c r="M349" s="12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</row>
    <row r="350" spans="13:24" ht="13">
      <c r="M350" s="12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</row>
    <row r="351" spans="13:24" ht="13">
      <c r="M351" s="12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</row>
    <row r="352" spans="13:24" ht="13">
      <c r="M352" s="12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</row>
    <row r="353" spans="13:24" ht="13">
      <c r="M353" s="12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</row>
    <row r="354" spans="13:24" ht="13">
      <c r="M354" s="12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</row>
    <row r="355" spans="13:24" ht="13">
      <c r="M355" s="12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</row>
    <row r="356" spans="13:24" ht="13">
      <c r="M356" s="12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</row>
    <row r="357" spans="13:24" ht="13">
      <c r="M357" s="12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</row>
    <row r="358" spans="13:24" ht="13">
      <c r="M358" s="12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</row>
    <row r="359" spans="13:24" ht="13">
      <c r="M359" s="12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</row>
    <row r="360" spans="13:24" ht="13">
      <c r="M360" s="12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</row>
    <row r="361" spans="13:24" ht="13">
      <c r="M361" s="12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</row>
    <row r="362" spans="13:24" ht="13">
      <c r="M362" s="12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</row>
    <row r="363" spans="13:24" ht="13">
      <c r="M363" s="12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</row>
    <row r="364" spans="13:24" ht="13">
      <c r="M364" s="12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</row>
    <row r="365" spans="13:24" ht="13">
      <c r="M365" s="12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</row>
    <row r="366" spans="13:24" ht="13">
      <c r="M366" s="12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</row>
    <row r="367" spans="13:24" ht="13">
      <c r="M367" s="12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</row>
    <row r="368" spans="13:24" ht="13">
      <c r="M368" s="12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</row>
    <row r="369" spans="13:24" ht="13">
      <c r="M369" s="12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</row>
    <row r="370" spans="13:24" ht="13">
      <c r="M370" s="12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</row>
    <row r="371" spans="13:24" ht="13">
      <c r="M371" s="12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</row>
    <row r="372" spans="13:24" ht="13">
      <c r="M372" s="12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</row>
    <row r="373" spans="13:24" ht="13">
      <c r="M373" s="12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</row>
    <row r="374" spans="13:24" ht="13">
      <c r="M374" s="12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</row>
    <row r="375" spans="13:24" ht="13">
      <c r="M375" s="12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</row>
    <row r="376" spans="13:24" ht="13">
      <c r="M376" s="12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</row>
    <row r="377" spans="13:24" ht="13">
      <c r="M377" s="12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</row>
    <row r="378" spans="13:24" ht="13">
      <c r="M378" s="12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</row>
    <row r="379" spans="13:24" ht="13">
      <c r="M379" s="12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</row>
    <row r="380" spans="13:24" ht="13">
      <c r="M380" s="12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</row>
    <row r="381" spans="13:24" ht="13">
      <c r="M381" s="12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</row>
    <row r="382" spans="13:24" ht="13">
      <c r="M382" s="12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</row>
    <row r="383" spans="13:24" ht="13">
      <c r="M383" s="12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</row>
    <row r="384" spans="13:24" ht="13">
      <c r="M384" s="12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</row>
    <row r="385" spans="13:24" ht="13">
      <c r="M385" s="12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</row>
    <row r="386" spans="13:24" ht="13">
      <c r="M386" s="12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</row>
    <row r="387" spans="13:24" ht="13">
      <c r="M387" s="12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</row>
    <row r="388" spans="13:24" ht="13">
      <c r="M388" s="12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</row>
    <row r="389" spans="13:24" ht="13">
      <c r="M389" s="12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</row>
    <row r="390" spans="13:24" ht="13">
      <c r="M390" s="12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</row>
    <row r="391" spans="13:24" ht="13">
      <c r="M391" s="12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</row>
    <row r="392" spans="13:24" ht="13">
      <c r="M392" s="12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</row>
    <row r="393" spans="13:24" ht="13">
      <c r="M393" s="12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</row>
    <row r="394" spans="13:24" ht="13">
      <c r="M394" s="12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</row>
    <row r="395" spans="13:24" ht="13">
      <c r="M395" s="12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</row>
    <row r="396" spans="13:24" ht="13">
      <c r="M396" s="12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</row>
    <row r="397" spans="13:24" ht="13">
      <c r="M397" s="12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</row>
    <row r="398" spans="13:24" ht="13">
      <c r="M398" s="12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</row>
    <row r="399" spans="13:24" ht="13">
      <c r="M399" s="12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</row>
    <row r="400" spans="13:24" ht="13">
      <c r="M400" s="12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</row>
    <row r="401" spans="13:24" ht="13">
      <c r="M401" s="12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</row>
    <row r="402" spans="13:24" ht="13">
      <c r="M402" s="12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</row>
    <row r="403" spans="13:24" ht="13">
      <c r="M403" s="12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</row>
    <row r="404" spans="13:24" ht="13">
      <c r="M404" s="12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</row>
    <row r="405" spans="13:24" ht="13">
      <c r="M405" s="12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</row>
    <row r="406" spans="13:24" ht="13">
      <c r="M406" s="12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</row>
    <row r="407" spans="13:24" ht="13">
      <c r="M407" s="12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</row>
    <row r="408" spans="13:24" ht="13">
      <c r="M408" s="12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</row>
    <row r="409" spans="13:24" ht="13">
      <c r="M409" s="12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</row>
    <row r="410" spans="13:24" ht="13">
      <c r="M410" s="12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</row>
    <row r="411" spans="13:24" ht="13">
      <c r="M411" s="12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</row>
    <row r="412" spans="13:24" ht="13">
      <c r="M412" s="12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</row>
    <row r="413" spans="13:24" ht="13">
      <c r="M413" s="12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</row>
    <row r="414" spans="13:24" ht="13">
      <c r="M414" s="12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</row>
    <row r="415" spans="13:24" ht="13">
      <c r="M415" s="12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</row>
    <row r="416" spans="13:24" ht="13">
      <c r="M416" s="12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</row>
    <row r="417" spans="13:24" ht="13">
      <c r="M417" s="12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</row>
    <row r="418" spans="13:24" ht="13">
      <c r="M418" s="12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</row>
    <row r="419" spans="13:24" ht="13">
      <c r="M419" s="12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</row>
    <row r="420" spans="13:24" ht="13">
      <c r="M420" s="12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</row>
    <row r="421" spans="13:24" ht="13">
      <c r="M421" s="12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</row>
    <row r="422" spans="13:24" ht="13">
      <c r="M422" s="12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</row>
    <row r="423" spans="13:24" ht="13">
      <c r="M423" s="12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</row>
    <row r="424" spans="13:24" ht="13">
      <c r="M424" s="12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</row>
    <row r="425" spans="13:24" ht="13">
      <c r="M425" s="12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</row>
    <row r="426" spans="13:24" ht="13">
      <c r="M426" s="12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</row>
    <row r="427" spans="13:24" ht="13">
      <c r="M427" s="12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</row>
    <row r="428" spans="13:24" ht="13">
      <c r="M428" s="12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</row>
    <row r="429" spans="13:24" ht="13">
      <c r="M429" s="12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</row>
    <row r="430" spans="13:24" ht="13">
      <c r="M430" s="12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</row>
    <row r="431" spans="13:24" ht="13">
      <c r="M431" s="12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</row>
    <row r="432" spans="13:24" ht="13">
      <c r="M432" s="12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</row>
    <row r="433" spans="13:24" ht="13">
      <c r="M433" s="12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</row>
    <row r="434" spans="13:24" ht="13">
      <c r="M434" s="12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</row>
    <row r="435" spans="13:24" ht="13">
      <c r="M435" s="12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</row>
    <row r="436" spans="13:24" ht="13">
      <c r="M436" s="12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</row>
    <row r="437" spans="13:24" ht="13">
      <c r="M437" s="12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</row>
    <row r="438" spans="13:24" ht="13">
      <c r="M438" s="12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</row>
    <row r="439" spans="13:24" ht="13">
      <c r="M439" s="12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</row>
    <row r="440" spans="13:24" ht="13">
      <c r="M440" s="12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</row>
    <row r="441" spans="13:24" ht="13">
      <c r="M441" s="12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</row>
    <row r="442" spans="13:24" ht="13">
      <c r="M442" s="12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</row>
    <row r="443" spans="13:24" ht="13">
      <c r="M443" s="12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</row>
    <row r="444" spans="13:24" ht="13">
      <c r="M444" s="12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</row>
    <row r="445" spans="13:24" ht="13">
      <c r="M445" s="12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</row>
    <row r="446" spans="13:24" ht="13">
      <c r="M446" s="12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</row>
    <row r="447" spans="13:24" ht="13">
      <c r="M447" s="12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</row>
    <row r="448" spans="13:24" ht="13">
      <c r="M448" s="12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</row>
    <row r="449" spans="13:24" ht="13">
      <c r="M449" s="12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</row>
    <row r="450" spans="13:24" ht="13">
      <c r="M450" s="12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</row>
    <row r="451" spans="13:24" ht="13">
      <c r="M451" s="12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</row>
    <row r="452" spans="13:24" ht="13">
      <c r="M452" s="12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</row>
    <row r="453" spans="13:24" ht="13">
      <c r="M453" s="12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</row>
    <row r="454" spans="13:24" ht="13">
      <c r="M454" s="12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</row>
    <row r="455" spans="13:24" ht="13">
      <c r="M455" s="12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</row>
    <row r="456" spans="13:24" ht="13">
      <c r="M456" s="12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</row>
    <row r="457" spans="13:24" ht="13">
      <c r="M457" s="12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</row>
    <row r="458" spans="13:24" ht="13">
      <c r="M458" s="12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</row>
    <row r="459" spans="13:24" ht="13">
      <c r="M459" s="12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</row>
    <row r="460" spans="13:24" ht="13">
      <c r="M460" s="12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</row>
    <row r="461" spans="13:24" ht="13">
      <c r="M461" s="12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</row>
    <row r="462" spans="13:24" ht="13">
      <c r="M462" s="12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</row>
    <row r="463" spans="13:24" ht="13">
      <c r="M463" s="12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</row>
    <row r="464" spans="13:24" ht="13">
      <c r="M464" s="12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</row>
    <row r="465" spans="13:24" ht="13">
      <c r="M465" s="12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</row>
    <row r="466" spans="13:24" ht="13">
      <c r="M466" s="12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</row>
    <row r="467" spans="13:24" ht="13">
      <c r="M467" s="12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</row>
    <row r="468" spans="13:24" ht="13">
      <c r="M468" s="12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</row>
    <row r="469" spans="13:24" ht="13">
      <c r="M469" s="12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</row>
    <row r="470" spans="13:24" ht="13">
      <c r="M470" s="12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</row>
    <row r="471" spans="13:24" ht="13">
      <c r="M471" s="12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</row>
    <row r="472" spans="13:24" ht="13">
      <c r="M472" s="12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</row>
    <row r="473" spans="13:24" ht="13">
      <c r="M473" s="12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</row>
    <row r="474" spans="13:24" ht="13">
      <c r="M474" s="12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</row>
    <row r="475" spans="13:24" ht="13">
      <c r="M475" s="12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</row>
    <row r="476" spans="13:24" ht="13">
      <c r="M476" s="12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</row>
    <row r="477" spans="13:24" ht="13">
      <c r="M477" s="12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</row>
    <row r="478" spans="13:24" ht="13">
      <c r="M478" s="12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</row>
    <row r="479" spans="13:24" ht="13">
      <c r="M479" s="12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</row>
    <row r="480" spans="13:24" ht="13">
      <c r="M480" s="12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</row>
    <row r="481" spans="13:24" ht="13">
      <c r="M481" s="12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</row>
    <row r="482" spans="13:24" ht="13">
      <c r="M482" s="12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</row>
    <row r="483" spans="13:24" ht="13">
      <c r="M483" s="12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</row>
    <row r="484" spans="13:24" ht="13">
      <c r="M484" s="12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</row>
    <row r="485" spans="13:24" ht="13">
      <c r="M485" s="12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</row>
    <row r="486" spans="13:24" ht="13">
      <c r="M486" s="12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</row>
    <row r="487" spans="13:24" ht="13">
      <c r="M487" s="12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</row>
    <row r="488" spans="13:24" ht="13">
      <c r="M488" s="12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</row>
    <row r="489" spans="13:24" ht="13">
      <c r="M489" s="12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</row>
    <row r="490" spans="13:24" ht="13">
      <c r="M490" s="12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</row>
    <row r="491" spans="13:24" ht="13">
      <c r="M491" s="12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</row>
    <row r="492" spans="13:24" ht="13">
      <c r="M492" s="12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</row>
    <row r="493" spans="13:24" ht="13">
      <c r="M493" s="12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</row>
    <row r="494" spans="13:24" ht="13">
      <c r="M494" s="12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</row>
    <row r="495" spans="13:24" ht="13">
      <c r="M495" s="12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</row>
    <row r="496" spans="13:24" ht="13">
      <c r="M496" s="12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</row>
    <row r="497" spans="13:24" ht="13">
      <c r="M497" s="12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</row>
    <row r="498" spans="13:24" ht="13">
      <c r="M498" s="12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</row>
    <row r="499" spans="13:24" ht="13">
      <c r="M499" s="12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</row>
    <row r="500" spans="13:24" ht="13">
      <c r="M500" s="12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</row>
    <row r="501" spans="13:24" ht="13">
      <c r="M501" s="12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</row>
    <row r="502" spans="13:24" ht="13">
      <c r="M502" s="12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</row>
    <row r="503" spans="13:24" ht="13">
      <c r="M503" s="12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</row>
    <row r="504" spans="13:24" ht="13">
      <c r="M504" s="12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</row>
    <row r="505" spans="13:24" ht="13">
      <c r="M505" s="12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</row>
    <row r="506" spans="13:24" ht="13">
      <c r="M506" s="12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</row>
    <row r="507" spans="13:24" ht="13">
      <c r="M507" s="12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</row>
    <row r="508" spans="13:24" ht="13">
      <c r="M508" s="12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</row>
    <row r="509" spans="13:24" ht="13">
      <c r="M509" s="12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</row>
    <row r="510" spans="13:24" ht="13">
      <c r="M510" s="12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</row>
    <row r="511" spans="13:24" ht="13">
      <c r="M511" s="12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</row>
    <row r="512" spans="13:24" ht="13">
      <c r="M512" s="12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</row>
    <row r="513" spans="13:24" ht="13">
      <c r="M513" s="12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</row>
    <row r="514" spans="13:24" ht="13">
      <c r="M514" s="12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</row>
    <row r="515" spans="13:24" ht="13">
      <c r="M515" s="12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</row>
    <row r="516" spans="13:24" ht="13">
      <c r="M516" s="12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</row>
    <row r="517" spans="13:24" ht="13">
      <c r="M517" s="12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</row>
    <row r="518" spans="13:24" ht="13">
      <c r="M518" s="12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</row>
    <row r="519" spans="13:24" ht="13">
      <c r="M519" s="12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</row>
    <row r="520" spans="13:24" ht="13">
      <c r="M520" s="12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</row>
    <row r="521" spans="13:24" ht="13">
      <c r="M521" s="12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</row>
    <row r="522" spans="13:24" ht="13">
      <c r="M522" s="12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</row>
    <row r="523" spans="13:24" ht="13">
      <c r="M523" s="12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</row>
    <row r="524" spans="13:24" ht="13">
      <c r="M524" s="12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</row>
    <row r="525" spans="13:24" ht="13">
      <c r="M525" s="12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</row>
    <row r="526" spans="13:24" ht="13">
      <c r="M526" s="12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</row>
    <row r="527" spans="13:24" ht="13">
      <c r="M527" s="12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</row>
    <row r="528" spans="13:24" ht="13">
      <c r="M528" s="12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</row>
    <row r="529" spans="13:24" ht="13">
      <c r="M529" s="12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</row>
    <row r="530" spans="13:24" ht="13">
      <c r="M530" s="12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</row>
    <row r="531" spans="13:24" ht="13">
      <c r="M531" s="12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</row>
    <row r="532" spans="13:24" ht="13">
      <c r="M532" s="12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</row>
    <row r="533" spans="13:24" ht="13">
      <c r="M533" s="12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</row>
    <row r="534" spans="13:24" ht="13">
      <c r="M534" s="12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</row>
    <row r="535" spans="13:24" ht="13">
      <c r="M535" s="12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</row>
    <row r="536" spans="13:24" ht="13">
      <c r="M536" s="12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</row>
    <row r="537" spans="13:24" ht="13">
      <c r="M537" s="12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</row>
    <row r="538" spans="13:24" ht="13">
      <c r="M538" s="12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</row>
    <row r="539" spans="13:24" ht="13">
      <c r="M539" s="12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</row>
    <row r="540" spans="13:24" ht="13">
      <c r="M540" s="12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</row>
    <row r="541" spans="13:24" ht="13">
      <c r="M541" s="12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</row>
    <row r="542" spans="13:24" ht="13">
      <c r="M542" s="12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</row>
    <row r="543" spans="13:24" ht="13">
      <c r="M543" s="12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</row>
    <row r="544" spans="13:24" ht="13">
      <c r="M544" s="12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</row>
    <row r="545" spans="13:24" ht="13">
      <c r="M545" s="12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</row>
    <row r="546" spans="13:24" ht="13">
      <c r="M546" s="12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</row>
    <row r="547" spans="13:24" ht="13">
      <c r="M547" s="12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</row>
    <row r="548" spans="13:24" ht="13">
      <c r="M548" s="12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</row>
    <row r="549" spans="13:24" ht="13">
      <c r="M549" s="12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</row>
    <row r="550" spans="13:24" ht="13">
      <c r="M550" s="12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</row>
    <row r="551" spans="13:24" ht="13">
      <c r="M551" s="12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</row>
    <row r="552" spans="13:24" ht="13">
      <c r="M552" s="12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</row>
    <row r="553" spans="13:24" ht="13">
      <c r="M553" s="12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</row>
    <row r="554" spans="13:24" ht="13">
      <c r="M554" s="12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</row>
    <row r="555" spans="13:24" ht="13">
      <c r="M555" s="12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</row>
    <row r="556" spans="13:24" ht="13">
      <c r="M556" s="12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</row>
    <row r="557" spans="13:24" ht="13">
      <c r="M557" s="12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</row>
    <row r="558" spans="13:24" ht="13">
      <c r="M558" s="12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</row>
    <row r="559" spans="13:24" ht="13">
      <c r="M559" s="12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</row>
    <row r="560" spans="13:24" ht="13">
      <c r="M560" s="12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</row>
    <row r="561" spans="13:24" ht="13">
      <c r="M561" s="12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</row>
    <row r="562" spans="13:24" ht="13">
      <c r="M562" s="12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</row>
    <row r="563" spans="13:24" ht="13">
      <c r="M563" s="12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</row>
    <row r="564" spans="13:24" ht="13">
      <c r="M564" s="12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</row>
    <row r="565" spans="13:24" ht="13">
      <c r="M565" s="12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</row>
    <row r="566" spans="13:24" ht="13">
      <c r="M566" s="12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</row>
    <row r="567" spans="13:24" ht="13">
      <c r="M567" s="12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</row>
    <row r="568" spans="13:24" ht="13">
      <c r="M568" s="12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</row>
    <row r="569" spans="13:24" ht="13">
      <c r="M569" s="12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</row>
    <row r="570" spans="13:24" ht="13">
      <c r="M570" s="12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</row>
    <row r="571" spans="13:24" ht="13">
      <c r="M571" s="12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</row>
    <row r="572" spans="13:24" ht="13">
      <c r="M572" s="12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</row>
    <row r="573" spans="13:24" ht="13">
      <c r="M573" s="12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</row>
    <row r="574" spans="13:24" ht="13">
      <c r="M574" s="12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</row>
    <row r="575" spans="13:24" ht="13">
      <c r="M575" s="12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</row>
    <row r="576" spans="13:24" ht="13">
      <c r="M576" s="12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</row>
    <row r="577" spans="13:24" ht="13">
      <c r="M577" s="12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</row>
    <row r="578" spans="13:24" ht="13">
      <c r="M578" s="12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</row>
    <row r="579" spans="13:24" ht="13">
      <c r="M579" s="12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</row>
    <row r="580" spans="13:24" ht="13">
      <c r="M580" s="12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</row>
    <row r="581" spans="13:24" ht="13">
      <c r="M581" s="12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</row>
    <row r="582" spans="13:24" ht="13">
      <c r="M582" s="12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</row>
    <row r="583" spans="13:24" ht="13">
      <c r="M583" s="12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</row>
    <row r="584" spans="13:24" ht="13">
      <c r="M584" s="12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</row>
    <row r="585" spans="13:24" ht="13">
      <c r="M585" s="12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</row>
    <row r="586" spans="13:24" ht="13">
      <c r="M586" s="12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</row>
    <row r="587" spans="13:24" ht="13">
      <c r="M587" s="12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</row>
    <row r="588" spans="13:24" ht="13">
      <c r="M588" s="12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</row>
    <row r="589" spans="13:24" ht="13">
      <c r="M589" s="12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</row>
    <row r="590" spans="13:24" ht="13">
      <c r="M590" s="12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</row>
    <row r="591" spans="13:24" ht="13">
      <c r="M591" s="12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</row>
    <row r="592" spans="13:24" ht="13">
      <c r="M592" s="12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</row>
    <row r="593" spans="13:24" ht="13">
      <c r="M593" s="12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</row>
    <row r="594" spans="13:24" ht="13">
      <c r="M594" s="12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</row>
    <row r="595" spans="13:24" ht="13">
      <c r="M595" s="12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</row>
    <row r="596" spans="13:24" ht="13">
      <c r="M596" s="12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</row>
    <row r="597" spans="13:24" ht="13">
      <c r="M597" s="12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</row>
    <row r="598" spans="13:24" ht="13">
      <c r="M598" s="12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</row>
    <row r="599" spans="13:24" ht="13">
      <c r="M599" s="12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</row>
    <row r="600" spans="13:24" ht="13">
      <c r="M600" s="12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</row>
    <row r="601" spans="13:24" ht="13">
      <c r="M601" s="12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</row>
    <row r="602" spans="13:24" ht="13">
      <c r="M602" s="12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</row>
    <row r="603" spans="13:24" ht="13">
      <c r="M603" s="12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</row>
    <row r="604" spans="13:24" ht="13">
      <c r="M604" s="12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</row>
    <row r="605" spans="13:24" ht="13">
      <c r="M605" s="12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</row>
    <row r="606" spans="13:24" ht="13">
      <c r="M606" s="12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</row>
    <row r="607" spans="13:24" ht="13">
      <c r="M607" s="12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</row>
    <row r="608" spans="13:24" ht="13">
      <c r="M608" s="12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</row>
    <row r="609" spans="13:24" ht="13">
      <c r="M609" s="12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</row>
    <row r="610" spans="13:24" ht="13">
      <c r="M610" s="12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</row>
    <row r="611" spans="13:24" ht="13">
      <c r="M611" s="12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</row>
    <row r="612" spans="13:24" ht="13">
      <c r="M612" s="12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</row>
    <row r="613" spans="13:24" ht="13">
      <c r="M613" s="12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</row>
    <row r="614" spans="13:24" ht="13">
      <c r="M614" s="12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</row>
    <row r="615" spans="13:24" ht="13">
      <c r="M615" s="12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</row>
    <row r="616" spans="13:24" ht="13">
      <c r="M616" s="12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</row>
    <row r="617" spans="13:24" ht="13">
      <c r="M617" s="12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</row>
    <row r="618" spans="13:24" ht="13">
      <c r="M618" s="12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</row>
    <row r="619" spans="13:24" ht="13">
      <c r="M619" s="12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</row>
    <row r="620" spans="13:24" ht="13">
      <c r="M620" s="12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</row>
    <row r="621" spans="13:24" ht="13">
      <c r="M621" s="12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</row>
    <row r="622" spans="13:24" ht="13">
      <c r="M622" s="12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</row>
    <row r="623" spans="13:24" ht="13">
      <c r="M623" s="12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</row>
    <row r="624" spans="13:24" ht="13">
      <c r="M624" s="12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</row>
    <row r="625" spans="13:24" ht="13">
      <c r="M625" s="12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</row>
    <row r="626" spans="13:24" ht="13">
      <c r="M626" s="12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</row>
    <row r="627" spans="13:24" ht="13">
      <c r="M627" s="12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</row>
    <row r="628" spans="13:24" ht="13">
      <c r="M628" s="12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</row>
    <row r="629" spans="13:24" ht="13">
      <c r="M629" s="12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</row>
    <row r="630" spans="13:24" ht="13">
      <c r="M630" s="12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</row>
    <row r="631" spans="13:24" ht="13">
      <c r="M631" s="12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</row>
    <row r="632" spans="13:24" ht="13">
      <c r="M632" s="12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</row>
    <row r="633" spans="13:24" ht="13">
      <c r="M633" s="12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</row>
    <row r="634" spans="13:24" ht="13">
      <c r="M634" s="12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</row>
    <row r="635" spans="13:24" ht="13">
      <c r="M635" s="12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</row>
    <row r="636" spans="13:24" ht="13">
      <c r="M636" s="12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</row>
    <row r="637" spans="13:24" ht="13">
      <c r="M637" s="12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</row>
    <row r="638" spans="13:24" ht="13">
      <c r="M638" s="12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</row>
    <row r="639" spans="13:24" ht="13">
      <c r="M639" s="12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</row>
    <row r="640" spans="13:24" ht="13">
      <c r="M640" s="12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</row>
    <row r="641" spans="13:24" ht="13">
      <c r="M641" s="12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</row>
    <row r="642" spans="13:24" ht="13">
      <c r="M642" s="12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</row>
    <row r="643" spans="13:24" ht="13">
      <c r="M643" s="12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</row>
    <row r="644" spans="13:24" ht="13">
      <c r="M644" s="12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</row>
    <row r="645" spans="13:24" ht="13">
      <c r="M645" s="12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</row>
    <row r="646" spans="13:24" ht="13">
      <c r="M646" s="12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</row>
    <row r="647" spans="13:24" ht="13">
      <c r="M647" s="12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</row>
    <row r="648" spans="13:24" ht="13">
      <c r="M648" s="12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</row>
    <row r="649" spans="13:24" ht="13">
      <c r="M649" s="12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</row>
    <row r="650" spans="13:24" ht="13">
      <c r="M650" s="12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</row>
    <row r="651" spans="13:24" ht="13">
      <c r="M651" s="12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</row>
    <row r="652" spans="13:24" ht="13">
      <c r="M652" s="12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</row>
    <row r="653" spans="13:24" ht="13">
      <c r="M653" s="12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</row>
    <row r="654" spans="13:24" ht="13">
      <c r="M654" s="12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</row>
    <row r="655" spans="13:24" ht="13">
      <c r="M655" s="12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</row>
    <row r="656" spans="13:24" ht="13">
      <c r="M656" s="12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</row>
    <row r="657" spans="13:24" ht="13">
      <c r="M657" s="12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</row>
    <row r="658" spans="13:24" ht="13">
      <c r="M658" s="12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</row>
    <row r="659" spans="13:24" ht="13">
      <c r="M659" s="12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</row>
    <row r="660" spans="13:24" ht="13">
      <c r="M660" s="12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</row>
    <row r="661" spans="13:24" ht="13">
      <c r="M661" s="12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</row>
    <row r="662" spans="13:24" ht="13">
      <c r="M662" s="12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</row>
    <row r="663" spans="13:24" ht="13">
      <c r="M663" s="12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</row>
    <row r="664" spans="13:24" ht="13">
      <c r="M664" s="12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</row>
    <row r="665" spans="13:24" ht="13">
      <c r="M665" s="12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</row>
    <row r="666" spans="13:24" ht="13">
      <c r="M666" s="12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</row>
    <row r="667" spans="13:24" ht="13">
      <c r="M667" s="12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</row>
    <row r="668" spans="13:24" ht="13">
      <c r="M668" s="12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</row>
    <row r="669" spans="13:24" ht="13">
      <c r="M669" s="12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</row>
    <row r="670" spans="13:24" ht="13">
      <c r="M670" s="12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</row>
    <row r="671" spans="13:24" ht="13">
      <c r="M671" s="12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</row>
    <row r="672" spans="13:24" ht="13">
      <c r="M672" s="12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</row>
    <row r="673" spans="13:24" ht="13">
      <c r="M673" s="12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</row>
    <row r="674" spans="13:24" ht="13">
      <c r="M674" s="12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</row>
    <row r="675" spans="13:24" ht="13">
      <c r="M675" s="12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</row>
    <row r="676" spans="13:24" ht="13">
      <c r="M676" s="12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</row>
    <row r="677" spans="13:24" ht="13">
      <c r="M677" s="12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</row>
    <row r="678" spans="13:24" ht="13">
      <c r="M678" s="12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</row>
    <row r="679" spans="13:24" ht="13">
      <c r="M679" s="12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</row>
    <row r="680" spans="13:24" ht="13">
      <c r="M680" s="12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</row>
    <row r="681" spans="13:24" ht="13">
      <c r="M681" s="12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</row>
    <row r="682" spans="13:24" ht="13">
      <c r="M682" s="12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</row>
    <row r="683" spans="13:24" ht="13">
      <c r="M683" s="12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</row>
    <row r="684" spans="13:24" ht="13">
      <c r="M684" s="12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</row>
    <row r="685" spans="13:24" ht="13">
      <c r="M685" s="12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</row>
    <row r="686" spans="13:24" ht="13">
      <c r="M686" s="12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</row>
    <row r="687" spans="13:24" ht="13">
      <c r="M687" s="12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</row>
    <row r="688" spans="13:24" ht="13">
      <c r="M688" s="12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</row>
    <row r="689" spans="13:24" ht="13">
      <c r="M689" s="12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</row>
    <row r="690" spans="13:24" ht="13">
      <c r="M690" s="12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</row>
    <row r="691" spans="13:24" ht="13">
      <c r="M691" s="12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</row>
    <row r="692" spans="13:24" ht="13">
      <c r="M692" s="12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</row>
    <row r="693" spans="13:24" ht="13">
      <c r="M693" s="12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</row>
    <row r="694" spans="13:24" ht="13">
      <c r="M694" s="12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</row>
    <row r="695" spans="13:24" ht="13">
      <c r="M695" s="12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</row>
    <row r="696" spans="13:24" ht="13">
      <c r="M696" s="12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</row>
    <row r="697" spans="13:24" ht="13">
      <c r="M697" s="12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</row>
    <row r="698" spans="13:24" ht="13">
      <c r="M698" s="12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</row>
    <row r="699" spans="13:24" ht="13">
      <c r="M699" s="12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</row>
    <row r="700" spans="13:24" ht="13">
      <c r="M700" s="12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</row>
    <row r="701" spans="13:24" ht="13">
      <c r="M701" s="12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</row>
    <row r="702" spans="13:24" ht="13">
      <c r="M702" s="12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</row>
    <row r="703" spans="13:24" ht="13">
      <c r="M703" s="12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</row>
    <row r="704" spans="13:24" ht="13">
      <c r="M704" s="12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</row>
    <row r="705" spans="13:24" ht="13">
      <c r="M705" s="12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</row>
    <row r="706" spans="13:24" ht="13">
      <c r="M706" s="12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</row>
    <row r="707" spans="13:24" ht="13">
      <c r="M707" s="12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</row>
    <row r="708" spans="13:24" ht="13">
      <c r="M708" s="12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</row>
    <row r="709" spans="13:24" ht="13">
      <c r="M709" s="12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</row>
    <row r="710" spans="13:24" ht="13">
      <c r="M710" s="12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</row>
    <row r="711" spans="13:24" ht="13">
      <c r="M711" s="12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</row>
    <row r="712" spans="13:24" ht="13">
      <c r="M712" s="12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</row>
    <row r="713" spans="13:24" ht="13">
      <c r="M713" s="12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</row>
    <row r="714" spans="13:24" ht="13">
      <c r="M714" s="12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</row>
    <row r="715" spans="13:24" ht="13">
      <c r="M715" s="12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</row>
    <row r="716" spans="13:24" ht="13">
      <c r="M716" s="12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</row>
    <row r="717" spans="13:24" ht="13">
      <c r="M717" s="12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</row>
    <row r="718" spans="13:24" ht="13">
      <c r="M718" s="12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</row>
    <row r="719" spans="13:24" ht="13">
      <c r="M719" s="12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</row>
    <row r="720" spans="13:24" ht="13">
      <c r="M720" s="12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</row>
    <row r="721" spans="13:24" ht="13">
      <c r="M721" s="12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</row>
    <row r="722" spans="13:24" ht="13">
      <c r="M722" s="12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</row>
    <row r="723" spans="13:24" ht="13">
      <c r="M723" s="12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</row>
    <row r="724" spans="13:24" ht="13">
      <c r="M724" s="12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</row>
    <row r="725" spans="13:24" ht="13">
      <c r="M725" s="12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</row>
    <row r="726" spans="13:24" ht="13">
      <c r="M726" s="12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</row>
    <row r="727" spans="13:24" ht="13">
      <c r="M727" s="12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</row>
    <row r="728" spans="13:24" ht="13">
      <c r="M728" s="12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</row>
    <row r="729" spans="13:24" ht="13">
      <c r="M729" s="12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</row>
    <row r="730" spans="13:24" ht="13">
      <c r="M730" s="12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</row>
    <row r="731" spans="13:24" ht="13">
      <c r="M731" s="12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</row>
    <row r="732" spans="13:24" ht="13">
      <c r="M732" s="12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</row>
    <row r="733" spans="13:24" ht="13">
      <c r="M733" s="12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</row>
    <row r="734" spans="13:24" ht="13">
      <c r="M734" s="12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</row>
    <row r="735" spans="13:24" ht="13">
      <c r="M735" s="12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</row>
    <row r="736" spans="13:24" ht="13">
      <c r="M736" s="12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</row>
    <row r="737" spans="13:24" ht="13">
      <c r="M737" s="12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</row>
    <row r="738" spans="13:24" ht="13">
      <c r="M738" s="12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</row>
    <row r="739" spans="13:24" ht="13">
      <c r="M739" s="12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</row>
    <row r="740" spans="13:24" ht="13">
      <c r="M740" s="12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</row>
    <row r="741" spans="13:24" ht="13">
      <c r="M741" s="12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</row>
    <row r="742" spans="13:24" ht="13">
      <c r="M742" s="12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</row>
    <row r="743" spans="13:24" ht="13">
      <c r="M743" s="12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</row>
    <row r="744" spans="13:24" ht="13">
      <c r="M744" s="12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</row>
    <row r="745" spans="13:24" ht="13">
      <c r="M745" s="12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</row>
    <row r="746" spans="13:24" ht="13">
      <c r="M746" s="12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</row>
    <row r="747" spans="13:24" ht="13">
      <c r="M747" s="12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</row>
    <row r="748" spans="13:24" ht="13">
      <c r="M748" s="12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</row>
    <row r="749" spans="13:24" ht="13">
      <c r="M749" s="12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</row>
    <row r="750" spans="13:24" ht="13">
      <c r="M750" s="12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</row>
    <row r="751" spans="13:24" ht="13">
      <c r="M751" s="12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</row>
    <row r="752" spans="13:24" ht="13">
      <c r="M752" s="12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</row>
    <row r="753" spans="13:24" ht="13">
      <c r="M753" s="12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</row>
    <row r="754" spans="13:24" ht="13">
      <c r="M754" s="12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</row>
    <row r="755" spans="13:24" ht="13">
      <c r="M755" s="12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</row>
    <row r="756" spans="13:24" ht="13">
      <c r="M756" s="12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</row>
    <row r="757" spans="13:24" ht="13">
      <c r="M757" s="12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</row>
    <row r="758" spans="13:24" ht="13">
      <c r="M758" s="12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</row>
    <row r="759" spans="13:24" ht="13">
      <c r="M759" s="12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</row>
    <row r="760" spans="13:24" ht="13">
      <c r="M760" s="12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</row>
    <row r="761" spans="13:24" ht="13">
      <c r="M761" s="12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</row>
    <row r="762" spans="13:24" ht="13">
      <c r="M762" s="12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</row>
    <row r="763" spans="13:24" ht="13">
      <c r="M763" s="12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</row>
    <row r="764" spans="13:24" ht="13">
      <c r="M764" s="12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</row>
    <row r="765" spans="13:24" ht="13">
      <c r="M765" s="12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</row>
    <row r="766" spans="13:24" ht="13">
      <c r="M766" s="12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</row>
    <row r="767" spans="13:24" ht="13">
      <c r="M767" s="12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</row>
    <row r="768" spans="13:24" ht="13">
      <c r="M768" s="12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</row>
    <row r="769" spans="13:24" ht="13">
      <c r="M769" s="12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</row>
    <row r="770" spans="13:24" ht="13">
      <c r="M770" s="12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</row>
    <row r="771" spans="13:24" ht="13">
      <c r="M771" s="12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</row>
    <row r="772" spans="13:24" ht="13">
      <c r="M772" s="12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</row>
    <row r="773" spans="13:24" ht="13">
      <c r="M773" s="12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</row>
    <row r="774" spans="13:24" ht="13">
      <c r="M774" s="12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</row>
    <row r="775" spans="13:24" ht="13">
      <c r="M775" s="12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</row>
    <row r="776" spans="13:24" ht="13">
      <c r="M776" s="12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</row>
    <row r="777" spans="13:24" ht="13">
      <c r="M777" s="12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</row>
    <row r="778" spans="13:24" ht="13">
      <c r="M778" s="12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</row>
    <row r="779" spans="13:24" ht="13">
      <c r="M779" s="12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</row>
    <row r="780" spans="13:24" ht="13">
      <c r="M780" s="12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</row>
    <row r="781" spans="13:24" ht="13">
      <c r="M781" s="12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</row>
    <row r="782" spans="13:24" ht="13">
      <c r="M782" s="12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</row>
    <row r="783" spans="13:24" ht="13">
      <c r="M783" s="12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</row>
    <row r="784" spans="13:24" ht="13">
      <c r="M784" s="12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</row>
    <row r="785" spans="13:24" ht="13">
      <c r="M785" s="12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</row>
    <row r="786" spans="13:24" ht="13">
      <c r="M786" s="12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</row>
    <row r="787" spans="13:24" ht="13">
      <c r="M787" s="12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</row>
    <row r="788" spans="13:24" ht="13">
      <c r="M788" s="12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</row>
    <row r="789" spans="13:24" ht="13">
      <c r="M789" s="12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</row>
    <row r="790" spans="13:24" ht="13">
      <c r="M790" s="12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</row>
    <row r="791" spans="13:24" ht="13">
      <c r="M791" s="12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</row>
    <row r="792" spans="13:24" ht="13">
      <c r="M792" s="12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</row>
    <row r="793" spans="13:24" ht="13">
      <c r="M793" s="12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</row>
    <row r="794" spans="13:24" ht="13">
      <c r="M794" s="12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</row>
    <row r="795" spans="13:24" ht="13">
      <c r="M795" s="12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</row>
    <row r="796" spans="13:24" ht="13">
      <c r="M796" s="12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</row>
    <row r="797" spans="13:24" ht="13">
      <c r="M797" s="12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</row>
    <row r="798" spans="13:24" ht="13">
      <c r="M798" s="12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</row>
    <row r="799" spans="13:24" ht="13">
      <c r="M799" s="12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</row>
    <row r="800" spans="13:24" ht="13">
      <c r="M800" s="12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</row>
    <row r="801" spans="13:24" ht="13">
      <c r="M801" s="12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</row>
    <row r="802" spans="13:24" ht="13">
      <c r="M802" s="12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</row>
    <row r="803" spans="13:24" ht="13">
      <c r="M803" s="12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</row>
    <row r="804" spans="13:24" ht="13">
      <c r="M804" s="12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</row>
    <row r="805" spans="13:24" ht="13">
      <c r="M805" s="12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</row>
    <row r="806" spans="13:24" ht="13">
      <c r="M806" s="12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</row>
    <row r="807" spans="13:24" ht="13">
      <c r="M807" s="12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</row>
    <row r="808" spans="13:24" ht="13">
      <c r="M808" s="12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</row>
    <row r="809" spans="13:24" ht="13">
      <c r="M809" s="12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</row>
    <row r="810" spans="13:24" ht="13">
      <c r="M810" s="12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</row>
    <row r="811" spans="13:24" ht="13">
      <c r="M811" s="12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</row>
    <row r="812" spans="13:24" ht="13">
      <c r="M812" s="12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</row>
    <row r="813" spans="13:24" ht="13">
      <c r="M813" s="12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</row>
    <row r="814" spans="13:24" ht="13">
      <c r="M814" s="12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</row>
    <row r="815" spans="13:24" ht="13">
      <c r="M815" s="12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</row>
    <row r="816" spans="13:24" ht="13">
      <c r="M816" s="12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</row>
    <row r="817" spans="13:24" ht="13">
      <c r="M817" s="12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</row>
    <row r="818" spans="13:24" ht="13">
      <c r="M818" s="12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</row>
    <row r="819" spans="13:24" ht="13">
      <c r="M819" s="12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</row>
    <row r="820" spans="13:24" ht="13">
      <c r="M820" s="12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</row>
    <row r="821" spans="13:24" ht="13">
      <c r="M821" s="12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</row>
    <row r="822" spans="13:24" ht="13">
      <c r="M822" s="12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</row>
    <row r="823" spans="13:24" ht="13">
      <c r="M823" s="12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</row>
    <row r="824" spans="13:24" ht="13">
      <c r="M824" s="12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</row>
    <row r="825" spans="13:24" ht="13">
      <c r="M825" s="12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</row>
    <row r="826" spans="13:24" ht="13">
      <c r="M826" s="12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</row>
    <row r="827" spans="13:24" ht="13">
      <c r="M827" s="12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</row>
    <row r="828" spans="13:24" ht="13">
      <c r="M828" s="12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</row>
    <row r="829" spans="13:24" ht="13">
      <c r="M829" s="12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</row>
    <row r="830" spans="13:24" ht="13">
      <c r="M830" s="12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</row>
    <row r="831" spans="13:24" ht="13">
      <c r="M831" s="12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</row>
    <row r="832" spans="13:24" ht="13">
      <c r="M832" s="12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</row>
    <row r="833" spans="13:24" ht="13">
      <c r="M833" s="12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</row>
    <row r="834" spans="13:24" ht="13">
      <c r="M834" s="12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</row>
    <row r="835" spans="13:24" ht="13">
      <c r="M835" s="12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</row>
    <row r="836" spans="13:24" ht="13">
      <c r="M836" s="12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</row>
    <row r="837" spans="13:24" ht="13">
      <c r="M837" s="12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</row>
    <row r="838" spans="13:24" ht="13">
      <c r="M838" s="12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</row>
    <row r="839" spans="13:24" ht="13">
      <c r="M839" s="12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</row>
    <row r="840" spans="13:24" ht="13">
      <c r="M840" s="12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</row>
    <row r="841" spans="13:24" ht="13">
      <c r="M841" s="12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</row>
    <row r="842" spans="13:24" ht="13">
      <c r="M842" s="12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</row>
    <row r="843" spans="13:24" ht="13">
      <c r="M843" s="12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</row>
    <row r="844" spans="13:24" ht="13">
      <c r="M844" s="12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</row>
    <row r="845" spans="13:24" ht="13">
      <c r="M845" s="12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</row>
    <row r="846" spans="13:24" ht="13">
      <c r="M846" s="12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</row>
    <row r="847" spans="13:24" ht="13">
      <c r="M847" s="12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</row>
    <row r="848" spans="13:24" ht="13">
      <c r="M848" s="12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</row>
    <row r="849" spans="13:24" ht="13">
      <c r="M849" s="12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</row>
    <row r="850" spans="13:24" ht="13">
      <c r="M850" s="12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</row>
    <row r="851" spans="13:24" ht="13">
      <c r="M851" s="12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</row>
    <row r="852" spans="13:24" ht="13">
      <c r="M852" s="12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</row>
    <row r="853" spans="13:24" ht="13">
      <c r="M853" s="12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</row>
    <row r="854" spans="13:24" ht="13">
      <c r="M854" s="12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</row>
    <row r="855" spans="13:24" ht="13">
      <c r="M855" s="12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</row>
    <row r="856" spans="13:24" ht="13">
      <c r="M856" s="12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</row>
    <row r="857" spans="13:24" ht="13">
      <c r="M857" s="12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</row>
    <row r="858" spans="13:24" ht="13">
      <c r="M858" s="12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</row>
    <row r="859" spans="13:24" ht="13">
      <c r="M859" s="12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</row>
    <row r="860" spans="13:24" ht="13">
      <c r="M860" s="12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</row>
    <row r="861" spans="13:24" ht="13">
      <c r="M861" s="12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</row>
    <row r="862" spans="13:24" ht="13">
      <c r="M862" s="12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</row>
    <row r="863" spans="13:24" ht="13">
      <c r="M863" s="12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</row>
    <row r="864" spans="13:24" ht="13">
      <c r="M864" s="12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</row>
    <row r="865" spans="13:24" ht="13">
      <c r="M865" s="12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</row>
    <row r="866" spans="13:24" ht="13">
      <c r="M866" s="12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</row>
    <row r="867" spans="13:24" ht="13">
      <c r="M867" s="12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</row>
    <row r="868" spans="13:24" ht="13">
      <c r="M868" s="12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</row>
    <row r="869" spans="13:24" ht="13">
      <c r="M869" s="12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</row>
    <row r="870" spans="13:24" ht="13">
      <c r="M870" s="12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</row>
    <row r="871" spans="13:24" ht="13">
      <c r="M871" s="12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</row>
    <row r="872" spans="13:24" ht="13">
      <c r="M872" s="12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</row>
    <row r="873" spans="13:24" ht="13">
      <c r="M873" s="12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</row>
    <row r="874" spans="13:24" ht="13">
      <c r="M874" s="12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</row>
    <row r="875" spans="13:24" ht="13">
      <c r="M875" s="12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</row>
    <row r="876" spans="13:24" ht="13">
      <c r="M876" s="12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</row>
    <row r="877" spans="13:24" ht="13">
      <c r="M877" s="12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</row>
    <row r="878" spans="13:24" ht="13">
      <c r="M878" s="12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</row>
    <row r="879" spans="13:24" ht="13">
      <c r="M879" s="12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</row>
    <row r="880" spans="13:24" ht="13">
      <c r="M880" s="12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</row>
    <row r="881" spans="13:24" ht="13">
      <c r="M881" s="12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</row>
    <row r="882" spans="13:24" ht="13">
      <c r="M882" s="12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</row>
    <row r="883" spans="13:24" ht="13">
      <c r="M883" s="12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</row>
    <row r="884" spans="13:24" ht="13">
      <c r="M884" s="12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</row>
    <row r="885" spans="13:24" ht="13">
      <c r="M885" s="12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</row>
    <row r="886" spans="13:24" ht="13">
      <c r="M886" s="12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</row>
    <row r="887" spans="13:24" ht="13">
      <c r="M887" s="12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</row>
    <row r="888" spans="13:24" ht="13">
      <c r="M888" s="12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</row>
    <row r="889" spans="13:24" ht="13">
      <c r="M889" s="12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</row>
    <row r="890" spans="13:24" ht="13">
      <c r="M890" s="12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</row>
    <row r="891" spans="13:24" ht="13">
      <c r="M891" s="12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</row>
    <row r="892" spans="13:24" ht="13">
      <c r="M892" s="12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</row>
    <row r="893" spans="13:24" ht="13">
      <c r="M893" s="12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</row>
    <row r="894" spans="13:24" ht="13">
      <c r="M894" s="12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</row>
    <row r="895" spans="13:24" ht="13">
      <c r="M895" s="12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</row>
    <row r="896" spans="13:24" ht="13">
      <c r="M896" s="12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</row>
    <row r="897" spans="13:24" ht="13">
      <c r="M897" s="12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</row>
    <row r="898" spans="13:24" ht="13">
      <c r="M898" s="12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</row>
    <row r="899" spans="13:24" ht="13">
      <c r="M899" s="12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</row>
    <row r="900" spans="13:24" ht="13">
      <c r="M900" s="12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</row>
    <row r="901" spans="13:24" ht="13">
      <c r="M901" s="12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</row>
    <row r="902" spans="13:24" ht="13">
      <c r="M902" s="12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</row>
    <row r="903" spans="13:24" ht="13">
      <c r="M903" s="12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</row>
    <row r="904" spans="13:24" ht="13">
      <c r="M904" s="12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</row>
    <row r="905" spans="13:24" ht="13">
      <c r="M905" s="12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</row>
    <row r="906" spans="13:24" ht="13">
      <c r="M906" s="12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</row>
    <row r="907" spans="13:24" ht="13">
      <c r="M907" s="12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</row>
    <row r="908" spans="13:24" ht="13">
      <c r="M908" s="12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</row>
    <row r="909" spans="13:24" ht="13">
      <c r="M909" s="12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</row>
    <row r="910" spans="13:24" ht="13">
      <c r="M910" s="12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</row>
    <row r="911" spans="13:24" ht="13">
      <c r="M911" s="12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</row>
    <row r="912" spans="13:24" ht="13">
      <c r="M912" s="12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</row>
    <row r="913" spans="13:24" ht="13">
      <c r="M913" s="12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</row>
    <row r="914" spans="13:24" ht="13">
      <c r="M914" s="12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</row>
    <row r="915" spans="13:24" ht="13">
      <c r="M915" s="12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</row>
    <row r="916" spans="13:24" ht="13">
      <c r="M916" s="12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</row>
    <row r="917" spans="13:24" ht="13">
      <c r="M917" s="12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</row>
    <row r="918" spans="13:24" ht="13">
      <c r="M918" s="12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</row>
    <row r="919" spans="13:24" ht="13">
      <c r="M919" s="12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</row>
    <row r="920" spans="13:24" ht="13">
      <c r="M920" s="12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</row>
    <row r="921" spans="13:24" ht="13">
      <c r="M921" s="12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</row>
    <row r="922" spans="13:24" ht="13">
      <c r="M922" s="12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</row>
    <row r="923" spans="13:24" ht="13">
      <c r="M923" s="12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</row>
    <row r="924" spans="13:24" ht="13">
      <c r="M924" s="12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</row>
    <row r="925" spans="13:24" ht="13">
      <c r="M925" s="12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</row>
    <row r="926" spans="13:24" ht="13">
      <c r="M926" s="12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</row>
    <row r="927" spans="13:24" ht="13">
      <c r="M927" s="12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</row>
    <row r="928" spans="13:24" ht="13">
      <c r="M928" s="12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</row>
    <row r="929" spans="13:24" ht="13">
      <c r="M929" s="12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</row>
    <row r="930" spans="13:24" ht="13">
      <c r="M930" s="12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</row>
    <row r="931" spans="13:24" ht="13">
      <c r="M931" s="12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</row>
    <row r="932" spans="13:24" ht="13">
      <c r="M932" s="12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</row>
    <row r="933" spans="13:24" ht="13">
      <c r="M933" s="12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</row>
    <row r="934" spans="13:24" ht="13">
      <c r="M934" s="12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</row>
    <row r="935" spans="13:24" ht="13">
      <c r="M935" s="12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</row>
    <row r="936" spans="13:24" ht="13">
      <c r="M936" s="12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</row>
    <row r="937" spans="13:24" ht="13">
      <c r="M937" s="12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</row>
    <row r="938" spans="13:24" ht="13">
      <c r="M938" s="12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</row>
    <row r="939" spans="13:24" ht="13">
      <c r="M939" s="12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</row>
    <row r="940" spans="13:24" ht="13">
      <c r="M940" s="12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</row>
    <row r="941" spans="13:24" ht="13">
      <c r="M941" s="12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</row>
  </sheetData>
  <conditionalFormatting sqref="C6:J6 N6">
    <cfRule type="cellIs" dxfId="17" priority="4" operator="lessThan">
      <formula>0</formula>
    </cfRule>
    <cfRule type="cellIs" dxfId="16" priority="3" operator="greaterThan">
      <formula>0</formula>
    </cfRule>
  </conditionalFormatting>
  <conditionalFormatting sqref="I6">
    <cfRule type="cellIs" dxfId="15" priority="5" operator="lessThan">
      <formula>0</formula>
    </cfRule>
  </conditionalFormatting>
  <conditionalFormatting sqref="O1:Q941 W1:X941 R2:V941 Y8:Z122">
    <cfRule type="cellIs" dxfId="14" priority="2" operator="lessThan">
      <formula>0</formula>
    </cfRule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431"/>
  <sheetViews>
    <sheetView workbookViewId="0"/>
  </sheetViews>
  <sheetFormatPr baseColWidth="10" defaultColWidth="12.6640625" defaultRowHeight="15" customHeight="1"/>
  <sheetData>
    <row r="1" spans="1:12">
      <c r="I1" s="31" t="s">
        <v>688</v>
      </c>
      <c r="J1" s="3" t="str">
        <f t="shared" ref="J1:J255" si="0">"NSE:"&amp;""&amp;I1</f>
        <v>NSE:360ONE</v>
      </c>
      <c r="K1" s="20">
        <f ca="1">IFERROR(__xludf.DUMMYFUNCTION("GOOGLEFINANCE(J1,""price"")"),752)</f>
        <v>752</v>
      </c>
    </row>
    <row r="2" spans="1:12">
      <c r="I2" s="31" t="s">
        <v>689</v>
      </c>
      <c r="J2" s="3" t="str">
        <f t="shared" si="0"/>
        <v>NSE:5PAISA</v>
      </c>
      <c r="K2" s="20">
        <f ca="1">IFERROR(__xludf.DUMMYFUNCTION("GOOGLEFINANCE(J2,""price"")"),553.25)</f>
        <v>553.25</v>
      </c>
      <c r="L2" s="20"/>
    </row>
    <row r="3" spans="1:12">
      <c r="I3" s="31" t="s">
        <v>690</v>
      </c>
      <c r="J3" s="3" t="str">
        <f t="shared" si="0"/>
        <v>NSE:63MOONS</v>
      </c>
      <c r="K3" s="20">
        <f ca="1">IFERROR(__xludf.DUMMYFUNCTION("GOOGLEFINANCE(J3,""price"")"),398.7)</f>
        <v>398.7</v>
      </c>
      <c r="L3" s="20"/>
    </row>
    <row r="4" spans="1:12">
      <c r="A4" s="31" t="s">
        <v>691</v>
      </c>
      <c r="B4" s="31" t="s">
        <v>692</v>
      </c>
      <c r="C4" s="31" t="s">
        <v>693</v>
      </c>
      <c r="D4" s="31" t="s">
        <v>694</v>
      </c>
      <c r="I4" s="31" t="s">
        <v>695</v>
      </c>
      <c r="J4" s="3" t="str">
        <f t="shared" si="0"/>
        <v>NSE:ABB</v>
      </c>
      <c r="K4" s="20">
        <f ca="1">IFERROR(__xludf.DUMMYFUNCTION("GOOGLEFINANCE(J4,""price"")"),6742)</f>
        <v>6742</v>
      </c>
      <c r="L4" s="20"/>
    </row>
    <row r="5" spans="1:12">
      <c r="A5" s="31" t="s">
        <v>696</v>
      </c>
      <c r="B5" s="31" t="s">
        <v>135</v>
      </c>
      <c r="C5" s="31" t="s">
        <v>693</v>
      </c>
      <c r="D5" s="31" t="s">
        <v>697</v>
      </c>
      <c r="I5" s="31" t="s">
        <v>698</v>
      </c>
      <c r="J5" s="3" t="str">
        <f t="shared" si="0"/>
        <v>NSE:ABBOTINDIA</v>
      </c>
      <c r="K5" s="20">
        <f ca="1">IFERROR(__xludf.DUMMYFUNCTION("GOOGLEFINANCE(J5,""price"")"),26499.95)</f>
        <v>26499.95</v>
      </c>
      <c r="L5" s="20"/>
    </row>
    <row r="6" spans="1:12">
      <c r="A6" s="31" t="s">
        <v>699</v>
      </c>
      <c r="B6" s="31" t="s">
        <v>700</v>
      </c>
      <c r="C6" s="31" t="s">
        <v>693</v>
      </c>
      <c r="D6" s="31" t="s">
        <v>694</v>
      </c>
      <c r="I6" s="31" t="s">
        <v>701</v>
      </c>
      <c r="J6" s="3" t="str">
        <f t="shared" si="0"/>
        <v>NSE:ACCELYA</v>
      </c>
      <c r="K6" s="20">
        <f ca="1">IFERROR(__xludf.DUMMYFUNCTION("GOOGLEFINANCE(J6,""price"")"),1865.55)</f>
        <v>1865.55</v>
      </c>
      <c r="L6" s="20"/>
    </row>
    <row r="7" spans="1:12">
      <c r="A7" s="202">
        <v>45293</v>
      </c>
      <c r="B7" s="31" t="s">
        <v>702</v>
      </c>
      <c r="C7" s="31" t="s">
        <v>693</v>
      </c>
      <c r="D7" s="31" t="s">
        <v>697</v>
      </c>
      <c r="I7" s="31" t="s">
        <v>703</v>
      </c>
      <c r="J7" s="3" t="str">
        <f t="shared" si="0"/>
        <v>NSE:ACE</v>
      </c>
      <c r="K7" s="20">
        <f ca="1">IFERROR(__xludf.DUMMYFUNCTION("GOOGLEFINANCE(J7,""price"")"),1490)</f>
        <v>1490</v>
      </c>
      <c r="L7" s="20"/>
    </row>
    <row r="8" spans="1:12">
      <c r="A8" s="202">
        <v>45293</v>
      </c>
      <c r="B8" s="31" t="s">
        <v>704</v>
      </c>
      <c r="C8" s="31" t="s">
        <v>693</v>
      </c>
      <c r="D8" s="31" t="s">
        <v>705</v>
      </c>
      <c r="I8" s="31" t="s">
        <v>706</v>
      </c>
      <c r="J8" s="3" t="str">
        <f t="shared" si="0"/>
        <v>NSE:ADSL</v>
      </c>
      <c r="K8" s="20">
        <f ca="1">IFERROR(__xludf.DUMMYFUNCTION("GOOGLEFINANCE(J8,""price"")"),143.5)</f>
        <v>143.5</v>
      </c>
      <c r="L8" s="20"/>
    </row>
    <row r="9" spans="1:12">
      <c r="A9" s="202">
        <v>45324</v>
      </c>
      <c r="B9" s="31" t="s">
        <v>707</v>
      </c>
      <c r="C9" s="31" t="s">
        <v>693</v>
      </c>
      <c r="D9" s="31" t="s">
        <v>708</v>
      </c>
      <c r="I9" s="31" t="s">
        <v>709</v>
      </c>
      <c r="J9" s="3" t="str">
        <f t="shared" si="0"/>
        <v>NSE:ADVANIHOTR</v>
      </c>
      <c r="K9" s="20">
        <f ca="1">IFERROR(__xludf.DUMMYFUNCTION("GOOGLEFINANCE(J9,""price"")"),82.15)</f>
        <v>82.15</v>
      </c>
      <c r="L9" s="20"/>
    </row>
    <row r="10" spans="1:12">
      <c r="A10" s="202">
        <v>45414</v>
      </c>
      <c r="B10" s="31" t="s">
        <v>710</v>
      </c>
      <c r="C10" s="31" t="s">
        <v>693</v>
      </c>
      <c r="D10" s="31" t="s">
        <v>705</v>
      </c>
      <c r="I10" s="31" t="s">
        <v>711</v>
      </c>
      <c r="J10" s="3" t="str">
        <f t="shared" si="0"/>
        <v>NSE:ADVENZYMES</v>
      </c>
      <c r="K10" s="20">
        <f ca="1">IFERROR(__xludf.DUMMYFUNCTION("GOOGLEFINANCE(J10,""price"")"),363.65)</f>
        <v>363.65</v>
      </c>
      <c r="L10" s="20"/>
    </row>
    <row r="11" spans="1:12">
      <c r="I11" s="31" t="s">
        <v>712</v>
      </c>
      <c r="J11" s="3" t="str">
        <f t="shared" si="0"/>
        <v>NSE:AEGISCHEM</v>
      </c>
      <c r="K11" s="20">
        <f ca="1">IFERROR(__xludf.DUMMYFUNCTION("GOOGLEFINANCE(J11,""price"")"),480)</f>
        <v>480</v>
      </c>
      <c r="L11" s="20"/>
    </row>
    <row r="12" spans="1:12">
      <c r="I12" s="31" t="s">
        <v>713</v>
      </c>
      <c r="J12" s="3" t="str">
        <f t="shared" si="0"/>
        <v>NSE:AHLUCONT</v>
      </c>
      <c r="K12" s="20">
        <f ca="1">IFERROR(__xludf.DUMMYFUNCTION("GOOGLEFINANCE(J12,""price"")"),1069.05)</f>
        <v>1069.05</v>
      </c>
      <c r="L12" s="20"/>
    </row>
    <row r="13" spans="1:12">
      <c r="I13" s="31" t="s">
        <v>714</v>
      </c>
      <c r="J13" s="3" t="str">
        <f t="shared" si="0"/>
        <v>NSE:AJANTPHARM</v>
      </c>
      <c r="K13" s="20">
        <f ca="1">IFERROR(__xludf.DUMMYFUNCTION("GOOGLEFINANCE(J13,""price"")"),2128.5)</f>
        <v>2128.5</v>
      </c>
      <c r="L13" s="20"/>
    </row>
    <row r="14" spans="1:12">
      <c r="I14" s="31" t="s">
        <v>715</v>
      </c>
      <c r="J14" s="3" t="str">
        <f t="shared" si="0"/>
        <v>NSE:AJMERA</v>
      </c>
      <c r="K14" s="20">
        <f ca="1">IFERROR(__xludf.DUMMYFUNCTION("GOOGLEFINANCE(J14,""price"")"),818)</f>
        <v>818</v>
      </c>
      <c r="L14" s="20"/>
    </row>
    <row r="15" spans="1:12">
      <c r="I15" s="31" t="s">
        <v>716</v>
      </c>
      <c r="J15" s="3" t="str">
        <f t="shared" si="0"/>
        <v>NSE:AKZOINDIA</v>
      </c>
      <c r="K15" s="20">
        <f ca="1">IFERROR(__xludf.DUMMYFUNCTION("GOOGLEFINANCE(J15,""price"")"),2460)</f>
        <v>2460</v>
      </c>
      <c r="L15" s="20"/>
    </row>
    <row r="16" spans="1:12">
      <c r="I16" s="31" t="s">
        <v>717</v>
      </c>
      <c r="J16" s="3" t="str">
        <f t="shared" si="0"/>
        <v>NSE:ALBERTDAVD</v>
      </c>
      <c r="K16" s="20">
        <f ca="1">IFERROR(__xludf.DUMMYFUNCTION("GOOGLEFINANCE(J16,""price"")"),1174)</f>
        <v>1174</v>
      </c>
      <c r="L16" s="20"/>
    </row>
    <row r="17" spans="9:12">
      <c r="I17" s="31" t="s">
        <v>718</v>
      </c>
      <c r="J17" s="3" t="str">
        <f t="shared" si="0"/>
        <v>NSE:ALEMBICLTD</v>
      </c>
      <c r="K17" s="20">
        <f ca="1">IFERROR(__xludf.DUMMYFUNCTION("GOOGLEFINANCE(J17,""price"")"),94.4)</f>
        <v>94.4</v>
      </c>
      <c r="L17" s="20"/>
    </row>
    <row r="18" spans="9:12">
      <c r="I18" s="31" t="s">
        <v>719</v>
      </c>
      <c r="J18" s="3" t="str">
        <f t="shared" si="0"/>
        <v>NSE:ALKEM</v>
      </c>
      <c r="K18" s="20">
        <f ca="1">IFERROR(__xludf.DUMMYFUNCTION("GOOGLEFINANCE(J18,""price"")"),4737)</f>
        <v>4737</v>
      </c>
      <c r="L18" s="20"/>
    </row>
    <row r="19" spans="9:12">
      <c r="I19" s="31" t="s">
        <v>720</v>
      </c>
      <c r="J19" s="3" t="str">
        <f t="shared" si="0"/>
        <v>NSE:ALLSEC</v>
      </c>
      <c r="K19" s="20">
        <f ca="1">IFERROR(__xludf.DUMMYFUNCTION("GOOGLEFINANCE(J19,""price"")"),725)</f>
        <v>725</v>
      </c>
      <c r="L19" s="20"/>
    </row>
    <row r="20" spans="9:12">
      <c r="I20" s="31" t="s">
        <v>721</v>
      </c>
      <c r="J20" s="3" t="str">
        <f t="shared" si="0"/>
        <v>NSE:ANANTRAJ</v>
      </c>
      <c r="K20" s="20">
        <f ca="1">IFERROR(__xludf.DUMMYFUNCTION("GOOGLEFINANCE(J20,""price"")"),340)</f>
        <v>340</v>
      </c>
      <c r="L20" s="20"/>
    </row>
    <row r="21" spans="9:12">
      <c r="I21" s="31" t="s">
        <v>722</v>
      </c>
      <c r="J21" s="3" t="str">
        <f t="shared" si="0"/>
        <v>NSE:ANUP</v>
      </c>
      <c r="K21" s="20">
        <f ca="1">IFERROR(__xludf.DUMMYFUNCTION("GOOGLEFINANCE(J21,""price"")"),3375)</f>
        <v>3375</v>
      </c>
      <c r="L21" s="20"/>
    </row>
    <row r="22" spans="9:12">
      <c r="I22" s="31" t="s">
        <v>723</v>
      </c>
      <c r="J22" s="3" t="str">
        <f t="shared" si="0"/>
        <v>NSE:APLLTD</v>
      </c>
      <c r="K22" s="20">
        <f ca="1">IFERROR(__xludf.DUMMYFUNCTION("GOOGLEFINANCE(J22,""price"")"),994)</f>
        <v>994</v>
      </c>
      <c r="L22" s="20"/>
    </row>
    <row r="23" spans="9:12">
      <c r="I23" s="31" t="s">
        <v>724</v>
      </c>
      <c r="J23" s="3" t="str">
        <f t="shared" si="0"/>
        <v>NSE:APOLLO</v>
      </c>
      <c r="K23" s="20">
        <f ca="1">IFERROR(__xludf.DUMMYFUNCTION("GOOGLEFINANCE(J23,""price"")"),112.2)</f>
        <v>112.2</v>
      </c>
      <c r="L23" s="20"/>
    </row>
    <row r="24" spans="9:12">
      <c r="I24" s="31" t="s">
        <v>725</v>
      </c>
      <c r="J24" s="3" t="str">
        <f t="shared" si="0"/>
        <v>NSE:APOLLOHOSP</v>
      </c>
      <c r="K24" s="20">
        <f ca="1">IFERROR(__xludf.DUMMYFUNCTION("GOOGLEFINANCE(J24,""price"")"),6414)</f>
        <v>6414</v>
      </c>
      <c r="L24" s="20"/>
    </row>
    <row r="25" spans="9:12">
      <c r="I25" s="31" t="s">
        <v>726</v>
      </c>
      <c r="J25" s="3" t="str">
        <f t="shared" si="0"/>
        <v>NSE:APOLLOPIPE</v>
      </c>
      <c r="K25" s="20">
        <f ca="1">IFERROR(__xludf.DUMMYFUNCTION("GOOGLEFINANCE(J25,""price"")"),660)</f>
        <v>660</v>
      </c>
      <c r="L25" s="20"/>
    </row>
    <row r="26" spans="9:12">
      <c r="I26" s="31" t="s">
        <v>727</v>
      </c>
      <c r="J26" s="3" t="str">
        <f t="shared" si="0"/>
        <v>NSE:APOLLOTYRE</v>
      </c>
      <c r="K26" s="20">
        <f ca="1">IFERROR(__xludf.DUMMYFUNCTION("GOOGLEFINANCE(J26,""price"")"),484)</f>
        <v>484</v>
      </c>
      <c r="L26" s="20"/>
    </row>
    <row r="27" spans="9:12">
      <c r="I27" s="31" t="s">
        <v>728</v>
      </c>
      <c r="J27" s="3" t="str">
        <f t="shared" si="0"/>
        <v>NSE:APOLSINHOT</v>
      </c>
      <c r="K27" s="20">
        <f ca="1">IFERROR(__xludf.DUMMYFUNCTION("GOOGLEFINANCE(J27,""price"")"),1867.6)</f>
        <v>1867.6</v>
      </c>
      <c r="L27" s="20"/>
    </row>
    <row r="28" spans="9:12">
      <c r="I28" s="31" t="s">
        <v>729</v>
      </c>
      <c r="J28" s="3" t="str">
        <f t="shared" si="0"/>
        <v>NSE:ARE&amp;M</v>
      </c>
      <c r="K28" s="20">
        <f ca="1">IFERROR(__xludf.DUMMYFUNCTION("GOOGLEFINANCE(J28,""price"")"),887)</f>
        <v>887</v>
      </c>
      <c r="L28" s="20"/>
    </row>
    <row r="29" spans="9:12">
      <c r="I29" s="31" t="s">
        <v>730</v>
      </c>
      <c r="J29" s="3" t="str">
        <f t="shared" si="0"/>
        <v>NSE:ARIHANTSUP</v>
      </c>
      <c r="K29" s="20">
        <f ca="1">IFERROR(__xludf.DUMMYFUNCTION("GOOGLEFINANCE(J29,""price"")"),364)</f>
        <v>364</v>
      </c>
      <c r="L29" s="20"/>
    </row>
    <row r="30" spans="9:12">
      <c r="I30" s="31" t="s">
        <v>731</v>
      </c>
      <c r="J30" s="3" t="str">
        <f t="shared" si="0"/>
        <v>NSE:ARVIND</v>
      </c>
      <c r="K30" s="20">
        <f ca="1">IFERROR(__xludf.DUMMYFUNCTION("GOOGLEFINANCE(J30,""price"")"),309.4)</f>
        <v>309.39999999999998</v>
      </c>
      <c r="L30" s="20"/>
    </row>
    <row r="31" spans="9:12">
      <c r="I31" s="31" t="s">
        <v>732</v>
      </c>
      <c r="J31" s="3" t="str">
        <f t="shared" si="0"/>
        <v>NSE:ARVSMART</v>
      </c>
      <c r="K31" s="20">
        <f ca="1">IFERROR(__xludf.DUMMYFUNCTION("GOOGLEFINANCE(J31,""price"")"),664.8)</f>
        <v>664.8</v>
      </c>
      <c r="L31" s="20"/>
    </row>
    <row r="32" spans="9:12">
      <c r="I32" s="31" t="s">
        <v>733</v>
      </c>
      <c r="J32" s="3" t="str">
        <f t="shared" si="0"/>
        <v>NSE:ASHAPURMIN</v>
      </c>
      <c r="K32" s="20">
        <f ca="1">IFERROR(__xludf.DUMMYFUNCTION("GOOGLEFINANCE(J32,""price"")"),346)</f>
        <v>346</v>
      </c>
      <c r="L32" s="20"/>
    </row>
    <row r="33" spans="9:12">
      <c r="I33" s="31" t="s">
        <v>734</v>
      </c>
      <c r="J33" s="3" t="str">
        <f t="shared" si="0"/>
        <v>NSE:ASHIANA</v>
      </c>
      <c r="K33" s="20">
        <f ca="1">IFERROR(__xludf.DUMMYFUNCTION("GOOGLEFINANCE(J33,""price"")"),334.2)</f>
        <v>334.2</v>
      </c>
      <c r="L33" s="20"/>
    </row>
    <row r="34" spans="9:12">
      <c r="I34" s="31" t="s">
        <v>735</v>
      </c>
      <c r="J34" s="3" t="str">
        <f t="shared" si="0"/>
        <v>NSE:ASHOKA</v>
      </c>
      <c r="K34" s="20">
        <f ca="1">IFERROR(__xludf.DUMMYFUNCTION("GOOGLEFINANCE(J34,""price"")"),172.4)</f>
        <v>172.4</v>
      </c>
      <c r="L34" s="20"/>
    </row>
    <row r="35" spans="9:12">
      <c r="I35" s="31" t="s">
        <v>736</v>
      </c>
      <c r="J35" s="3" t="str">
        <f t="shared" si="0"/>
        <v>NSE:ASMS</v>
      </c>
      <c r="K35" s="20">
        <f ca="1">IFERROR(__xludf.DUMMYFUNCTION("GOOGLEFINANCE(J35,""price"")"),21.2)</f>
        <v>21.2</v>
      </c>
      <c r="L35" s="20"/>
    </row>
    <row r="36" spans="9:12">
      <c r="I36" s="31" t="s">
        <v>737</v>
      </c>
      <c r="J36" s="3" t="str">
        <f t="shared" si="0"/>
        <v>NSE:ASTERDM</v>
      </c>
      <c r="K36" s="20">
        <f ca="1">IFERROR(__xludf.DUMMYFUNCTION("GOOGLEFINANCE(J36,""price"")"),487)</f>
        <v>487</v>
      </c>
      <c r="L36" s="20"/>
    </row>
    <row r="37" spans="9:12">
      <c r="I37" s="31" t="s">
        <v>738</v>
      </c>
      <c r="J37" s="3" t="str">
        <f t="shared" si="0"/>
        <v>NSE:ASTRAMICRO</v>
      </c>
      <c r="K37" s="20">
        <f ca="1">IFERROR(__xludf.DUMMYFUNCTION("GOOGLEFINANCE(J37,""price"")"),667.1)</f>
        <v>667.1</v>
      </c>
      <c r="L37" s="20"/>
    </row>
    <row r="38" spans="9:12">
      <c r="I38" s="31" t="s">
        <v>739</v>
      </c>
      <c r="J38" s="3" t="str">
        <f t="shared" si="0"/>
        <v>NSE:AURIONPRO</v>
      </c>
      <c r="K38" s="20">
        <f ca="1">IFERROR(__xludf.DUMMYFUNCTION("GOOGLEFINANCE(J38,""price"")"),2350.1)</f>
        <v>2350.1</v>
      </c>
      <c r="L38" s="20"/>
    </row>
    <row r="39" spans="9:12">
      <c r="I39" s="31" t="s">
        <v>740</v>
      </c>
      <c r="J39" s="3" t="str">
        <f t="shared" si="0"/>
        <v>NSE:BAJAJ-AUTO</v>
      </c>
      <c r="K39" s="20">
        <f ca="1">IFERROR(__xludf.DUMMYFUNCTION("GOOGLEFINANCE(J39,""price"")"),9074.15)</f>
        <v>9074.15</v>
      </c>
      <c r="L39" s="20"/>
    </row>
    <row r="40" spans="9:12">
      <c r="I40" s="31" t="s">
        <v>741</v>
      </c>
      <c r="J40" s="3" t="str">
        <f t="shared" si="0"/>
        <v>NSE:BAJAJHIND</v>
      </c>
      <c r="K40" s="20">
        <f ca="1">IFERROR(__xludf.DUMMYFUNCTION("GOOGLEFINANCE(J40,""price"")"),32.7)</f>
        <v>32.700000000000003</v>
      </c>
      <c r="L40" s="20"/>
    </row>
    <row r="41" spans="9:12">
      <c r="I41" s="31" t="s">
        <v>742</v>
      </c>
      <c r="J41" s="3" t="str">
        <f t="shared" si="0"/>
        <v>NSE:BAJAJHLDNG</v>
      </c>
      <c r="K41" s="20">
        <f ca="1">IFERROR(__xludf.DUMMYFUNCTION("GOOGLEFINANCE(J41,""price"")"),8190)</f>
        <v>8190</v>
      </c>
      <c r="L41" s="20"/>
    </row>
    <row r="42" spans="9:12">
      <c r="I42" s="31" t="s">
        <v>743</v>
      </c>
      <c r="J42" s="3" t="str">
        <f t="shared" si="0"/>
        <v>NSE:BALAXI</v>
      </c>
      <c r="K42" s="20">
        <f ca="1">IFERROR(__xludf.DUMMYFUNCTION("GOOGLEFINANCE(J42,""price"")"),571.7)</f>
        <v>571.70000000000005</v>
      </c>
      <c r="L42" s="20"/>
    </row>
    <row r="43" spans="9:12">
      <c r="I43" s="31" t="s">
        <v>744</v>
      </c>
      <c r="J43" s="3" t="str">
        <f t="shared" si="0"/>
        <v>NSE:BALMLAWRIE</v>
      </c>
      <c r="K43" s="20">
        <f ca="1">IFERROR(__xludf.DUMMYFUNCTION("GOOGLEFINANCE(J43,""price"")"),258)</f>
        <v>258</v>
      </c>
      <c r="L43" s="20"/>
    </row>
    <row r="44" spans="9:12">
      <c r="I44" s="31" t="s">
        <v>745</v>
      </c>
      <c r="J44" s="3" t="str">
        <f t="shared" si="0"/>
        <v>NSE:BANCOINDIA</v>
      </c>
      <c r="K44" s="20">
        <f ca="1">IFERROR(__xludf.DUMMYFUNCTION("GOOGLEFINANCE(J44,""price"")"),608)</f>
        <v>608</v>
      </c>
      <c r="L44" s="20"/>
    </row>
    <row r="45" spans="9:12">
      <c r="I45" s="31" t="s">
        <v>746</v>
      </c>
      <c r="J45" s="3" t="str">
        <f t="shared" si="0"/>
        <v>NSE:BANKBARODA</v>
      </c>
      <c r="K45" s="20">
        <f ca="1">IFERROR(__xludf.DUMMYFUNCTION("GOOGLEFINANCE(J45,""price"")"),267.7)</f>
        <v>267.7</v>
      </c>
      <c r="L45" s="20"/>
    </row>
    <row r="46" spans="9:12">
      <c r="I46" s="31" t="s">
        <v>601</v>
      </c>
      <c r="J46" s="3" t="str">
        <f t="shared" si="0"/>
        <v>NSE:BANKINDIA</v>
      </c>
      <c r="K46" s="20">
        <f ca="1">IFERROR(__xludf.DUMMYFUNCTION("GOOGLEFINANCE(J46,""price"")"),143.1)</f>
        <v>143.1</v>
      </c>
      <c r="L46" s="20"/>
    </row>
    <row r="47" spans="9:12">
      <c r="I47" s="31" t="s">
        <v>747</v>
      </c>
      <c r="J47" s="3" t="str">
        <f t="shared" si="0"/>
        <v>NSE:BBL</v>
      </c>
      <c r="K47" s="20">
        <f ca="1">IFERROR(__xludf.DUMMYFUNCTION("GOOGLEFINANCE(J47,""price"")"),6585)</f>
        <v>6585</v>
      </c>
      <c r="L47" s="20"/>
    </row>
    <row r="48" spans="9:12">
      <c r="I48" s="31" t="s">
        <v>748</v>
      </c>
      <c r="J48" s="3" t="str">
        <f t="shared" si="0"/>
        <v>NSE:BBOX</v>
      </c>
      <c r="K48" s="20">
        <f ca="1">IFERROR(__xludf.DUMMYFUNCTION("GOOGLEFINANCE(J48,""price"")"),282)</f>
        <v>282</v>
      </c>
      <c r="L48" s="20"/>
    </row>
    <row r="49" spans="9:12">
      <c r="I49" s="31" t="s">
        <v>749</v>
      </c>
      <c r="J49" s="3" t="str">
        <f t="shared" si="0"/>
        <v>NSE:BBTC</v>
      </c>
      <c r="K49" s="20">
        <f ca="1">IFERROR(__xludf.DUMMYFUNCTION("GOOGLEFINANCE(J49,""price"")"),1598)</f>
        <v>1598</v>
      </c>
      <c r="L49" s="20"/>
    </row>
    <row r="50" spans="9:12">
      <c r="I50" s="31" t="s">
        <v>750</v>
      </c>
      <c r="J50" s="3" t="str">
        <f t="shared" si="0"/>
        <v>NSE:BDL</v>
      </c>
      <c r="K50" s="20">
        <f ca="1">IFERROR(__xludf.DUMMYFUNCTION("GOOGLEFINANCE(J50,""price"")"),1764.5)</f>
        <v>1764.5</v>
      </c>
      <c r="L50" s="20"/>
    </row>
    <row r="51" spans="9:12">
      <c r="I51" s="31" t="s">
        <v>751</v>
      </c>
      <c r="J51" s="3" t="str">
        <f t="shared" si="0"/>
        <v>NSE:BEDMUTHA</v>
      </c>
      <c r="K51" s="20">
        <f ca="1">IFERROR(__xludf.DUMMYFUNCTION("GOOGLEFINANCE(J51,""price"")"),206.75)</f>
        <v>206.75</v>
      </c>
      <c r="L51" s="20"/>
    </row>
    <row r="52" spans="9:12">
      <c r="I52" s="31" t="s">
        <v>752</v>
      </c>
      <c r="J52" s="3" t="str">
        <f t="shared" si="0"/>
        <v>NSE:BEL</v>
      </c>
      <c r="K52" s="20">
        <f ca="1">IFERROR(__xludf.DUMMYFUNCTION("GOOGLEFINANCE(J52,""price"")"),233.6)</f>
        <v>233.6</v>
      </c>
      <c r="L52" s="20"/>
    </row>
    <row r="53" spans="9:12">
      <c r="I53" s="31" t="s">
        <v>753</v>
      </c>
      <c r="J53" s="3" t="str">
        <f t="shared" si="0"/>
        <v>NSE:BEML</v>
      </c>
      <c r="K53" s="20">
        <f ca="1">IFERROR(__xludf.DUMMYFUNCTION("GOOGLEFINANCE(J53,""price"")"),3450)</f>
        <v>3450</v>
      </c>
      <c r="L53" s="20"/>
    </row>
    <row r="54" spans="9:12">
      <c r="I54" s="31" t="s">
        <v>754</v>
      </c>
      <c r="J54" s="3" t="str">
        <f t="shared" si="0"/>
        <v>NSE:BEPL</v>
      </c>
      <c r="K54" s="20">
        <f ca="1">IFERROR(__xludf.DUMMYFUNCTION("GOOGLEFINANCE(J54,""price"")"),104.35)</f>
        <v>104.35</v>
      </c>
      <c r="L54" s="20"/>
    </row>
    <row r="55" spans="9:12">
      <c r="I55" s="31" t="s">
        <v>755</v>
      </c>
      <c r="J55" s="3" t="str">
        <f t="shared" si="0"/>
        <v>NSE:BFINVEST</v>
      </c>
      <c r="K55" s="20">
        <f ca="1">IFERROR(__xludf.DUMMYFUNCTION("GOOGLEFINANCE(J55,""price"")"),532.55)</f>
        <v>532.54999999999995</v>
      </c>
      <c r="L55" s="20"/>
    </row>
    <row r="56" spans="9:12">
      <c r="I56" s="31" t="s">
        <v>756</v>
      </c>
      <c r="J56" s="3" t="str">
        <f t="shared" si="0"/>
        <v>NSE:BHARTIARTL</v>
      </c>
      <c r="K56" s="20">
        <f ca="1">IFERROR(__xludf.DUMMYFUNCTION("GOOGLEFINANCE(J56,""price"")"),1222.85)</f>
        <v>1222.8499999999999</v>
      </c>
      <c r="L56" s="20"/>
    </row>
    <row r="57" spans="9:12">
      <c r="I57" s="31" t="s">
        <v>757</v>
      </c>
      <c r="J57" s="3" t="str">
        <f t="shared" si="0"/>
        <v>NSE:BHEL</v>
      </c>
      <c r="K57" s="20">
        <f ca="1">IFERROR(__xludf.DUMMYFUNCTION("GOOGLEFINANCE(J57,""price"")"),261.8)</f>
        <v>261.8</v>
      </c>
      <c r="L57" s="20"/>
    </row>
    <row r="58" spans="9:12">
      <c r="I58" s="31" t="s">
        <v>758</v>
      </c>
      <c r="J58" s="3" t="str">
        <f t="shared" si="0"/>
        <v>NSE:BIGBLOC</v>
      </c>
      <c r="K58" s="20">
        <f ca="1">IFERROR(__xludf.DUMMYFUNCTION("GOOGLEFINANCE(J58,""price"")"),221.5)</f>
        <v>221.5</v>
      </c>
      <c r="L58" s="20"/>
    </row>
    <row r="59" spans="9:12">
      <c r="I59" s="31" t="s">
        <v>759</v>
      </c>
      <c r="J59" s="3" t="str">
        <f t="shared" si="0"/>
        <v>NSE:BIRLACORPN</v>
      </c>
      <c r="K59" s="20">
        <f ca="1">IFERROR(__xludf.DUMMYFUNCTION("GOOGLEFINANCE(J59,""price"")"),1528.5)</f>
        <v>1528.5</v>
      </c>
      <c r="L59" s="20"/>
    </row>
    <row r="60" spans="9:12">
      <c r="I60" s="31" t="s">
        <v>760</v>
      </c>
      <c r="J60" s="3" t="str">
        <f t="shared" si="0"/>
        <v>NSE:BIRLAMONEY</v>
      </c>
      <c r="K60" s="20">
        <f ca="1">IFERROR(__xludf.DUMMYFUNCTION("GOOGLEFINANCE(J60,""price"")"),109.5)</f>
        <v>109.5</v>
      </c>
      <c r="L60" s="20"/>
    </row>
    <row r="61" spans="9:12">
      <c r="I61" s="31" t="s">
        <v>761</v>
      </c>
      <c r="J61" s="3" t="str">
        <f t="shared" si="0"/>
        <v>NSE:BLKASHYAP</v>
      </c>
      <c r="K61" s="20">
        <f ca="1">IFERROR(__xludf.DUMMYFUNCTION("GOOGLEFINANCE(J61,""price"")"),67.95)</f>
        <v>67.95</v>
      </c>
      <c r="L61" s="20"/>
    </row>
    <row r="62" spans="9:12">
      <c r="I62" s="31" t="s">
        <v>762</v>
      </c>
      <c r="J62" s="3" t="str">
        <f t="shared" si="0"/>
        <v>NSE:BLUESTARCO</v>
      </c>
      <c r="K62" s="20">
        <f ca="1">IFERROR(__xludf.DUMMYFUNCTION("GOOGLEFINANCE(J62,""price"")"),1390)</f>
        <v>1390</v>
      </c>
      <c r="L62" s="20"/>
    </row>
    <row r="63" spans="9:12">
      <c r="I63" s="31" t="s">
        <v>763</v>
      </c>
      <c r="J63" s="3" t="str">
        <f t="shared" si="0"/>
        <v>NSE:BOMDYEING</v>
      </c>
      <c r="K63" s="20">
        <f ca="1">IFERROR(__xludf.DUMMYFUNCTION("GOOGLEFINANCE(J63,""price"")"),166.85)</f>
        <v>166.85</v>
      </c>
      <c r="L63" s="20"/>
    </row>
    <row r="64" spans="9:12">
      <c r="I64" s="31" t="s">
        <v>764</v>
      </c>
      <c r="J64" s="3" t="str">
        <f t="shared" si="0"/>
        <v>NSE:BOSCHLTD</v>
      </c>
      <c r="K64" s="20">
        <f ca="1">IFERROR(__xludf.DUMMYFUNCTION("GOOGLEFINANCE(J64,""price"")"),29891.65)</f>
        <v>29891.65</v>
      </c>
      <c r="L64" s="20"/>
    </row>
    <row r="65" spans="9:12">
      <c r="I65" s="31" t="s">
        <v>765</v>
      </c>
      <c r="J65" s="3" t="str">
        <f t="shared" si="0"/>
        <v>NSE:BPCL</v>
      </c>
      <c r="K65" s="20">
        <f ca="1">IFERROR(__xludf.DUMMYFUNCTION("GOOGLEFINANCE(J65,""price"")"),601)</f>
        <v>601</v>
      </c>
      <c r="L65" s="20"/>
    </row>
    <row r="66" spans="9:12">
      <c r="I66" s="31" t="s">
        <v>463</v>
      </c>
      <c r="J66" s="3" t="str">
        <f t="shared" si="0"/>
        <v>NSE:BRIGADE</v>
      </c>
      <c r="K66" s="20">
        <f ca="1">IFERROR(__xludf.DUMMYFUNCTION("GOOGLEFINANCE(J66,""price"")"),1003.8)</f>
        <v>1003.8</v>
      </c>
      <c r="L66" s="20"/>
    </row>
    <row r="67" spans="9:12">
      <c r="I67" s="31" t="s">
        <v>766</v>
      </c>
      <c r="J67" s="3" t="str">
        <f t="shared" si="0"/>
        <v>NSE:BSE</v>
      </c>
      <c r="K67" s="20">
        <f ca="1">IFERROR(__xludf.DUMMYFUNCTION("GOOGLEFINANCE(J67,""price"")"),2836)</f>
        <v>2836</v>
      </c>
      <c r="L67" s="20"/>
    </row>
    <row r="68" spans="9:12">
      <c r="I68" s="31" t="s">
        <v>767</v>
      </c>
      <c r="J68" s="3" t="str">
        <f t="shared" si="0"/>
        <v>NSE:BSOFT</v>
      </c>
      <c r="K68" s="20">
        <f ca="1">IFERROR(__xludf.DUMMYFUNCTION("GOOGLEFINANCE(J68,""price"")"),733)</f>
        <v>733</v>
      </c>
      <c r="L68" s="20"/>
    </row>
    <row r="69" spans="9:12">
      <c r="I69" s="31" t="s">
        <v>768</v>
      </c>
      <c r="J69" s="3" t="str">
        <f t="shared" si="0"/>
        <v>NSE:CANBK</v>
      </c>
      <c r="K69" s="20">
        <f ca="1">IFERROR(__xludf.DUMMYFUNCTION("GOOGLEFINANCE(J69,""price"")"),606)</f>
        <v>606</v>
      </c>
      <c r="L69" s="20"/>
    </row>
    <row r="70" spans="9:12">
      <c r="I70" s="31" t="s">
        <v>769</v>
      </c>
      <c r="J70" s="3" t="str">
        <f t="shared" si="0"/>
        <v>NSE:CAPACITE</v>
      </c>
      <c r="K70" s="20">
        <f ca="1">IFERROR(__xludf.DUMMYFUNCTION("GOOGLEFINANCE(J70,""price"")"),296.25)</f>
        <v>296.25</v>
      </c>
      <c r="L70" s="20"/>
    </row>
    <row r="71" spans="9:12">
      <c r="I71" s="31" t="s">
        <v>770</v>
      </c>
      <c r="J71" s="3" t="str">
        <f t="shared" si="0"/>
        <v>NSE:CAPLIPOINT</v>
      </c>
      <c r="K71" s="20">
        <f ca="1">IFERROR(__xludf.DUMMYFUNCTION("GOOGLEFINANCE(J71,""price"")"),1295.25)</f>
        <v>1295.25</v>
      </c>
      <c r="L71" s="20"/>
    </row>
    <row r="72" spans="9:12">
      <c r="I72" s="31" t="s">
        <v>771</v>
      </c>
      <c r="J72" s="3" t="str">
        <f t="shared" si="0"/>
        <v>NSE:CARERATING</v>
      </c>
      <c r="K72" s="20">
        <f ca="1">IFERROR(__xludf.DUMMYFUNCTION("GOOGLEFINANCE(J72,""price"")"),1138)</f>
        <v>1138</v>
      </c>
      <c r="L72" s="20"/>
    </row>
    <row r="73" spans="9:12">
      <c r="I73" s="31" t="s">
        <v>772</v>
      </c>
      <c r="J73" s="3" t="str">
        <f t="shared" si="0"/>
        <v>NSE:CASTROLIND</v>
      </c>
      <c r="K73" s="20">
        <f ca="1">IFERROR(__xludf.DUMMYFUNCTION("GOOGLEFINANCE(J73,""price"")"),223.05)</f>
        <v>223.05</v>
      </c>
      <c r="L73" s="20"/>
    </row>
    <row r="74" spans="9:12">
      <c r="I74" s="31" t="s">
        <v>773</v>
      </c>
      <c r="J74" s="3" t="str">
        <f t="shared" si="0"/>
        <v>NSE:CEATLTD</v>
      </c>
      <c r="K74" s="20">
        <f ca="1">IFERROR(__xludf.DUMMYFUNCTION("GOOGLEFINANCE(J74,""price"")"),2587)</f>
        <v>2587</v>
      </c>
      <c r="L74" s="20"/>
    </row>
    <row r="75" spans="9:12">
      <c r="I75" s="31" t="s">
        <v>774</v>
      </c>
      <c r="J75" s="3" t="str">
        <f t="shared" si="0"/>
        <v>NSE:CENTURYPLY</v>
      </c>
      <c r="K75" s="20">
        <f ca="1">IFERROR(__xludf.DUMMYFUNCTION("GOOGLEFINANCE(J75,""price"")"),646)</f>
        <v>646</v>
      </c>
      <c r="L75" s="20"/>
    </row>
    <row r="76" spans="9:12">
      <c r="I76" s="31" t="s">
        <v>775</v>
      </c>
      <c r="J76" s="3" t="str">
        <f t="shared" si="0"/>
        <v>NSE:CENTURYTEX</v>
      </c>
      <c r="K76" s="20">
        <f ca="1">IFERROR(__xludf.DUMMYFUNCTION("GOOGLEFINANCE(J76,""price"")"),1788.8)</f>
        <v>1788.8</v>
      </c>
      <c r="L76" s="20"/>
    </row>
    <row r="77" spans="9:12">
      <c r="I77" s="31" t="s">
        <v>776</v>
      </c>
      <c r="J77" s="3" t="str">
        <f t="shared" si="0"/>
        <v>NSE:CGCL</v>
      </c>
      <c r="K77" s="20">
        <f ca="1">IFERROR(__xludf.DUMMYFUNCTION("GOOGLEFINANCE(J77,""price"")"),217.2)</f>
        <v>217.2</v>
      </c>
      <c r="L77" s="20"/>
    </row>
    <row r="78" spans="9:12">
      <c r="I78" s="31" t="s">
        <v>777</v>
      </c>
      <c r="J78" s="3" t="str">
        <f t="shared" si="0"/>
        <v>NSE:CHALET</v>
      </c>
      <c r="K78" s="20">
        <f ca="1">IFERROR(__xludf.DUMMYFUNCTION("GOOGLEFINANCE(J78,""price"")"),874.35)</f>
        <v>874.35</v>
      </c>
      <c r="L78" s="20"/>
    </row>
    <row r="79" spans="9:12">
      <c r="I79" s="31" t="s">
        <v>778</v>
      </c>
      <c r="J79" s="3" t="str">
        <f t="shared" si="0"/>
        <v>NSE:CHEMFAB</v>
      </c>
      <c r="K79" s="20">
        <f ca="1">IFERROR(__xludf.DUMMYFUNCTION("GOOGLEFINANCE(J79,""price"")"),664)</f>
        <v>664</v>
      </c>
      <c r="L79" s="20"/>
    </row>
    <row r="80" spans="9:12">
      <c r="I80" s="31" t="s">
        <v>779</v>
      </c>
      <c r="J80" s="3" t="str">
        <f t="shared" si="0"/>
        <v>NSE:CHENNPETRO</v>
      </c>
      <c r="K80" s="20">
        <f ca="1">IFERROR(__xludf.DUMMYFUNCTION("GOOGLEFINANCE(J80,""price"")"),897)</f>
        <v>897</v>
      </c>
      <c r="L80" s="20"/>
    </row>
    <row r="81" spans="9:12">
      <c r="I81" s="31" t="s">
        <v>780</v>
      </c>
      <c r="J81" s="3" t="str">
        <f t="shared" si="0"/>
        <v>NSE:CIPLA</v>
      </c>
      <c r="K81" s="20">
        <f ca="1">IFERROR(__xludf.DUMMYFUNCTION("GOOGLEFINANCE(J81,""price"")"),1399.55)</f>
        <v>1399.55</v>
      </c>
      <c r="L81" s="20"/>
    </row>
    <row r="82" spans="9:12">
      <c r="I82" s="31" t="s">
        <v>781</v>
      </c>
      <c r="J82" s="3" t="str">
        <f t="shared" si="0"/>
        <v>NSE:COCHINSHIP</v>
      </c>
      <c r="K82" s="20">
        <f ca="1">IFERROR(__xludf.DUMMYFUNCTION("GOOGLEFINANCE(J82,""price"")"),1094.3)</f>
        <v>1094.3</v>
      </c>
      <c r="L82" s="20"/>
    </row>
    <row r="83" spans="9:12">
      <c r="I83" s="31" t="s">
        <v>782</v>
      </c>
      <c r="J83" s="3" t="str">
        <f t="shared" si="0"/>
        <v>NSE:COFORGE</v>
      </c>
      <c r="K83" s="20">
        <f ca="1">IFERROR(__xludf.DUMMYFUNCTION("GOOGLEFINANCE(J83,""price"")"),5610)</f>
        <v>5610</v>
      </c>
      <c r="L83" s="20"/>
    </row>
    <row r="84" spans="9:12">
      <c r="I84" s="31" t="s">
        <v>783</v>
      </c>
      <c r="J84" s="3" t="str">
        <f t="shared" si="0"/>
        <v>NSE:COLPAL</v>
      </c>
      <c r="K84" s="20">
        <f ca="1">IFERROR(__xludf.DUMMYFUNCTION("GOOGLEFINANCE(J84,""price"")"),2656)</f>
        <v>2656</v>
      </c>
      <c r="L84" s="20"/>
    </row>
    <row r="85" spans="9:12">
      <c r="I85" s="31" t="s">
        <v>784</v>
      </c>
      <c r="J85" s="3" t="str">
        <f t="shared" si="0"/>
        <v>NSE:CONFIPET</v>
      </c>
      <c r="K85" s="20">
        <f ca="1">IFERROR(__xludf.DUMMYFUNCTION("GOOGLEFINANCE(J85,""price"")"),92.5)</f>
        <v>92.5</v>
      </c>
      <c r="L85" s="20"/>
    </row>
    <row r="86" spans="9:12">
      <c r="I86" s="31" t="s">
        <v>654</v>
      </c>
      <c r="J86" s="3" t="str">
        <f t="shared" si="0"/>
        <v>NSE:CREST</v>
      </c>
      <c r="K86" s="20">
        <f ca="1">IFERROR(__xludf.DUMMYFUNCTION("GOOGLEFINANCE(J86,""price"")"),399.8)</f>
        <v>399.8</v>
      </c>
      <c r="L86" s="20"/>
    </row>
    <row r="87" spans="9:12">
      <c r="I87" s="31" t="s">
        <v>785</v>
      </c>
      <c r="J87" s="3" t="str">
        <f t="shared" si="0"/>
        <v>NSE:CRISIL</v>
      </c>
      <c r="K87" s="20">
        <f ca="1">IFERROR(__xludf.DUMMYFUNCTION("GOOGLEFINANCE(J87,""price"")"),4820)</f>
        <v>4820</v>
      </c>
      <c r="L87" s="20"/>
    </row>
    <row r="88" spans="9:12">
      <c r="I88" s="31" t="s">
        <v>786</v>
      </c>
      <c r="J88" s="3" t="str">
        <f t="shared" si="0"/>
        <v>NSE:CUMMINSIND</v>
      </c>
      <c r="K88" s="20">
        <f ca="1">IFERROR(__xludf.DUMMYFUNCTION("GOOGLEFINANCE(J88,""price"")"),3056)</f>
        <v>3056</v>
      </c>
      <c r="L88" s="20"/>
    </row>
    <row r="89" spans="9:12">
      <c r="I89" s="31" t="s">
        <v>787</v>
      </c>
      <c r="J89" s="3" t="str">
        <f t="shared" si="0"/>
        <v>NSE:CUPID</v>
      </c>
      <c r="K89" s="20">
        <f ca="1">IFERROR(__xludf.DUMMYFUNCTION("GOOGLEFINANCE(J89,""price"")"),127.5)</f>
        <v>127.5</v>
      </c>
      <c r="L89" s="20"/>
    </row>
    <row r="90" spans="9:12">
      <c r="I90" s="31" t="s">
        <v>788</v>
      </c>
      <c r="J90" s="3" t="str">
        <f t="shared" si="0"/>
        <v>NSE:DHANBANK</v>
      </c>
      <c r="K90" s="20">
        <f ca="1">IFERROR(__xludf.DUMMYFUNCTION("GOOGLEFINANCE(J90,""price"")"),46.1)</f>
        <v>46.1</v>
      </c>
      <c r="L90" s="20"/>
    </row>
    <row r="91" spans="9:12">
      <c r="I91" s="31" t="s">
        <v>789</v>
      </c>
      <c r="J91" s="3" t="str">
        <f t="shared" si="0"/>
        <v>NSE:DHANUKA</v>
      </c>
      <c r="K91" s="20">
        <f ca="1">IFERROR(__xludf.DUMMYFUNCTION("GOOGLEFINANCE(J91,""price"")"),1200)</f>
        <v>1200</v>
      </c>
      <c r="L91" s="20"/>
    </row>
    <row r="92" spans="9:12">
      <c r="I92" s="31" t="s">
        <v>790</v>
      </c>
      <c r="J92" s="3" t="str">
        <f t="shared" si="0"/>
        <v>NSE:DIXON</v>
      </c>
      <c r="K92" s="20">
        <f ca="1">IFERROR(__xludf.DUMMYFUNCTION("GOOGLEFINANCE(J92,""price"")"),7829.95)</f>
        <v>7829.95</v>
      </c>
      <c r="L92" s="20"/>
    </row>
    <row r="93" spans="9:12">
      <c r="I93" s="31" t="s">
        <v>791</v>
      </c>
      <c r="J93" s="3" t="str">
        <f t="shared" si="0"/>
        <v>NSE:DLF</v>
      </c>
      <c r="K93" s="20">
        <f ca="1">IFERROR(__xludf.DUMMYFUNCTION("GOOGLEFINANCE(J93,""price"")"),908)</f>
        <v>908</v>
      </c>
      <c r="L93" s="20"/>
    </row>
    <row r="94" spans="9:12">
      <c r="I94" s="31" t="s">
        <v>700</v>
      </c>
      <c r="J94" s="3" t="str">
        <f t="shared" si="0"/>
        <v>NSE:DRREDDY</v>
      </c>
      <c r="K94" s="20">
        <f ca="1">IFERROR(__xludf.DUMMYFUNCTION("GOOGLEFINANCE(J94,""price"")"),6093.8)</f>
        <v>6093.8</v>
      </c>
      <c r="L94" s="20"/>
    </row>
    <row r="95" spans="9:12">
      <c r="I95" s="31" t="s">
        <v>459</v>
      </c>
      <c r="J95" s="3" t="str">
        <f t="shared" si="0"/>
        <v>NSE:DSSL</v>
      </c>
      <c r="K95" s="20">
        <f ca="1">IFERROR(__xludf.DUMMYFUNCTION("GOOGLEFINANCE(J95,""price"")"),980)</f>
        <v>980</v>
      </c>
      <c r="L95" s="20"/>
    </row>
    <row r="96" spans="9:12">
      <c r="I96" s="31" t="s">
        <v>609</v>
      </c>
      <c r="J96" s="3" t="str">
        <f t="shared" si="0"/>
        <v>NSE:DYNAMATECH</v>
      </c>
      <c r="K96" s="20">
        <f ca="1">IFERROR(__xludf.DUMMYFUNCTION("GOOGLEFINANCE(J96,""price"")"),8649)</f>
        <v>8649</v>
      </c>
      <c r="L96" s="20"/>
    </row>
    <row r="97" spans="9:12">
      <c r="I97" s="31" t="s">
        <v>792</v>
      </c>
      <c r="J97" s="3" t="str">
        <f t="shared" si="0"/>
        <v>NSE:ECLERX</v>
      </c>
      <c r="K97" s="20">
        <f ca="1">IFERROR(__xludf.DUMMYFUNCTION("GOOGLEFINANCE(J97,""price"")"),2435)</f>
        <v>2435</v>
      </c>
      <c r="L97" s="20"/>
    </row>
    <row r="98" spans="9:12">
      <c r="I98" s="31" t="s">
        <v>793</v>
      </c>
      <c r="J98" s="3" t="str">
        <f t="shared" si="0"/>
        <v>NSE:EDELWEISS</v>
      </c>
      <c r="K98" s="20">
        <f ca="1">IFERROR(__xludf.DUMMYFUNCTION("GOOGLEFINANCE(J98,""price"")"),75.35)</f>
        <v>75.349999999999994</v>
      </c>
      <c r="L98" s="20"/>
    </row>
    <row r="99" spans="9:12">
      <c r="I99" s="31" t="s">
        <v>794</v>
      </c>
      <c r="J99" s="3" t="str">
        <f t="shared" si="0"/>
        <v>NSE:EICHERMOT</v>
      </c>
      <c r="K99" s="20">
        <f ca="1">IFERROR(__xludf.DUMMYFUNCTION("GOOGLEFINANCE(J99,""price"")"),4305)</f>
        <v>4305</v>
      </c>
      <c r="L99" s="20"/>
    </row>
    <row r="100" spans="9:12">
      <c r="I100" s="31" t="s">
        <v>795</v>
      </c>
      <c r="J100" s="3" t="str">
        <f t="shared" si="0"/>
        <v>NSE:EIHAHOTELS</v>
      </c>
      <c r="K100" s="20">
        <f ca="1">IFERROR(__xludf.DUMMYFUNCTION("GOOGLEFINANCE(J100,""price"")"),780)</f>
        <v>780</v>
      </c>
      <c r="L100" s="20"/>
    </row>
    <row r="101" spans="9:12">
      <c r="I101" s="31" t="s">
        <v>796</v>
      </c>
      <c r="J101" s="3" t="str">
        <f t="shared" si="0"/>
        <v>NSE:EIHOTEL</v>
      </c>
      <c r="K101" s="20">
        <f ca="1">IFERROR(__xludf.DUMMYFUNCTION("GOOGLEFINANCE(J101,""price"")"),472)</f>
        <v>472</v>
      </c>
      <c r="L101" s="20"/>
    </row>
    <row r="102" spans="9:12">
      <c r="I102" s="31" t="s">
        <v>797</v>
      </c>
      <c r="J102" s="3" t="str">
        <f t="shared" si="0"/>
        <v>NSE:ELECTCAST</v>
      </c>
      <c r="K102" s="20">
        <f ca="1">IFERROR(__xludf.DUMMYFUNCTION("GOOGLEFINANCE(J102,""price"")"),190.9)</f>
        <v>190.9</v>
      </c>
      <c r="L102" s="20"/>
    </row>
    <row r="103" spans="9:12">
      <c r="I103" s="31" t="s">
        <v>798</v>
      </c>
      <c r="J103" s="3" t="str">
        <f t="shared" si="0"/>
        <v>NSE:ELGIEQUIP</v>
      </c>
      <c r="K103" s="20">
        <f ca="1">IFERROR(__xludf.DUMMYFUNCTION("GOOGLEFINANCE(J103,""price"")"),645.85)</f>
        <v>645.85</v>
      </c>
      <c r="L103" s="20"/>
    </row>
    <row r="104" spans="9:12">
      <c r="I104" s="31" t="s">
        <v>799</v>
      </c>
      <c r="J104" s="3" t="str">
        <f t="shared" si="0"/>
        <v>NSE:ENDURANCE</v>
      </c>
      <c r="K104" s="20">
        <f ca="1">IFERROR(__xludf.DUMMYFUNCTION("GOOGLEFINANCE(J104,""price"")"),1888)</f>
        <v>1888</v>
      </c>
      <c r="L104" s="20"/>
    </row>
    <row r="105" spans="9:12">
      <c r="I105" s="31" t="s">
        <v>800</v>
      </c>
      <c r="J105" s="3" t="str">
        <f t="shared" si="0"/>
        <v>NSE:ENGINERSIN</v>
      </c>
      <c r="K105" s="20">
        <f ca="1">IFERROR(__xludf.DUMMYFUNCTION("GOOGLEFINANCE(J105,""price"")"),218.8)</f>
        <v>218.8</v>
      </c>
      <c r="L105" s="20"/>
    </row>
    <row r="106" spans="9:12">
      <c r="I106" s="31" t="s">
        <v>801</v>
      </c>
      <c r="J106" s="3" t="str">
        <f t="shared" si="0"/>
        <v>NSE:ESSARSHPNG</v>
      </c>
      <c r="K106" s="20">
        <f ca="1">IFERROR(__xludf.DUMMYFUNCTION("GOOGLEFINANCE(J106,""price"")"),27.1)</f>
        <v>27.1</v>
      </c>
      <c r="L106" s="20"/>
    </row>
    <row r="107" spans="9:12">
      <c r="I107" s="31" t="s">
        <v>802</v>
      </c>
      <c r="J107" s="3" t="str">
        <f t="shared" si="0"/>
        <v>NSE:EXIDEIND</v>
      </c>
      <c r="K107" s="20">
        <f ca="1">IFERROR(__xludf.DUMMYFUNCTION("GOOGLEFINANCE(J107,""price"")"),398.45)</f>
        <v>398.45</v>
      </c>
      <c r="L107" s="20"/>
    </row>
    <row r="108" spans="9:12">
      <c r="I108" s="31" t="s">
        <v>803</v>
      </c>
      <c r="J108" s="3" t="str">
        <f t="shared" si="0"/>
        <v>NSE:FDC</v>
      </c>
      <c r="K108" s="20">
        <f ca="1">IFERROR(__xludf.DUMMYFUNCTION("GOOGLEFINANCE(J108,""price"")"),451.7)</f>
        <v>451.7</v>
      </c>
      <c r="L108" s="20"/>
    </row>
    <row r="109" spans="9:12">
      <c r="I109" s="31" t="s">
        <v>804</v>
      </c>
      <c r="J109" s="3" t="str">
        <f t="shared" si="0"/>
        <v>NSE:FIEMIND</v>
      </c>
      <c r="K109" s="20">
        <f ca="1">IFERROR(__xludf.DUMMYFUNCTION("GOOGLEFINANCE(J109,""price"")"),1133.55)</f>
        <v>1133.55</v>
      </c>
      <c r="L109" s="20"/>
    </row>
    <row r="110" spans="9:12">
      <c r="I110" s="31" t="s">
        <v>805</v>
      </c>
      <c r="J110" s="3" t="str">
        <f t="shared" si="0"/>
        <v>NSE:FORTIS</v>
      </c>
      <c r="K110" s="20">
        <f ca="1">IFERROR(__xludf.DUMMYFUNCTION("GOOGLEFINANCE(J110,""price"")"),432)</f>
        <v>432</v>
      </c>
      <c r="L110" s="20"/>
    </row>
    <row r="111" spans="9:12">
      <c r="I111" s="31" t="s">
        <v>806</v>
      </c>
      <c r="J111" s="3" t="str">
        <f t="shared" si="0"/>
        <v>NSE:FSL</v>
      </c>
      <c r="K111" s="20">
        <f ca="1">IFERROR(__xludf.DUMMYFUNCTION("GOOGLEFINANCE(J111,""price"")"),203.8)</f>
        <v>203.8</v>
      </c>
      <c r="L111" s="20"/>
    </row>
    <row r="112" spans="9:12">
      <c r="I112" s="31" t="s">
        <v>807</v>
      </c>
      <c r="J112" s="3" t="str">
        <f t="shared" si="0"/>
        <v>NSE:GAIL</v>
      </c>
      <c r="K112" s="20">
        <f ca="1">IFERROR(__xludf.DUMMYFUNCTION("GOOGLEFINANCE(J112,""price"")"),201.25)</f>
        <v>201.25</v>
      </c>
      <c r="L112" s="20"/>
    </row>
    <row r="113" spans="9:12">
      <c r="I113" s="31" t="s">
        <v>808</v>
      </c>
      <c r="J113" s="3" t="str">
        <f t="shared" si="0"/>
        <v>NSE:GALLANTT</v>
      </c>
      <c r="K113" s="20">
        <f ca="1">IFERROR(__xludf.DUMMYFUNCTION("GOOGLEFINANCE(J113,""price"")"),209)</f>
        <v>209</v>
      </c>
      <c r="L113" s="20"/>
    </row>
    <row r="114" spans="9:12">
      <c r="I114" s="31" t="s">
        <v>809</v>
      </c>
      <c r="J114" s="3" t="str">
        <f t="shared" si="0"/>
        <v>NSE:GANDHITUBE</v>
      </c>
      <c r="K114" s="20">
        <f ca="1">IFERROR(__xludf.DUMMYFUNCTION("GOOGLEFINANCE(J114,""price"")"),745.5)</f>
        <v>745.5</v>
      </c>
      <c r="L114" s="20"/>
    </row>
    <row r="115" spans="9:12">
      <c r="I115" s="31" t="s">
        <v>810</v>
      </c>
      <c r="J115" s="3" t="str">
        <f t="shared" si="0"/>
        <v>NSE:GANESHHOUC</v>
      </c>
      <c r="K115" s="20">
        <f ca="1">IFERROR(__xludf.DUMMYFUNCTION("GOOGLEFINANCE(J115,""price"")"),773)</f>
        <v>773</v>
      </c>
      <c r="L115" s="20"/>
    </row>
    <row r="116" spans="9:12">
      <c r="I116" s="31" t="s">
        <v>811</v>
      </c>
      <c r="J116" s="3" t="str">
        <f t="shared" si="0"/>
        <v>NSE:GEECEE</v>
      </c>
      <c r="K116" s="20">
        <f ca="1">IFERROR(__xludf.DUMMYFUNCTION("GOOGLEFINANCE(J116,""price"")"),283.6)</f>
        <v>283.60000000000002</v>
      </c>
      <c r="L116" s="20"/>
    </row>
    <row r="117" spans="9:12">
      <c r="I117" s="31" t="s">
        <v>812</v>
      </c>
      <c r="J117" s="3" t="str">
        <f t="shared" si="0"/>
        <v>NSE:GESHIP</v>
      </c>
      <c r="K117" s="20">
        <f ca="1">IFERROR(__xludf.DUMMYFUNCTION("GOOGLEFINANCE(J117,""price"")"),955)</f>
        <v>955</v>
      </c>
      <c r="L117" s="20"/>
    </row>
    <row r="118" spans="9:12">
      <c r="I118" s="31" t="s">
        <v>813</v>
      </c>
      <c r="J118" s="3" t="str">
        <f t="shared" si="0"/>
        <v>NSE:GICHSGFIN</v>
      </c>
      <c r="K118" s="20">
        <f ca="1">IFERROR(__xludf.DUMMYFUNCTION("GOOGLEFINANCE(J118,""price"")"),217)</f>
        <v>217</v>
      </c>
      <c r="L118" s="20"/>
    </row>
    <row r="119" spans="9:12">
      <c r="I119" s="31" t="s">
        <v>814</v>
      </c>
      <c r="J119" s="3" t="str">
        <f t="shared" si="0"/>
        <v>NSE:GICRE</v>
      </c>
      <c r="K119" s="20">
        <f ca="1">IFERROR(__xludf.DUMMYFUNCTION("GOOGLEFINANCE(J119,""price"")"),325)</f>
        <v>325</v>
      </c>
      <c r="L119" s="20"/>
    </row>
    <row r="120" spans="9:12">
      <c r="I120" s="31" t="s">
        <v>815</v>
      </c>
      <c r="J120" s="3" t="str">
        <f t="shared" si="0"/>
        <v>NSE:GILLETTE</v>
      </c>
      <c r="K120" s="20">
        <f ca="1">IFERROR(__xludf.DUMMYFUNCTION("GOOGLEFINANCE(J120,""price"")"),6409)</f>
        <v>6409</v>
      </c>
      <c r="L120" s="20"/>
    </row>
    <row r="121" spans="9:12">
      <c r="I121" s="31" t="s">
        <v>816</v>
      </c>
      <c r="J121" s="3" t="str">
        <f t="shared" si="0"/>
        <v>NSE:GIPCL</v>
      </c>
      <c r="K121" s="20">
        <f ca="1">IFERROR(__xludf.DUMMYFUNCTION("GOOGLEFINANCE(J121,""price"")"),185)</f>
        <v>185</v>
      </c>
      <c r="L121" s="20"/>
    </row>
    <row r="122" spans="9:12">
      <c r="I122" s="31" t="s">
        <v>817</v>
      </c>
      <c r="J122" s="3" t="str">
        <f t="shared" si="0"/>
        <v>NSE:GMDCLTD</v>
      </c>
      <c r="K122" s="20">
        <f ca="1">IFERROR(__xludf.DUMMYFUNCTION("GOOGLEFINANCE(J122,""price"")"),404)</f>
        <v>404</v>
      </c>
      <c r="L122" s="20"/>
    </row>
    <row r="123" spans="9:12">
      <c r="I123" s="31" t="s">
        <v>818</v>
      </c>
      <c r="J123" s="3" t="str">
        <f t="shared" si="0"/>
        <v>NSE:GMRINFRA</v>
      </c>
      <c r="K123" s="20">
        <f ca="1">IFERROR(__xludf.DUMMYFUNCTION("GOOGLEFINANCE(J123,""price"")"),83.95)</f>
        <v>83.95</v>
      </c>
      <c r="L123" s="20"/>
    </row>
    <row r="124" spans="9:12">
      <c r="I124" s="31" t="s">
        <v>819</v>
      </c>
      <c r="J124" s="3" t="str">
        <f t="shared" si="0"/>
        <v>NSE:GOACARBON</v>
      </c>
      <c r="K124" s="20">
        <f ca="1">IFERROR(__xludf.DUMMYFUNCTION("GOOGLEFINANCE(J124,""price"")"),917.4)</f>
        <v>917.4</v>
      </c>
      <c r="L124" s="20"/>
    </row>
    <row r="125" spans="9:12">
      <c r="I125" s="31" t="s">
        <v>820</v>
      </c>
      <c r="J125" s="3" t="str">
        <f t="shared" si="0"/>
        <v>NSE:GODFRYPHLP</v>
      </c>
      <c r="K125" s="20">
        <f ca="1">IFERROR(__xludf.DUMMYFUNCTION("GOOGLEFINANCE(J125,""price"")"),3060)</f>
        <v>3060</v>
      </c>
      <c r="L125" s="20"/>
    </row>
    <row r="126" spans="9:12">
      <c r="I126" s="31" t="s">
        <v>821</v>
      </c>
      <c r="J126" s="3" t="str">
        <f t="shared" si="0"/>
        <v>NSE:GODREJCP</v>
      </c>
      <c r="K126" s="20">
        <f ca="1">IFERROR(__xludf.DUMMYFUNCTION("GOOGLEFINANCE(J126,""price"")"),1200.95)</f>
        <v>1200.95</v>
      </c>
      <c r="L126" s="20"/>
    </row>
    <row r="127" spans="9:12">
      <c r="I127" s="31" t="s">
        <v>822</v>
      </c>
      <c r="J127" s="3" t="str">
        <f t="shared" si="0"/>
        <v>NSE:GODREJPROP</v>
      </c>
      <c r="K127" s="20">
        <f ca="1">IFERROR(__xludf.DUMMYFUNCTION("GOOGLEFINANCE(J127,""price"")"),2670)</f>
        <v>2670</v>
      </c>
      <c r="L127" s="20"/>
    </row>
    <row r="128" spans="9:12">
      <c r="I128" s="31" t="s">
        <v>823</v>
      </c>
      <c r="J128" s="3" t="str">
        <f t="shared" si="0"/>
        <v>NSE:GOLDTECH</v>
      </c>
      <c r="K128" s="20">
        <f ca="1">IFERROR(__xludf.DUMMYFUNCTION("GOOGLEFINANCE(J128,""price"")"),131.9)</f>
        <v>131.9</v>
      </c>
      <c r="L128" s="20"/>
    </row>
    <row r="129" spans="9:12">
      <c r="I129" s="31" t="s">
        <v>824</v>
      </c>
      <c r="J129" s="3" t="str">
        <f t="shared" si="0"/>
        <v>NSE:GOODLUCK</v>
      </c>
      <c r="K129" s="20">
        <f ca="1">IFERROR(__xludf.DUMMYFUNCTION("GOOGLEFINANCE(J129,""price"")"),926.25)</f>
        <v>926.25</v>
      </c>
      <c r="L129" s="20"/>
    </row>
    <row r="130" spans="9:12">
      <c r="I130" s="31" t="s">
        <v>825</v>
      </c>
      <c r="J130" s="3" t="str">
        <f t="shared" si="0"/>
        <v>NSE:GPIL</v>
      </c>
      <c r="K130" s="20">
        <f ca="1">IFERROR(__xludf.DUMMYFUNCTION("GOOGLEFINANCE(J130,""price"")"),818)</f>
        <v>818</v>
      </c>
      <c r="L130" s="20"/>
    </row>
    <row r="131" spans="9:12">
      <c r="I131" s="31" t="s">
        <v>604</v>
      </c>
      <c r="J131" s="3" t="str">
        <f t="shared" si="0"/>
        <v>NSE:GPPL</v>
      </c>
      <c r="K131" s="20">
        <f ca="1">IFERROR(__xludf.DUMMYFUNCTION("GOOGLEFINANCE(J131,""price"")"),216.05)</f>
        <v>216.05</v>
      </c>
      <c r="L131" s="20"/>
    </row>
    <row r="132" spans="9:12">
      <c r="I132" s="31" t="s">
        <v>826</v>
      </c>
      <c r="J132" s="3" t="str">
        <f t="shared" si="0"/>
        <v>NSE:GPTINFRA</v>
      </c>
      <c r="K132" s="20">
        <f ca="1">IFERROR(__xludf.DUMMYFUNCTION("GOOGLEFINANCE(J132,""price"")"),174)</f>
        <v>174</v>
      </c>
      <c r="L132" s="20"/>
    </row>
    <row r="133" spans="9:12">
      <c r="I133" s="31" t="s">
        <v>827</v>
      </c>
      <c r="J133" s="3" t="str">
        <f t="shared" si="0"/>
        <v>NSE:GRASIM</v>
      </c>
      <c r="K133" s="20">
        <f ca="1">IFERROR(__xludf.DUMMYFUNCTION("GOOGLEFINANCE(J133,""price"")"),2255.75)</f>
        <v>2255.75</v>
      </c>
      <c r="L133" s="20"/>
    </row>
    <row r="134" spans="9:12">
      <c r="I134" s="31" t="s">
        <v>828</v>
      </c>
      <c r="J134" s="3" t="str">
        <f t="shared" si="0"/>
        <v>NSE:GREENPOWER</v>
      </c>
      <c r="K134" s="20">
        <f ca="1">IFERROR(__xludf.DUMMYFUNCTION("GOOGLEFINANCE(J134,""price"")"),21.15)</f>
        <v>21.15</v>
      </c>
      <c r="L134" s="20"/>
    </row>
    <row r="135" spans="9:12">
      <c r="I135" s="31" t="s">
        <v>829</v>
      </c>
      <c r="J135" s="3" t="str">
        <f t="shared" si="0"/>
        <v>NSE:GSPL</v>
      </c>
      <c r="K135" s="20">
        <f ca="1">IFERROR(__xludf.DUMMYFUNCTION("GOOGLEFINANCE(J135,""price"")"),377.15)</f>
        <v>377.15</v>
      </c>
      <c r="L135" s="20"/>
    </row>
    <row r="136" spans="9:12">
      <c r="I136" s="31" t="s">
        <v>830</v>
      </c>
      <c r="J136" s="3" t="str">
        <f t="shared" si="0"/>
        <v>NSE:GULFOILLUB</v>
      </c>
      <c r="K136" s="20">
        <f ca="1">IFERROR(__xludf.DUMMYFUNCTION("GOOGLEFINANCE(J136,""price"")"),1062)</f>
        <v>1062</v>
      </c>
      <c r="L136" s="20"/>
    </row>
    <row r="137" spans="9:12">
      <c r="I137" s="31" t="s">
        <v>831</v>
      </c>
      <c r="J137" s="3" t="str">
        <f t="shared" si="0"/>
        <v>NSE:HAL</v>
      </c>
      <c r="K137" s="20">
        <f ca="1">IFERROR(__xludf.DUMMYFUNCTION("GOOGLEFINANCE(J137,""price"")"),3643)</f>
        <v>3643</v>
      </c>
      <c r="L137" s="20"/>
    </row>
    <row r="138" spans="9:12">
      <c r="I138" s="31" t="s">
        <v>832</v>
      </c>
      <c r="J138" s="3" t="str">
        <f t="shared" si="0"/>
        <v>NSE:HBLPOWER</v>
      </c>
      <c r="K138" s="20">
        <f ca="1">IFERROR(__xludf.DUMMYFUNCTION("GOOGLEFINANCE(J138,""price"")"),469.95)</f>
        <v>469.95</v>
      </c>
      <c r="L138" s="20"/>
    </row>
    <row r="139" spans="9:12">
      <c r="I139" s="31" t="s">
        <v>833</v>
      </c>
      <c r="J139" s="3" t="str">
        <f t="shared" si="0"/>
        <v>NSE:HCC</v>
      </c>
      <c r="K139" s="20">
        <f ca="1">IFERROR(__xludf.DUMMYFUNCTION("GOOGLEFINANCE(J139,""price"")"),38)</f>
        <v>38</v>
      </c>
      <c r="L139" s="20"/>
    </row>
    <row r="140" spans="9:12">
      <c r="I140" s="31" t="s">
        <v>834</v>
      </c>
      <c r="J140" s="3" t="str">
        <f t="shared" si="0"/>
        <v>NSE:HCLTECH</v>
      </c>
      <c r="K140" s="20">
        <f ca="1">IFERROR(__xludf.DUMMYFUNCTION("GOOGLEFINANCE(J140,""price"")"),1521.3)</f>
        <v>1521.3</v>
      </c>
      <c r="L140" s="20"/>
    </row>
    <row r="141" spans="9:12">
      <c r="I141" s="31" t="s">
        <v>835</v>
      </c>
      <c r="J141" s="3" t="str">
        <f t="shared" si="0"/>
        <v>NSE:HDFCAMC</v>
      </c>
      <c r="K141" s="20">
        <f ca="1">IFERROR(__xludf.DUMMYFUNCTION("GOOGLEFINANCE(J141,""price"")"),3660)</f>
        <v>3660</v>
      </c>
      <c r="L141" s="20"/>
    </row>
    <row r="142" spans="9:12">
      <c r="I142" s="31" t="s">
        <v>836</v>
      </c>
      <c r="J142" s="3" t="str">
        <f t="shared" si="0"/>
        <v>NSE:HERCULES</v>
      </c>
      <c r="K142" s="20">
        <f ca="1">IFERROR(__xludf.DUMMYFUNCTION("GOOGLEFINANCE(J142,""price"")"),522.1)</f>
        <v>522.1</v>
      </c>
      <c r="L142" s="20"/>
    </row>
    <row r="143" spans="9:12">
      <c r="I143" s="31" t="s">
        <v>837</v>
      </c>
      <c r="J143" s="3" t="str">
        <f t="shared" si="0"/>
        <v>NSE:HERITGFOOD</v>
      </c>
      <c r="K143" s="20">
        <f ca="1">IFERROR(__xludf.DUMMYFUNCTION("GOOGLEFINANCE(J143,""price"")"),307.95)</f>
        <v>307.95</v>
      </c>
      <c r="L143" s="20"/>
    </row>
    <row r="144" spans="9:12">
      <c r="I144" s="31" t="s">
        <v>838</v>
      </c>
      <c r="J144" s="3" t="str">
        <f t="shared" si="0"/>
        <v>NSE:HEROMOTOCO</v>
      </c>
      <c r="K144" s="20">
        <f ca="1">IFERROR(__xludf.DUMMYFUNCTION("GOOGLEFINANCE(J144,""price"")"),4450)</f>
        <v>4450</v>
      </c>
      <c r="L144" s="20"/>
    </row>
    <row r="145" spans="9:12">
      <c r="I145" s="31" t="s">
        <v>839</v>
      </c>
      <c r="J145" s="3" t="str">
        <f t="shared" si="0"/>
        <v>NSE:HINDCOPPER</v>
      </c>
      <c r="K145" s="20">
        <f ca="1">IFERROR(__xludf.DUMMYFUNCTION("GOOGLEFINANCE(J145,""price"")"),362.6)</f>
        <v>362.6</v>
      </c>
      <c r="L145" s="20"/>
    </row>
    <row r="146" spans="9:12">
      <c r="I146" s="31" t="s">
        <v>840</v>
      </c>
      <c r="J146" s="3" t="str">
        <f t="shared" si="0"/>
        <v>NSE:HINDPETRO</v>
      </c>
      <c r="K146" s="20">
        <f ca="1">IFERROR(__xludf.DUMMYFUNCTION("GOOGLEFINANCE(J146,""price"")"),478.5)</f>
        <v>478.5</v>
      </c>
      <c r="L146" s="20"/>
    </row>
    <row r="147" spans="9:12">
      <c r="I147" s="31" t="s">
        <v>841</v>
      </c>
      <c r="J147" s="3" t="str">
        <f t="shared" si="0"/>
        <v>NSE:HIRECT</v>
      </c>
      <c r="K147" s="20">
        <f ca="1">IFERROR(__xludf.DUMMYFUNCTION("GOOGLEFINANCE(J147,""price"")"),625)</f>
        <v>625</v>
      </c>
      <c r="L147" s="20"/>
    </row>
    <row r="148" spans="9:12">
      <c r="I148" s="31" t="s">
        <v>606</v>
      </c>
      <c r="J148" s="3" t="str">
        <f t="shared" si="0"/>
        <v>NSE:HITECH</v>
      </c>
      <c r="K148" s="20">
        <f ca="1">IFERROR(__xludf.DUMMYFUNCTION("GOOGLEFINANCE(J148,""price"")"),134.5)</f>
        <v>134.5</v>
      </c>
      <c r="L148" s="20"/>
    </row>
    <row r="149" spans="9:12">
      <c r="I149" s="31" t="s">
        <v>842</v>
      </c>
      <c r="J149" s="3" t="str">
        <f t="shared" si="0"/>
        <v>NSE:HITECHGEAR</v>
      </c>
      <c r="K149" s="20">
        <f ca="1">IFERROR(__xludf.DUMMYFUNCTION("GOOGLEFINANCE(J149,""price"")"),880)</f>
        <v>880</v>
      </c>
      <c r="L149" s="20"/>
    </row>
    <row r="150" spans="9:12">
      <c r="I150" s="31" t="s">
        <v>843</v>
      </c>
      <c r="J150" s="3" t="str">
        <f t="shared" si="0"/>
        <v>NSE:HLVLTD</v>
      </c>
      <c r="K150" s="20">
        <f ca="1">IFERROR(__xludf.DUMMYFUNCTION("GOOGLEFINANCE(J150,""price"")"),29.25)</f>
        <v>29.25</v>
      </c>
      <c r="L150" s="20"/>
    </row>
    <row r="151" spans="9:12">
      <c r="I151" s="31" t="s">
        <v>844</v>
      </c>
      <c r="J151" s="3" t="str">
        <f t="shared" si="0"/>
        <v>NSE:HPL</v>
      </c>
      <c r="K151" s="20">
        <f ca="1">IFERROR(__xludf.DUMMYFUNCTION("GOOGLEFINANCE(J151,""price"")"),327.75)</f>
        <v>327.75</v>
      </c>
      <c r="L151" s="20"/>
    </row>
    <row r="152" spans="9:12">
      <c r="I152" s="31" t="s">
        <v>845</v>
      </c>
      <c r="J152" s="3" t="str">
        <f t="shared" si="0"/>
        <v>NSE:HSCL</v>
      </c>
      <c r="K152" s="20">
        <f ca="1">IFERROR(__xludf.DUMMYFUNCTION("GOOGLEFINANCE(J152,""price"")"),319)</f>
        <v>319</v>
      </c>
      <c r="L152" s="20"/>
    </row>
    <row r="153" spans="9:12">
      <c r="I153" s="31" t="s">
        <v>846</v>
      </c>
      <c r="J153" s="3" t="str">
        <f t="shared" si="0"/>
        <v>NSE:HUDCO</v>
      </c>
      <c r="K153" s="20">
        <f ca="1">IFERROR(__xludf.DUMMYFUNCTION("GOOGLEFINANCE(J153,""price"")"),205)</f>
        <v>205</v>
      </c>
      <c r="L153" s="20"/>
    </row>
    <row r="154" spans="9:12">
      <c r="I154" s="31" t="s">
        <v>847</v>
      </c>
      <c r="J154" s="3" t="str">
        <f t="shared" si="0"/>
        <v>NSE:HUHTAMAKI</v>
      </c>
      <c r="K154" s="20">
        <f ca="1">IFERROR(__xludf.DUMMYFUNCTION("GOOGLEFINANCE(J154,""price"")"),333.2)</f>
        <v>333.2</v>
      </c>
      <c r="L154" s="20"/>
    </row>
    <row r="155" spans="9:12">
      <c r="I155" s="31" t="s">
        <v>848</v>
      </c>
      <c r="J155" s="3" t="str">
        <f t="shared" si="0"/>
        <v>NSE:ICICIBANK</v>
      </c>
      <c r="K155" s="20">
        <f ca="1">IFERROR(__xludf.DUMMYFUNCTION("GOOGLEFINANCE(J155,""price"")"),1103)</f>
        <v>1103</v>
      </c>
      <c r="L155" s="20"/>
    </row>
    <row r="156" spans="9:12">
      <c r="I156" s="31" t="s">
        <v>849</v>
      </c>
      <c r="J156" s="3" t="str">
        <f t="shared" si="0"/>
        <v>NSE:ICICIGI</v>
      </c>
      <c r="K156" s="20">
        <f ca="1">IFERROR(__xludf.DUMMYFUNCTION("GOOGLEFINANCE(J156,""price"")"),1660.4)</f>
        <v>1660.4</v>
      </c>
      <c r="L156" s="20"/>
    </row>
    <row r="157" spans="9:12">
      <c r="I157" s="31" t="s">
        <v>850</v>
      </c>
      <c r="J157" s="3" t="str">
        <f t="shared" si="0"/>
        <v>NSE:ICIL</v>
      </c>
      <c r="K157" s="20">
        <f ca="1">IFERROR(__xludf.DUMMYFUNCTION("GOOGLEFINANCE(J157,""price"")"),385)</f>
        <v>385</v>
      </c>
      <c r="L157" s="20"/>
    </row>
    <row r="158" spans="9:12">
      <c r="I158" s="31" t="s">
        <v>851</v>
      </c>
      <c r="J158" s="3" t="str">
        <f t="shared" si="0"/>
        <v>NSE:IDBI</v>
      </c>
      <c r="K158" s="20">
        <f ca="1">IFERROR(__xludf.DUMMYFUNCTION("GOOGLEFINANCE(J158,""price"")"),86.95)</f>
        <v>86.95</v>
      </c>
      <c r="L158" s="20"/>
    </row>
    <row r="159" spans="9:12">
      <c r="I159" s="31" t="s">
        <v>852</v>
      </c>
      <c r="J159" s="3" t="str">
        <f t="shared" si="0"/>
        <v>NSE:IITL</v>
      </c>
      <c r="K159" s="20">
        <f ca="1">IFERROR(__xludf.DUMMYFUNCTION("GOOGLEFINANCE(J159,""price"")"),186.15)</f>
        <v>186.15</v>
      </c>
      <c r="L159" s="20"/>
    </row>
    <row r="160" spans="9:12">
      <c r="I160" s="31" t="s">
        <v>853</v>
      </c>
      <c r="J160" s="3" t="str">
        <f t="shared" si="0"/>
        <v>NSE:IMAGICAA</v>
      </c>
      <c r="K160" s="20">
        <f ca="1">IFERROR(__xludf.DUMMYFUNCTION("GOOGLEFINANCE(J160,""price"")"),82.5)</f>
        <v>82.5</v>
      </c>
      <c r="L160" s="20"/>
    </row>
    <row r="161" spans="9:12">
      <c r="I161" s="31" t="s">
        <v>854</v>
      </c>
      <c r="J161" s="3" t="str">
        <f t="shared" si="0"/>
        <v>NSE:IMFA</v>
      </c>
      <c r="K161" s="20">
        <f ca="1">IFERROR(__xludf.DUMMYFUNCTION("GOOGLEFINANCE(J161,""price"")"),719.7)</f>
        <v>719.7</v>
      </c>
      <c r="L161" s="20"/>
    </row>
    <row r="162" spans="9:12">
      <c r="I162" s="31" t="s">
        <v>855</v>
      </c>
      <c r="J162" s="3" t="str">
        <f t="shared" si="0"/>
        <v>NSE:INDHOTEL</v>
      </c>
      <c r="K162" s="20">
        <f ca="1">IFERROR(__xludf.DUMMYFUNCTION("GOOGLEFINANCE(J162,""price"")"),608)</f>
        <v>608</v>
      </c>
      <c r="L162" s="20"/>
    </row>
    <row r="163" spans="9:12">
      <c r="I163" s="31" t="s">
        <v>856</v>
      </c>
      <c r="J163" s="3" t="str">
        <f t="shared" si="0"/>
        <v>NSE:INDIANB</v>
      </c>
      <c r="K163" s="20">
        <f ca="1">IFERROR(__xludf.DUMMYFUNCTION("GOOGLEFINANCE(J163,""price"")"),524.6)</f>
        <v>524.6</v>
      </c>
      <c r="L163" s="20"/>
    </row>
    <row r="164" spans="9:12">
      <c r="I164" s="31" t="s">
        <v>857</v>
      </c>
      <c r="J164" s="3" t="str">
        <f t="shared" si="0"/>
        <v>NSE:INDIANHUME</v>
      </c>
      <c r="K164" s="20">
        <f ca="1">IFERROR(__xludf.DUMMYFUNCTION("GOOGLEFINANCE(J164,""price"")"),279.2)</f>
        <v>279.2</v>
      </c>
      <c r="L164" s="20"/>
    </row>
    <row r="165" spans="9:12">
      <c r="I165" s="31" t="s">
        <v>858</v>
      </c>
      <c r="J165" s="3" t="str">
        <f t="shared" si="0"/>
        <v>NSE:INDIGO</v>
      </c>
      <c r="K165" s="20">
        <f ca="1">IFERROR(__xludf.DUMMYFUNCTION("GOOGLEFINANCE(J165,""price"")"),3679.95)</f>
        <v>3679.95</v>
      </c>
      <c r="L165" s="20"/>
    </row>
    <row r="166" spans="9:12">
      <c r="I166" s="31" t="s">
        <v>859</v>
      </c>
      <c r="J166" s="3" t="str">
        <f t="shared" si="0"/>
        <v>NSE:INDNIPPON</v>
      </c>
      <c r="K166" s="20">
        <f ca="1">IFERROR(__xludf.DUMMYFUNCTION("GOOGLEFINANCE(J166,""price"")"),718)</f>
        <v>718</v>
      </c>
      <c r="L166" s="20"/>
    </row>
    <row r="167" spans="9:12">
      <c r="I167" s="31" t="s">
        <v>860</v>
      </c>
      <c r="J167" s="3" t="str">
        <f t="shared" si="0"/>
        <v>NSE:INDOTECH</v>
      </c>
      <c r="K167" s="20">
        <f ca="1">IFERROR(__xludf.DUMMYFUNCTION("GOOGLEFINANCE(J167,""price"")"),1342.55)</f>
        <v>1342.55</v>
      </c>
      <c r="L167" s="20"/>
    </row>
    <row r="168" spans="9:12">
      <c r="I168" s="31" t="s">
        <v>861</v>
      </c>
      <c r="J168" s="3" t="str">
        <f t="shared" si="0"/>
        <v>NSE:INDSWFTLAB</v>
      </c>
      <c r="K168" s="20">
        <f ca="1">IFERROR(__xludf.DUMMYFUNCTION("GOOGLEFINANCE(J168,""price"")"),128.5)</f>
        <v>128.5</v>
      </c>
      <c r="L168" s="20"/>
    </row>
    <row r="169" spans="9:12">
      <c r="I169" s="31" t="s">
        <v>862</v>
      </c>
      <c r="J169" s="3" t="str">
        <f t="shared" si="0"/>
        <v>NSE:INOXWIND</v>
      </c>
      <c r="K169" s="20">
        <f ca="1">IFERROR(__xludf.DUMMYFUNCTION("GOOGLEFINANCE(J169,""price"")"),564.95)</f>
        <v>564.95000000000005</v>
      </c>
      <c r="L169" s="20"/>
    </row>
    <row r="170" spans="9:12">
      <c r="I170" s="31" t="s">
        <v>863</v>
      </c>
      <c r="J170" s="3" t="str">
        <f t="shared" si="0"/>
        <v>NSE:INTELLECT</v>
      </c>
      <c r="K170" s="20">
        <f ca="1">IFERROR(__xludf.DUMMYFUNCTION("GOOGLEFINANCE(J170,""price"")"),1002)</f>
        <v>1002</v>
      </c>
      <c r="L170" s="20"/>
    </row>
    <row r="171" spans="9:12">
      <c r="I171" s="31" t="s">
        <v>122</v>
      </c>
      <c r="J171" s="3" t="str">
        <f t="shared" si="0"/>
        <v>NSE:IOB</v>
      </c>
      <c r="K171" s="20">
        <f ca="1">IFERROR(__xludf.DUMMYFUNCTION("GOOGLEFINANCE(J171,""price"")"),64.05)</f>
        <v>64.05</v>
      </c>
      <c r="L171" s="20"/>
    </row>
    <row r="172" spans="9:12">
      <c r="I172" s="31" t="s">
        <v>864</v>
      </c>
      <c r="J172" s="3" t="str">
        <f t="shared" si="0"/>
        <v>NSE:IOC</v>
      </c>
      <c r="K172" s="20">
        <f ca="1">IFERROR(__xludf.DUMMYFUNCTION("GOOGLEFINANCE(J172,""price"")"),170.05)</f>
        <v>170.05</v>
      </c>
      <c r="L172" s="20"/>
    </row>
    <row r="173" spans="9:12">
      <c r="I173" s="31" t="s">
        <v>607</v>
      </c>
      <c r="J173" s="3" t="str">
        <f t="shared" si="0"/>
        <v>NSE:IRB</v>
      </c>
      <c r="K173" s="20">
        <f ca="1">IFERROR(__xludf.DUMMYFUNCTION("GOOGLEFINANCE(J173,""price"")"),68)</f>
        <v>68</v>
      </c>
      <c r="L173" s="20"/>
    </row>
    <row r="174" spans="9:12">
      <c r="I174" s="31" t="s">
        <v>865</v>
      </c>
      <c r="J174" s="3" t="str">
        <f t="shared" si="0"/>
        <v>NSE:IRCON</v>
      </c>
      <c r="K174" s="20">
        <f ca="1">IFERROR(__xludf.DUMMYFUNCTION("GOOGLEFINANCE(J174,""price"")"),226.25)</f>
        <v>226.25</v>
      </c>
      <c r="L174" s="20"/>
    </row>
    <row r="175" spans="9:12">
      <c r="I175" s="31" t="s">
        <v>866</v>
      </c>
      <c r="J175" s="3" t="str">
        <f t="shared" si="0"/>
        <v>NSE:ISEC</v>
      </c>
      <c r="K175" s="20">
        <f ca="1">IFERROR(__xludf.DUMMYFUNCTION("GOOGLEFINANCE(J175,""price"")"),732.75)</f>
        <v>732.75</v>
      </c>
      <c r="L175" s="20"/>
    </row>
    <row r="176" spans="9:12">
      <c r="I176" s="31" t="s">
        <v>867</v>
      </c>
      <c r="J176" s="3" t="str">
        <f t="shared" si="0"/>
        <v>NSE:ITDCEM</v>
      </c>
      <c r="K176" s="20">
        <f ca="1">IFERROR(__xludf.DUMMYFUNCTION("GOOGLEFINANCE(J176,""price"")"),336.35)</f>
        <v>336.35</v>
      </c>
      <c r="L176" s="20"/>
    </row>
    <row r="177" spans="9:12">
      <c r="I177" s="31" t="s">
        <v>868</v>
      </c>
      <c r="J177" s="3" t="str">
        <f t="shared" si="0"/>
        <v>NSE:J&amp;KBANK</v>
      </c>
      <c r="K177" s="20">
        <f ca="1">IFERROR(__xludf.DUMMYFUNCTION("GOOGLEFINANCE(J177,""price"")"),137.2)</f>
        <v>137.19999999999999</v>
      </c>
      <c r="L177" s="20"/>
    </row>
    <row r="178" spans="9:12">
      <c r="I178" s="31" t="s">
        <v>869</v>
      </c>
      <c r="J178" s="3" t="str">
        <f t="shared" si="0"/>
        <v>NSE:JAGRAN</v>
      </c>
      <c r="K178" s="20">
        <f ca="1">IFERROR(__xludf.DUMMYFUNCTION("GOOGLEFINANCE(J178,""price"")"),104)</f>
        <v>104</v>
      </c>
      <c r="L178" s="20"/>
    </row>
    <row r="179" spans="9:12">
      <c r="I179" s="31" t="s">
        <v>870</v>
      </c>
      <c r="J179" s="3" t="str">
        <f t="shared" si="0"/>
        <v>NSE:JAIBALAJI</v>
      </c>
      <c r="K179" s="20">
        <f ca="1">IFERROR(__xludf.DUMMYFUNCTION("GOOGLEFINANCE(J179,""price"")"),1067.9)</f>
        <v>1067.9000000000001</v>
      </c>
      <c r="L179" s="20"/>
    </row>
    <row r="180" spans="9:12">
      <c r="I180" s="31" t="s">
        <v>871</v>
      </c>
      <c r="J180" s="3" t="str">
        <f t="shared" si="0"/>
        <v>NSE:JAICORPLTD</v>
      </c>
      <c r="K180" s="20">
        <f ca="1">IFERROR(__xludf.DUMMYFUNCTION("GOOGLEFINANCE(J180,""price"")"),302.6)</f>
        <v>302.60000000000002</v>
      </c>
      <c r="L180" s="20"/>
    </row>
    <row r="181" spans="9:12">
      <c r="I181" s="31" t="s">
        <v>872</v>
      </c>
      <c r="J181" s="3" t="str">
        <f t="shared" si="0"/>
        <v>NSE:JASH</v>
      </c>
      <c r="K181" s="20">
        <f ca="1">IFERROR(__xludf.DUMMYFUNCTION("GOOGLEFINANCE(J181,""price"")"),1709)</f>
        <v>1709</v>
      </c>
      <c r="L181" s="20"/>
    </row>
    <row r="182" spans="9:12">
      <c r="I182" s="31" t="s">
        <v>873</v>
      </c>
      <c r="J182" s="3" t="str">
        <f t="shared" si="0"/>
        <v>NSE:JAYBARMARU</v>
      </c>
      <c r="K182" s="20">
        <f ca="1">IFERROR(__xludf.DUMMYFUNCTION("GOOGLEFINANCE(J182,""price"")"),122)</f>
        <v>122</v>
      </c>
      <c r="L182" s="20"/>
    </row>
    <row r="183" spans="9:12">
      <c r="I183" s="31" t="s">
        <v>874</v>
      </c>
      <c r="J183" s="3" t="str">
        <f t="shared" si="0"/>
        <v>NSE:JBCHEPHARM</v>
      </c>
      <c r="K183" s="20">
        <f ca="1">IFERROR(__xludf.DUMMYFUNCTION("GOOGLEFINANCE(J183,""price"")"),1800)</f>
        <v>1800</v>
      </c>
      <c r="L183" s="20"/>
    </row>
    <row r="184" spans="9:12">
      <c r="I184" s="31" t="s">
        <v>875</v>
      </c>
      <c r="J184" s="3" t="str">
        <f t="shared" si="0"/>
        <v>NSE:JBMA</v>
      </c>
      <c r="K184" s="20">
        <f ca="1">IFERROR(__xludf.DUMMYFUNCTION("GOOGLEFINANCE(J184,""price"")"),1762)</f>
        <v>1762</v>
      </c>
      <c r="L184" s="20"/>
    </row>
    <row r="185" spans="9:12">
      <c r="I185" s="31" t="s">
        <v>876</v>
      </c>
      <c r="J185" s="3" t="str">
        <f t="shared" si="0"/>
        <v>NSE:JINDALPHOT</v>
      </c>
      <c r="K185" s="20">
        <f ca="1">IFERROR(__xludf.DUMMYFUNCTION("GOOGLEFINANCE(J185,""price"")"),617.05)</f>
        <v>617.04999999999995</v>
      </c>
      <c r="L185" s="20"/>
    </row>
    <row r="186" spans="9:12">
      <c r="I186" s="31" t="s">
        <v>877</v>
      </c>
      <c r="J186" s="3" t="str">
        <f t="shared" si="0"/>
        <v>NSE:JKCEMENT</v>
      </c>
      <c r="K186" s="20">
        <f ca="1">IFERROR(__xludf.DUMMYFUNCTION("GOOGLEFINANCE(J186,""price"")"),4285)</f>
        <v>4285</v>
      </c>
      <c r="L186" s="20"/>
    </row>
    <row r="187" spans="9:12">
      <c r="I187" s="31" t="s">
        <v>878</v>
      </c>
      <c r="J187" s="3" t="str">
        <f t="shared" si="0"/>
        <v>NSE:JKIL</v>
      </c>
      <c r="K187" s="20">
        <f ca="1">IFERROR(__xludf.DUMMYFUNCTION("GOOGLEFINANCE(J187,""price"")"),630)</f>
        <v>630</v>
      </c>
      <c r="L187" s="20"/>
    </row>
    <row r="188" spans="9:12">
      <c r="I188" s="31" t="s">
        <v>879</v>
      </c>
      <c r="J188" s="3" t="str">
        <f t="shared" si="0"/>
        <v>NSE:JKLAKSHMI</v>
      </c>
      <c r="K188" s="20">
        <f ca="1">IFERROR(__xludf.DUMMYFUNCTION("GOOGLEFINANCE(J188,""price"")"),797)</f>
        <v>797</v>
      </c>
      <c r="L188" s="20"/>
    </row>
    <row r="189" spans="9:12">
      <c r="I189" s="31" t="s">
        <v>880</v>
      </c>
      <c r="J189" s="3" t="str">
        <f t="shared" si="0"/>
        <v>NSE:JKTYRE</v>
      </c>
      <c r="K189" s="20">
        <f ca="1">IFERROR(__xludf.DUMMYFUNCTION("GOOGLEFINANCE(J189,""price"")"),416.5)</f>
        <v>416.5</v>
      </c>
      <c r="L189" s="20"/>
    </row>
    <row r="190" spans="9:12">
      <c r="I190" s="31" t="s">
        <v>881</v>
      </c>
      <c r="J190" s="3" t="str">
        <f t="shared" si="0"/>
        <v>NSE:JPOLYINVST</v>
      </c>
      <c r="K190" s="20">
        <f ca="1">IFERROR(__xludf.DUMMYFUNCTION("GOOGLEFINANCE(J190,""price"")"),659)</f>
        <v>659</v>
      </c>
      <c r="L190" s="20"/>
    </row>
    <row r="191" spans="9:12">
      <c r="I191" s="31" t="s">
        <v>882</v>
      </c>
      <c r="J191" s="3" t="str">
        <f t="shared" si="0"/>
        <v>NSE:JSWHL</v>
      </c>
      <c r="K191" s="20">
        <f ca="1">IFERROR(__xludf.DUMMYFUNCTION("GOOGLEFINANCE(J191,""price"")"),6946)</f>
        <v>6946</v>
      </c>
      <c r="L191" s="20"/>
    </row>
    <row r="192" spans="9:12">
      <c r="I192" s="31" t="s">
        <v>883</v>
      </c>
      <c r="J192" s="3" t="str">
        <f t="shared" si="0"/>
        <v>NSE:JUBLINDS</v>
      </c>
      <c r="K192" s="20">
        <f ca="1">IFERROR(__xludf.DUMMYFUNCTION("GOOGLEFINANCE(J192,""price"")"),1194)</f>
        <v>1194</v>
      </c>
      <c r="L192" s="20"/>
    </row>
    <row r="193" spans="9:12">
      <c r="I193" s="31" t="s">
        <v>884</v>
      </c>
      <c r="J193" s="3" t="str">
        <f t="shared" si="0"/>
        <v>NSE:JUSTDIAL</v>
      </c>
      <c r="K193" s="20">
        <f ca="1">IFERROR(__xludf.DUMMYFUNCTION("GOOGLEFINANCE(J193,""price"")"),894.8)</f>
        <v>894.8</v>
      </c>
      <c r="L193" s="20"/>
    </row>
    <row r="194" spans="9:12">
      <c r="I194" s="31" t="s">
        <v>885</v>
      </c>
      <c r="J194" s="3" t="str">
        <f t="shared" si="0"/>
        <v>NSE:JYOTHYLAB</v>
      </c>
      <c r="K194" s="20">
        <f ca="1">IFERROR(__xludf.DUMMYFUNCTION("GOOGLEFINANCE(J194,""price"")"),432.9)</f>
        <v>432.9</v>
      </c>
      <c r="L194" s="20"/>
    </row>
    <row r="195" spans="9:12">
      <c r="I195" s="31" t="s">
        <v>886</v>
      </c>
      <c r="J195" s="3" t="str">
        <f t="shared" si="0"/>
        <v>NSE:KAMATHOTEL</v>
      </c>
      <c r="K195" s="20">
        <f ca="1">IFERROR(__xludf.DUMMYFUNCTION("GOOGLEFINANCE(J195,""price"")"),296.7)</f>
        <v>296.7</v>
      </c>
      <c r="L195" s="20"/>
    </row>
    <row r="196" spans="9:12">
      <c r="I196" s="31" t="s">
        <v>887</v>
      </c>
      <c r="J196" s="3" t="str">
        <f t="shared" si="0"/>
        <v>NSE:KAMDHENU</v>
      </c>
      <c r="K196" s="20">
        <f ca="1">IFERROR(__xludf.DUMMYFUNCTION("GOOGLEFINANCE(J196,""price"")"),544)</f>
        <v>544</v>
      </c>
      <c r="L196" s="20"/>
    </row>
    <row r="197" spans="9:12">
      <c r="I197" s="31" t="s">
        <v>888</v>
      </c>
      <c r="J197" s="3" t="str">
        <f t="shared" si="0"/>
        <v>NSE:KELLTONTEC</v>
      </c>
      <c r="K197" s="20">
        <f ca="1">IFERROR(__xludf.DUMMYFUNCTION("GOOGLEFINANCE(J197,""price"")"),101.8)</f>
        <v>101.8</v>
      </c>
      <c r="L197" s="20"/>
    </row>
    <row r="198" spans="9:12">
      <c r="I198" s="31" t="s">
        <v>889</v>
      </c>
      <c r="J198" s="3" t="str">
        <f t="shared" si="0"/>
        <v>NSE:KERNEX</v>
      </c>
      <c r="K198" s="20">
        <f ca="1">IFERROR(__xludf.DUMMYFUNCTION("GOOGLEFINANCE(J198,""price"")"),578.95)</f>
        <v>578.95000000000005</v>
      </c>
      <c r="L198" s="20"/>
    </row>
    <row r="199" spans="9:12">
      <c r="I199" s="31" t="s">
        <v>890</v>
      </c>
      <c r="J199" s="3" t="str">
        <f t="shared" si="0"/>
        <v>NSE:KESORAMIND</v>
      </c>
      <c r="K199" s="20">
        <f ca="1">IFERROR(__xludf.DUMMYFUNCTION("GOOGLEFINANCE(J199,""price"")"),170.15)</f>
        <v>170.15</v>
      </c>
      <c r="L199" s="20"/>
    </row>
    <row r="200" spans="9:12">
      <c r="I200" s="31" t="s">
        <v>891</v>
      </c>
      <c r="J200" s="3" t="str">
        <f t="shared" si="0"/>
        <v>NSE:KILITCH</v>
      </c>
      <c r="K200" s="20">
        <f ca="1">IFERROR(__xludf.DUMMYFUNCTION("GOOGLEFINANCE(J200,""price"")"),354.9)</f>
        <v>354.9</v>
      </c>
      <c r="L200" s="20"/>
    </row>
    <row r="201" spans="9:12">
      <c r="I201" s="31" t="s">
        <v>892</v>
      </c>
      <c r="J201" s="3" t="str">
        <f t="shared" si="0"/>
        <v>NSE:KIRLOSENG</v>
      </c>
      <c r="K201" s="20">
        <f ca="1">IFERROR(__xludf.DUMMYFUNCTION("GOOGLEFINANCE(J201,""price"")"),880.6)</f>
        <v>880.6</v>
      </c>
      <c r="L201" s="20"/>
    </row>
    <row r="202" spans="9:12">
      <c r="I202" s="31" t="s">
        <v>893</v>
      </c>
      <c r="J202" s="3" t="str">
        <f t="shared" si="0"/>
        <v>NSE:KPIL</v>
      </c>
      <c r="K202" s="20">
        <f ca="1">IFERROR(__xludf.DUMMYFUNCTION("GOOGLEFINANCE(J202,""price"")"),1173.4)</f>
        <v>1173.4000000000001</v>
      </c>
      <c r="L202" s="20"/>
    </row>
    <row r="203" spans="9:12">
      <c r="I203" s="31" t="s">
        <v>894</v>
      </c>
      <c r="J203" s="3" t="str">
        <f t="shared" si="0"/>
        <v>NSE:KPITTECH</v>
      </c>
      <c r="K203" s="20">
        <f ca="1">IFERROR(__xludf.DUMMYFUNCTION("GOOGLEFINANCE(J203,""price"")"),1475.9)</f>
        <v>1475.9</v>
      </c>
      <c r="L203" s="20"/>
    </row>
    <row r="204" spans="9:12">
      <c r="I204" s="31" t="s">
        <v>895</v>
      </c>
      <c r="J204" s="3" t="str">
        <f t="shared" si="0"/>
        <v>NSE:KSB</v>
      </c>
      <c r="K204" s="20">
        <f ca="1">IFERROR(__xludf.DUMMYFUNCTION("GOOGLEFINANCE(J204,""price"")"),4355)</f>
        <v>4355</v>
      </c>
      <c r="L204" s="20"/>
    </row>
    <row r="205" spans="9:12">
      <c r="I205" s="31" t="s">
        <v>896</v>
      </c>
      <c r="J205" s="3" t="str">
        <f t="shared" si="0"/>
        <v>NSE:KSCL</v>
      </c>
      <c r="K205" s="20">
        <f ca="1">IFERROR(__xludf.DUMMYFUNCTION("GOOGLEFINANCE(J205,""price"")"),683.75)</f>
        <v>683.75</v>
      </c>
      <c r="L205" s="20"/>
    </row>
    <row r="206" spans="9:12">
      <c r="I206" s="31" t="s">
        <v>121</v>
      </c>
      <c r="J206" s="3" t="str">
        <f t="shared" si="0"/>
        <v>NSE:KSL</v>
      </c>
      <c r="K206" s="20">
        <f ca="1">IFERROR(__xludf.DUMMYFUNCTION("GOOGLEFINANCE(J206,""price"")"),893.75)</f>
        <v>893.75</v>
      </c>
      <c r="L206" s="20"/>
    </row>
    <row r="207" spans="9:12">
      <c r="I207" s="31" t="s">
        <v>897</v>
      </c>
      <c r="J207" s="3" t="str">
        <f t="shared" si="0"/>
        <v>NSE:L&amp;TFH</v>
      </c>
      <c r="K207" s="20">
        <f ca="1">IFERROR(__xludf.DUMMYFUNCTION("GOOGLEFINANCE(J207,""price"")"),167.35)</f>
        <v>167.35</v>
      </c>
      <c r="L207" s="20"/>
    </row>
    <row r="208" spans="9:12">
      <c r="I208" s="31" t="s">
        <v>898</v>
      </c>
      <c r="J208" s="3" t="str">
        <f t="shared" si="0"/>
        <v>NSE:LEMONTREE</v>
      </c>
      <c r="K208" s="20">
        <f ca="1">IFERROR(__xludf.DUMMYFUNCTION("GOOGLEFINANCE(J208,""price"")"),139.5)</f>
        <v>139.5</v>
      </c>
      <c r="L208" s="20"/>
    </row>
    <row r="209" spans="9:12">
      <c r="I209" s="31" t="s">
        <v>899</v>
      </c>
      <c r="J209" s="3" t="str">
        <f t="shared" si="0"/>
        <v>NSE:LICHSGFIN</v>
      </c>
      <c r="K209" s="20">
        <f ca="1">IFERROR(__xludf.DUMMYFUNCTION("GOOGLEFINANCE(J209,""price"")"),649.7)</f>
        <v>649.70000000000005</v>
      </c>
      <c r="L209" s="20"/>
    </row>
    <row r="210" spans="9:12">
      <c r="I210" s="31" t="s">
        <v>900</v>
      </c>
      <c r="J210" s="3" t="str">
        <f t="shared" si="0"/>
        <v>NSE:LINCOLN</v>
      </c>
      <c r="K210" s="20">
        <f ca="1">IFERROR(__xludf.DUMMYFUNCTION("GOOGLEFINANCE(J210,""price"")"),599)</f>
        <v>599</v>
      </c>
      <c r="L210" s="20"/>
    </row>
    <row r="211" spans="9:12">
      <c r="I211" s="31" t="s">
        <v>901</v>
      </c>
      <c r="J211" s="3" t="str">
        <f t="shared" si="0"/>
        <v>NSE:LLOYDSENGG</v>
      </c>
      <c r="K211" s="20">
        <f ca="1">IFERROR(__xludf.DUMMYFUNCTION("GOOGLEFINANCE(J211,""price"")"),58.1)</f>
        <v>58.1</v>
      </c>
      <c r="L211" s="20"/>
    </row>
    <row r="212" spans="9:12">
      <c r="I212" s="31" t="s">
        <v>902</v>
      </c>
      <c r="J212" s="3" t="str">
        <f t="shared" si="0"/>
        <v>NSE:LOKESHMACH</v>
      </c>
      <c r="K212" s="20">
        <f ca="1">IFERROR(__xludf.DUMMYFUNCTION("GOOGLEFINANCE(J212,""price"")"),431.9)</f>
        <v>431.9</v>
      </c>
      <c r="L212" s="20"/>
    </row>
    <row r="213" spans="9:12">
      <c r="I213" s="31" t="s">
        <v>903</v>
      </c>
      <c r="J213" s="3" t="str">
        <f t="shared" si="0"/>
        <v>NSE:LTTS</v>
      </c>
      <c r="K213" s="20">
        <f ca="1">IFERROR(__xludf.DUMMYFUNCTION("GOOGLEFINANCE(J213,""price"")"),5661)</f>
        <v>5661</v>
      </c>
      <c r="L213" s="20"/>
    </row>
    <row r="214" spans="9:12">
      <c r="I214" s="31" t="s">
        <v>904</v>
      </c>
      <c r="J214" s="3" t="str">
        <f t="shared" si="0"/>
        <v>NSE:LUMAXTECH</v>
      </c>
      <c r="K214" s="20">
        <f ca="1">IFERROR(__xludf.DUMMYFUNCTION("GOOGLEFINANCE(J214,""price"")"),466)</f>
        <v>466</v>
      </c>
      <c r="L214" s="20"/>
    </row>
    <row r="215" spans="9:12">
      <c r="I215" s="31" t="s">
        <v>905</v>
      </c>
      <c r="J215" s="3" t="str">
        <f t="shared" si="0"/>
        <v>NSE:LUPIN</v>
      </c>
      <c r="K215" s="20">
        <f ca="1">IFERROR(__xludf.DUMMYFUNCTION("GOOGLEFINANCE(J215,""price"")"),1624)</f>
        <v>1624</v>
      </c>
      <c r="L215" s="20"/>
    </row>
    <row r="216" spans="9:12">
      <c r="I216" s="31" t="s">
        <v>906</v>
      </c>
      <c r="J216" s="3" t="str">
        <f t="shared" si="0"/>
        <v>NSE:M&amp;M</v>
      </c>
      <c r="K216" s="20">
        <f ca="1">IFERROR(__xludf.DUMMYFUNCTION("GOOGLEFINANCE(J216,""price"")"),2072)</f>
        <v>2072</v>
      </c>
      <c r="L216" s="20"/>
    </row>
    <row r="217" spans="9:12">
      <c r="I217" s="31" t="s">
        <v>907</v>
      </c>
      <c r="J217" s="3" t="str">
        <f t="shared" si="0"/>
        <v>NSE:MAHABANK</v>
      </c>
      <c r="K217" s="20">
        <f ca="1">IFERROR(__xludf.DUMMYFUNCTION("GOOGLEFINANCE(J217,""price"")"),63.5)</f>
        <v>63.5</v>
      </c>
      <c r="L217" s="20"/>
    </row>
    <row r="218" spans="9:12">
      <c r="I218" s="31" t="s">
        <v>908</v>
      </c>
      <c r="J218" s="3" t="str">
        <f t="shared" si="0"/>
        <v>NSE:MANAPPURAM</v>
      </c>
      <c r="K218" s="20">
        <f ca="1">IFERROR(__xludf.DUMMYFUNCTION("GOOGLEFINANCE(J218,""price"")"),195.65)</f>
        <v>195.65</v>
      </c>
      <c r="L218" s="20"/>
    </row>
    <row r="219" spans="9:12">
      <c r="I219" s="31" t="s">
        <v>909</v>
      </c>
      <c r="J219" s="3" t="str">
        <f t="shared" si="0"/>
        <v>NSE:MANINDS</v>
      </c>
      <c r="K219" s="20">
        <f ca="1">IFERROR(__xludf.DUMMYFUNCTION("GOOGLEFINANCE(J219,""price"")"),370.05)</f>
        <v>370.05</v>
      </c>
      <c r="L219" s="20"/>
    </row>
    <row r="220" spans="9:12">
      <c r="I220" s="31" t="s">
        <v>910</v>
      </c>
      <c r="J220" s="3" t="str">
        <f t="shared" si="0"/>
        <v>NSE:MANINFRA</v>
      </c>
      <c r="K220" s="20">
        <f ca="1">IFERROR(__xludf.DUMMYFUNCTION("GOOGLEFINANCE(J220,""price"")"),214.9)</f>
        <v>214.9</v>
      </c>
      <c r="L220" s="20"/>
    </row>
    <row r="221" spans="9:12">
      <c r="I221" s="31" t="s">
        <v>911</v>
      </c>
      <c r="J221" s="3" t="str">
        <f t="shared" si="0"/>
        <v>NSE:MARUTI</v>
      </c>
      <c r="K221" s="20">
        <f ca="1">IFERROR(__xludf.DUMMYFUNCTION("GOOGLEFINANCE(J221,""price"")"),12269)</f>
        <v>12269</v>
      </c>
      <c r="L221" s="20"/>
    </row>
    <row r="222" spans="9:12">
      <c r="I222" s="31" t="s">
        <v>912</v>
      </c>
      <c r="J222" s="3" t="str">
        <f t="shared" si="0"/>
        <v>NSE:MAZDA</v>
      </c>
      <c r="K222" s="20">
        <f ca="1">IFERROR(__xludf.DUMMYFUNCTION("GOOGLEFINANCE(J222,""price"")"),1462.05)</f>
        <v>1462.05</v>
      </c>
      <c r="L222" s="20"/>
    </row>
    <row r="223" spans="9:12">
      <c r="I223" s="31" t="s">
        <v>913</v>
      </c>
      <c r="J223" s="3" t="str">
        <f t="shared" si="0"/>
        <v>NSE:MBLINFRA</v>
      </c>
      <c r="K223" s="20">
        <f ca="1">IFERROR(__xludf.DUMMYFUNCTION("GOOGLEFINANCE(J223,""price"")"),56.7)</f>
        <v>56.7</v>
      </c>
      <c r="L223" s="20"/>
    </row>
    <row r="224" spans="9:12">
      <c r="I224" s="31" t="s">
        <v>914</v>
      </c>
      <c r="J224" s="3" t="str">
        <f t="shared" si="0"/>
        <v>NSE:MCDOWELL-N</v>
      </c>
      <c r="K224" s="20">
        <f ca="1">IFERROR(__xludf.DUMMYFUNCTION("GOOGLEFINANCE(J224,""price"")"),1182.2)</f>
        <v>1182.2</v>
      </c>
      <c r="L224" s="20"/>
    </row>
    <row r="225" spans="9:12">
      <c r="I225" s="31" t="s">
        <v>125</v>
      </c>
      <c r="J225" s="3" t="str">
        <f t="shared" si="0"/>
        <v>NSE:MCX</v>
      </c>
      <c r="K225" s="20">
        <f ca="1">IFERROR(__xludf.DUMMYFUNCTION("GOOGLEFINANCE(J225,""price"")"),3826.05)</f>
        <v>3826.05</v>
      </c>
      <c r="L225" s="20"/>
    </row>
    <row r="226" spans="9:12">
      <c r="I226" s="31" t="s">
        <v>915</v>
      </c>
      <c r="J226" s="3" t="str">
        <f t="shared" si="0"/>
        <v>NSE:MGL</v>
      </c>
      <c r="K226" s="20">
        <f ca="1">IFERROR(__xludf.DUMMYFUNCTION("GOOGLEFINANCE(J226,""price"")"),1439.6)</f>
        <v>1439.6</v>
      </c>
      <c r="L226" s="20"/>
    </row>
    <row r="227" spans="9:12">
      <c r="I227" s="31" t="s">
        <v>916</v>
      </c>
      <c r="J227" s="3" t="str">
        <f t="shared" si="0"/>
        <v>NSE:MICEL</v>
      </c>
      <c r="K227" s="20">
        <f ca="1">IFERROR(__xludf.DUMMYFUNCTION("GOOGLEFINANCE(J227,""price"")"),42.6)</f>
        <v>42.6</v>
      </c>
      <c r="L227" s="20"/>
    </row>
    <row r="228" spans="9:12">
      <c r="I228" s="31" t="s">
        <v>917</v>
      </c>
      <c r="J228" s="3" t="str">
        <f t="shared" si="0"/>
        <v>NSE:MIDHANI</v>
      </c>
      <c r="K228" s="20">
        <f ca="1">IFERROR(__xludf.DUMMYFUNCTION("GOOGLEFINANCE(J228,""price"")"),424)</f>
        <v>424</v>
      </c>
      <c r="L228" s="20"/>
    </row>
    <row r="229" spans="9:12">
      <c r="I229" s="31" t="s">
        <v>918</v>
      </c>
      <c r="J229" s="3" t="str">
        <f t="shared" si="0"/>
        <v>NSE:MINDACORP</v>
      </c>
      <c r="K229" s="20">
        <f ca="1">IFERROR(__xludf.DUMMYFUNCTION("GOOGLEFINANCE(J229,""price"")"),415)</f>
        <v>415</v>
      </c>
      <c r="L229" s="20"/>
    </row>
    <row r="230" spans="9:12">
      <c r="I230" s="31" t="s">
        <v>919</v>
      </c>
      <c r="J230" s="3" t="str">
        <f t="shared" si="0"/>
        <v>NSE:MINDTECK</v>
      </c>
      <c r="K230" s="20">
        <f ca="1">IFERROR(__xludf.DUMMYFUNCTION("GOOGLEFINANCE(J230,""price"")"),290.85)</f>
        <v>290.85000000000002</v>
      </c>
      <c r="L230" s="20"/>
    </row>
    <row r="231" spans="9:12">
      <c r="I231" s="31" t="s">
        <v>920</v>
      </c>
      <c r="J231" s="3" t="str">
        <f t="shared" si="0"/>
        <v>NSE:MIRCELECTR</v>
      </c>
      <c r="K231" s="20">
        <f ca="1">IFERROR(__xludf.DUMMYFUNCTION("GOOGLEFINANCE(J231,""price"")"),20.6)</f>
        <v>20.6</v>
      </c>
      <c r="L231" s="20"/>
    </row>
    <row r="232" spans="9:12">
      <c r="I232" s="31" t="s">
        <v>921</v>
      </c>
      <c r="J232" s="3" t="str">
        <f t="shared" si="0"/>
        <v>NSE:MOTILALOFS</v>
      </c>
      <c r="K232" s="20">
        <f ca="1">IFERROR(__xludf.DUMMYFUNCTION("GOOGLEFINANCE(J232,""price"")"),2070.2)</f>
        <v>2070.1999999999998</v>
      </c>
      <c r="L232" s="20"/>
    </row>
    <row r="233" spans="9:12">
      <c r="I233" s="31" t="s">
        <v>922</v>
      </c>
      <c r="J233" s="3" t="str">
        <f t="shared" si="0"/>
        <v>NSE:MRF</v>
      </c>
      <c r="K233" s="20">
        <f ca="1">IFERROR(__xludf.DUMMYFUNCTION("GOOGLEFINANCE(J233,""price"")"),131696.6)</f>
        <v>131696.6</v>
      </c>
      <c r="L233" s="20"/>
    </row>
    <row r="234" spans="9:12">
      <c r="I234" s="31" t="s">
        <v>923</v>
      </c>
      <c r="J234" s="3" t="str">
        <f t="shared" si="0"/>
        <v>NSE:MSPL</v>
      </c>
      <c r="K234" s="20">
        <f ca="1">IFERROR(__xludf.DUMMYFUNCTION("GOOGLEFINANCE(J234,""price"")"),28.65)</f>
        <v>28.65</v>
      </c>
      <c r="L234" s="20"/>
    </row>
    <row r="235" spans="9:12">
      <c r="I235" s="31" t="s">
        <v>924</v>
      </c>
      <c r="J235" s="3" t="str">
        <f t="shared" si="0"/>
        <v>NSE:MUNJALAU</v>
      </c>
      <c r="K235" s="20">
        <f ca="1">IFERROR(__xludf.DUMMYFUNCTION("GOOGLEFINANCE(J235,""price"")"),83.5)</f>
        <v>83.5</v>
      </c>
      <c r="L235" s="20"/>
    </row>
    <row r="236" spans="9:12">
      <c r="I236" s="31" t="s">
        <v>925</v>
      </c>
      <c r="J236" s="3" t="str">
        <f t="shared" si="0"/>
        <v>NSE:MUNJALSHOW</v>
      </c>
      <c r="K236" s="20">
        <f ca="1">IFERROR(__xludf.DUMMYFUNCTION("GOOGLEFINANCE(J236,""price"")"),163.2)</f>
        <v>163.19999999999999</v>
      </c>
      <c r="L236" s="20"/>
    </row>
    <row r="237" spans="9:12">
      <c r="I237" s="31" t="s">
        <v>926</v>
      </c>
      <c r="J237" s="3" t="str">
        <f t="shared" si="0"/>
        <v>NSE:NAGAFERT</v>
      </c>
      <c r="K237" s="20">
        <f ca="1">IFERROR(__xludf.DUMMYFUNCTION("GOOGLEFINANCE(J237,""price"")"),10.55)</f>
        <v>10.55</v>
      </c>
      <c r="L237" s="20"/>
    </row>
    <row r="238" spans="9:12">
      <c r="I238" s="31" t="s">
        <v>927</v>
      </c>
      <c r="J238" s="3" t="str">
        <f t="shared" si="0"/>
        <v>NSE:NAM-INDIA</v>
      </c>
      <c r="K238" s="20">
        <f ca="1">IFERROR(__xludf.DUMMYFUNCTION("GOOGLEFINANCE(J238,""price"")"),543)</f>
        <v>543</v>
      </c>
      <c r="L238" s="20"/>
    </row>
    <row r="239" spans="9:12">
      <c r="I239" s="31" t="s">
        <v>928</v>
      </c>
      <c r="J239" s="3" t="str">
        <f t="shared" si="0"/>
        <v>NSE:NATCOPHARM</v>
      </c>
      <c r="K239" s="20">
        <f ca="1">IFERROR(__xludf.DUMMYFUNCTION("GOOGLEFINANCE(J239,""price"")"),975)</f>
        <v>975</v>
      </c>
      <c r="L239" s="20"/>
    </row>
    <row r="240" spans="9:12">
      <c r="I240" s="31" t="s">
        <v>929</v>
      </c>
      <c r="J240" s="3" t="str">
        <f t="shared" si="0"/>
        <v>NSE:NATIONALUM</v>
      </c>
      <c r="K240" s="20">
        <f ca="1">IFERROR(__xludf.DUMMYFUNCTION("GOOGLEFINANCE(J240,""price"")"),178.2)</f>
        <v>178.2</v>
      </c>
      <c r="L240" s="20"/>
    </row>
    <row r="241" spans="9:12">
      <c r="I241" s="31" t="s">
        <v>930</v>
      </c>
      <c r="J241" s="3" t="str">
        <f t="shared" si="0"/>
        <v>NSE:NAUKRI</v>
      </c>
      <c r="K241" s="20">
        <f ca="1">IFERROR(__xludf.DUMMYFUNCTION("GOOGLEFINANCE(J241,""price"")"),5980)</f>
        <v>5980</v>
      </c>
      <c r="L241" s="20"/>
    </row>
    <row r="242" spans="9:12">
      <c r="I242" s="31" t="s">
        <v>931</v>
      </c>
      <c r="J242" s="3" t="str">
        <f t="shared" si="0"/>
        <v>NSE:NAVA</v>
      </c>
      <c r="K242" s="20">
        <f ca="1">IFERROR(__xludf.DUMMYFUNCTION("GOOGLEFINANCE(J242,""price"")"),496.3)</f>
        <v>496.3</v>
      </c>
      <c r="L242" s="20"/>
    </row>
    <row r="243" spans="9:12">
      <c r="I243" s="31" t="s">
        <v>932</v>
      </c>
      <c r="J243" s="3" t="str">
        <f t="shared" si="0"/>
        <v>NSE:NBCC</v>
      </c>
      <c r="K243" s="20">
        <f ca="1">IFERROR(__xludf.DUMMYFUNCTION("GOOGLEFINANCE(J243,""price"")"),133.95)</f>
        <v>133.94999999999999</v>
      </c>
      <c r="L243" s="20"/>
    </row>
    <row r="244" spans="9:12">
      <c r="I244" s="31" t="s">
        <v>933</v>
      </c>
      <c r="J244" s="3" t="str">
        <f t="shared" si="0"/>
        <v>NSE:NCC</v>
      </c>
      <c r="K244" s="20">
        <f ca="1">IFERROR(__xludf.DUMMYFUNCTION("GOOGLEFINANCE(J244,""price"")"),258.35)</f>
        <v>258.35000000000002</v>
      </c>
      <c r="L244" s="20"/>
    </row>
    <row r="245" spans="9:12">
      <c r="I245" s="31" t="s">
        <v>934</v>
      </c>
      <c r="J245" s="3" t="str">
        <f t="shared" si="0"/>
        <v>NSE:NCLIND</v>
      </c>
      <c r="K245" s="20">
        <f ca="1">IFERROR(__xludf.DUMMYFUNCTION("GOOGLEFINANCE(J245,""price"")"),217.5)</f>
        <v>217.5</v>
      </c>
    </row>
    <row r="246" spans="9:12">
      <c r="I246" s="31" t="s">
        <v>935</v>
      </c>
      <c r="J246" s="3" t="str">
        <f t="shared" si="0"/>
        <v>NSE:NESCO</v>
      </c>
      <c r="K246" s="20">
        <f ca="1">IFERROR(__xludf.DUMMYFUNCTION("GOOGLEFINANCE(J246,""price"")"),827)</f>
        <v>827</v>
      </c>
    </row>
    <row r="247" spans="9:12">
      <c r="I247" s="31" t="s">
        <v>936</v>
      </c>
      <c r="J247" s="3" t="str">
        <f t="shared" si="0"/>
        <v>NSE:NEULANDLAB</v>
      </c>
      <c r="K247" s="20">
        <f ca="1">IFERROR(__xludf.DUMMYFUNCTION("GOOGLEFINANCE(J247,""price"")"),6665)</f>
        <v>6665</v>
      </c>
    </row>
    <row r="248" spans="9:12">
      <c r="I248" s="31" t="s">
        <v>937</v>
      </c>
      <c r="J248" s="3" t="str">
        <f t="shared" si="0"/>
        <v>NSE:NEWGEN</v>
      </c>
      <c r="K248" s="20">
        <f ca="1">IFERROR(__xludf.DUMMYFUNCTION("GOOGLEFINANCE(J248,""price"")"),783)</f>
        <v>783</v>
      </c>
    </row>
    <row r="249" spans="9:12">
      <c r="I249" s="31" t="s">
        <v>938</v>
      </c>
      <c r="J249" s="3" t="str">
        <f t="shared" si="0"/>
        <v>NSE:NH</v>
      </c>
      <c r="K249" s="20">
        <f ca="1">IFERROR(__xludf.DUMMYFUNCTION("GOOGLEFINANCE(J249,""price"")"),1299)</f>
        <v>1299</v>
      </c>
    </row>
    <row r="250" spans="9:12">
      <c r="I250" s="31" t="s">
        <v>939</v>
      </c>
      <c r="J250" s="3" t="str">
        <f t="shared" si="0"/>
        <v>NSE:NHPC</v>
      </c>
      <c r="K250" s="20">
        <f ca="1">IFERROR(__xludf.DUMMYFUNCTION("GOOGLEFINANCE(J250,""price"")"),92.15)</f>
        <v>92.15</v>
      </c>
    </row>
    <row r="251" spans="9:12">
      <c r="I251" s="31" t="s">
        <v>940</v>
      </c>
      <c r="J251" s="3" t="str">
        <f t="shared" si="0"/>
        <v>NSE:NIACL</v>
      </c>
      <c r="K251" s="20">
        <f ca="1">IFERROR(__xludf.DUMMYFUNCTION("GOOGLEFINANCE(J251,""price"")"),224.9)</f>
        <v>224.9</v>
      </c>
    </row>
    <row r="252" spans="9:12">
      <c r="I252" s="31" t="s">
        <v>941</v>
      </c>
      <c r="J252" s="3" t="str">
        <f t="shared" si="0"/>
        <v>NSE:NIITLTD</v>
      </c>
      <c r="K252" s="20">
        <f ca="1">IFERROR(__xludf.DUMMYFUNCTION("GOOGLEFINANCE(J252,""price"")"),108.75)</f>
        <v>108.75</v>
      </c>
    </row>
    <row r="253" spans="9:12">
      <c r="I253" s="31" t="s">
        <v>942</v>
      </c>
      <c r="J253" s="3" t="str">
        <f t="shared" si="0"/>
        <v>NSE:NITINSPIN</v>
      </c>
      <c r="K253" s="20">
        <f ca="1">IFERROR(__xludf.DUMMYFUNCTION("GOOGLEFINANCE(J253,""price"")"),355)</f>
        <v>355</v>
      </c>
    </row>
    <row r="254" spans="9:12">
      <c r="I254" s="31" t="s">
        <v>943</v>
      </c>
      <c r="J254" s="3" t="str">
        <f t="shared" si="0"/>
        <v>NSE:NLCINDIA</v>
      </c>
      <c r="K254" s="20">
        <f ca="1">IFERROR(__xludf.DUMMYFUNCTION("GOOGLEFINANCE(J254,""price"")"),235.7)</f>
        <v>235.7</v>
      </c>
    </row>
    <row r="255" spans="9:12">
      <c r="I255" s="31" t="s">
        <v>944</v>
      </c>
      <c r="J255" s="3" t="str">
        <f t="shared" si="0"/>
        <v>NSE:NMDC</v>
      </c>
      <c r="K255" s="20">
        <f ca="1">IFERROR(__xludf.DUMMYFUNCTION("GOOGLEFINANCE(J255,""price"")"),238.25)</f>
        <v>238.25</v>
      </c>
    </row>
    <row r="256" spans="9:12">
      <c r="I256" s="31" t="s">
        <v>945</v>
      </c>
      <c r="J256" s="3" t="str">
        <f t="shared" ref="J256:J396" si="1">"NSE:"&amp;""&amp;I256</f>
        <v>NSE:NRBBEARING</v>
      </c>
      <c r="K256" s="20">
        <f ca="1">IFERROR(__xludf.DUMMYFUNCTION("GOOGLEFINANCE(J256,""price"")"),318)</f>
        <v>318</v>
      </c>
    </row>
    <row r="257" spans="9:11">
      <c r="I257" s="31" t="s">
        <v>946</v>
      </c>
      <c r="J257" s="3" t="str">
        <f t="shared" si="1"/>
        <v>NSE:NTPC</v>
      </c>
      <c r="K257" s="20">
        <f ca="1">IFERROR(__xludf.DUMMYFUNCTION("GOOGLEFINANCE(J257,""price"")"),361.85)</f>
        <v>361.85</v>
      </c>
    </row>
    <row r="258" spans="9:11">
      <c r="I258" s="31" t="s">
        <v>947</v>
      </c>
      <c r="J258" s="3" t="str">
        <f t="shared" si="1"/>
        <v>NSE:OFSS</v>
      </c>
      <c r="K258" s="20">
        <f ca="1">IFERROR(__xludf.DUMMYFUNCTION("GOOGLEFINANCE(J258,""price"")"),8200)</f>
        <v>8200</v>
      </c>
    </row>
    <row r="259" spans="9:11">
      <c r="I259" s="31" t="s">
        <v>948</v>
      </c>
      <c r="J259" s="3" t="str">
        <f t="shared" si="1"/>
        <v>NSE:OIL</v>
      </c>
      <c r="K259" s="20">
        <f ca="1">IFERROR(__xludf.DUMMYFUNCTION("GOOGLEFINANCE(J259,""price"")"),616.2)</f>
        <v>616.20000000000005</v>
      </c>
    </row>
    <row r="260" spans="9:11">
      <c r="I260" s="31" t="s">
        <v>949</v>
      </c>
      <c r="J260" s="3" t="str">
        <f t="shared" si="1"/>
        <v>NSE:OLECTRA</v>
      </c>
      <c r="K260" s="20">
        <f ca="1">IFERROR(__xludf.DUMMYFUNCTION("GOOGLEFINANCE(J260,""price"")"),1819.8)</f>
        <v>1819.8</v>
      </c>
    </row>
    <row r="261" spans="9:11">
      <c r="I261" s="31" t="s">
        <v>950</v>
      </c>
      <c r="J261" s="3" t="str">
        <f t="shared" si="1"/>
        <v>NSE:OMINFRAL</v>
      </c>
      <c r="K261" s="20">
        <f ca="1">IFERROR(__xludf.DUMMYFUNCTION("GOOGLEFINANCE(J261,""price"")"),137.5)</f>
        <v>137.5</v>
      </c>
    </row>
    <row r="262" spans="9:11">
      <c r="I262" s="31" t="s">
        <v>951</v>
      </c>
      <c r="J262" s="3" t="str">
        <f t="shared" si="1"/>
        <v>NSE:ONEPOINT</v>
      </c>
      <c r="K262" s="20">
        <f ca="1">IFERROR(__xludf.DUMMYFUNCTION("GOOGLEFINANCE(J262,""price"")"),54.25)</f>
        <v>54.25</v>
      </c>
    </row>
    <row r="263" spans="9:11">
      <c r="I263" s="31" t="s">
        <v>952</v>
      </c>
      <c r="J263" s="3" t="str">
        <f t="shared" si="1"/>
        <v>NSE:ONGC</v>
      </c>
      <c r="K263" s="20">
        <f ca="1">IFERROR(__xludf.DUMMYFUNCTION("GOOGLEFINANCE(J263,""price"")"),265.6)</f>
        <v>265.60000000000002</v>
      </c>
    </row>
    <row r="264" spans="9:11">
      <c r="I264" s="31" t="s">
        <v>953</v>
      </c>
      <c r="J264" s="3" t="str">
        <f t="shared" si="1"/>
        <v>NSE:ORIENTCEM</v>
      </c>
      <c r="K264" s="20">
        <f ca="1">IFERROR(__xludf.DUMMYFUNCTION("GOOGLEFINANCE(J264,""price"")"),209.5)</f>
        <v>209.5</v>
      </c>
    </row>
    <row r="265" spans="9:11">
      <c r="I265" s="31" t="s">
        <v>954</v>
      </c>
      <c r="J265" s="3" t="str">
        <f t="shared" si="1"/>
        <v>NSE:ORIENTCER</v>
      </c>
      <c r="K265" s="20">
        <f ca="1">IFERROR(__xludf.DUMMYFUNCTION("GOOGLEFINANCE(J265,""price"")"),53)</f>
        <v>53</v>
      </c>
    </row>
    <row r="266" spans="9:11">
      <c r="I266" s="31" t="s">
        <v>955</v>
      </c>
      <c r="J266" s="3" t="str">
        <f t="shared" si="1"/>
        <v>NSE:ORIENTHOT</v>
      </c>
      <c r="K266" s="20">
        <f ca="1">IFERROR(__xludf.DUMMYFUNCTION("GOOGLEFINANCE(J266,""price"")"),134.75)</f>
        <v>134.75</v>
      </c>
    </row>
    <row r="267" spans="9:11">
      <c r="I267" s="31" t="s">
        <v>956</v>
      </c>
      <c r="J267" s="3" t="str">
        <f t="shared" si="1"/>
        <v>NSE:PARAGMILK</v>
      </c>
      <c r="K267" s="20">
        <f ca="1">IFERROR(__xludf.DUMMYFUNCTION("GOOGLEFINANCE(J267,""price"")"),212)</f>
        <v>212</v>
      </c>
    </row>
    <row r="268" spans="9:11">
      <c r="I268" s="31" t="s">
        <v>957</v>
      </c>
      <c r="J268" s="3" t="str">
        <f t="shared" si="1"/>
        <v>NSE:PATELENG</v>
      </c>
      <c r="K268" s="20">
        <f ca="1">IFERROR(__xludf.DUMMYFUNCTION("GOOGLEFINANCE(J268,""price"")"),61.15)</f>
        <v>61.15</v>
      </c>
    </row>
    <row r="269" spans="9:11">
      <c r="I269" s="31" t="s">
        <v>958</v>
      </c>
      <c r="J269" s="3" t="str">
        <f t="shared" si="1"/>
        <v>NSE:PCBL</v>
      </c>
      <c r="K269" s="20">
        <f ca="1">IFERROR(__xludf.DUMMYFUNCTION("GOOGLEFINANCE(J269,""price"")"),273.95)</f>
        <v>273.95</v>
      </c>
    </row>
    <row r="270" spans="9:11">
      <c r="I270" s="31" t="s">
        <v>959</v>
      </c>
      <c r="J270" s="3" t="str">
        <f t="shared" si="1"/>
        <v>NSE:PENIND</v>
      </c>
      <c r="K270" s="20">
        <f ca="1">IFERROR(__xludf.DUMMYFUNCTION("GOOGLEFINANCE(J270,""price"")"),130.85)</f>
        <v>130.85</v>
      </c>
    </row>
    <row r="271" spans="9:11">
      <c r="I271" s="31" t="s">
        <v>960</v>
      </c>
      <c r="J271" s="3" t="str">
        <f t="shared" si="1"/>
        <v>NSE:PENINLAND</v>
      </c>
      <c r="K271" s="20">
        <f ca="1">IFERROR(__xludf.DUMMYFUNCTION("GOOGLEFINANCE(J271,""price"")"),51.3)</f>
        <v>51.3</v>
      </c>
    </row>
    <row r="272" spans="9:11">
      <c r="I272" s="31" t="s">
        <v>961</v>
      </c>
      <c r="J272" s="3" t="str">
        <f t="shared" si="1"/>
        <v>NSE:PERSISTENT</v>
      </c>
      <c r="K272" s="20">
        <f ca="1">IFERROR(__xludf.DUMMYFUNCTION("GOOGLEFINANCE(J272,""price"")"),3984.05)</f>
        <v>3984.05</v>
      </c>
    </row>
    <row r="273" spans="9:11">
      <c r="I273" s="31" t="s">
        <v>135</v>
      </c>
      <c r="J273" s="3" t="str">
        <f t="shared" si="1"/>
        <v>NSE:PETRONET</v>
      </c>
      <c r="K273" s="20">
        <f ca="1">IFERROR(__xludf.DUMMYFUNCTION("GOOGLEFINANCE(J273,""price"")"),305.3)</f>
        <v>305.3</v>
      </c>
    </row>
    <row r="274" spans="9:11">
      <c r="I274" s="31" t="s">
        <v>962</v>
      </c>
      <c r="J274" s="3" t="str">
        <f t="shared" si="1"/>
        <v>NSE:PFC</v>
      </c>
      <c r="K274" s="20">
        <f ca="1">IFERROR(__xludf.DUMMYFUNCTION("GOOGLEFINANCE(J274,""price"")"),403.05)</f>
        <v>403.05</v>
      </c>
    </row>
    <row r="275" spans="9:11">
      <c r="I275" s="31" t="s">
        <v>963</v>
      </c>
      <c r="J275" s="3" t="str">
        <f t="shared" si="1"/>
        <v>NSE:PFOCUS</v>
      </c>
      <c r="K275" s="20">
        <f ca="1">IFERROR(__xludf.DUMMYFUNCTION("GOOGLEFINANCE(J275,""price"")"),104.85)</f>
        <v>104.85</v>
      </c>
    </row>
    <row r="276" spans="9:11">
      <c r="I276" s="31" t="s">
        <v>964</v>
      </c>
      <c r="J276" s="3" t="str">
        <f t="shared" si="1"/>
        <v>NSE:PFS</v>
      </c>
      <c r="K276" s="20">
        <f ca="1">IFERROR(__xludf.DUMMYFUNCTION("GOOGLEFINANCE(J276,""price"")"),40.65)</f>
        <v>40.65</v>
      </c>
    </row>
    <row r="277" spans="9:11">
      <c r="I277" s="31" t="s">
        <v>965</v>
      </c>
      <c r="J277" s="3" t="str">
        <f t="shared" si="1"/>
        <v>NSE:PGIL</v>
      </c>
      <c r="K277" s="20">
        <f ca="1">IFERROR(__xludf.DUMMYFUNCTION("GOOGLEFINANCE(J277,""price"")"),590.75)</f>
        <v>590.75</v>
      </c>
    </row>
    <row r="278" spans="9:11">
      <c r="I278" s="31" t="s">
        <v>966</v>
      </c>
      <c r="J278" s="3" t="str">
        <f t="shared" si="1"/>
        <v>NSE:PHOENIXLTD</v>
      </c>
      <c r="K278" s="20">
        <f ca="1">IFERROR(__xludf.DUMMYFUNCTION("GOOGLEFINANCE(J278,""price"")"),2991.95)</f>
        <v>2991.95</v>
      </c>
    </row>
    <row r="279" spans="9:11">
      <c r="I279" s="31" t="s">
        <v>967</v>
      </c>
      <c r="J279" s="3" t="str">
        <f t="shared" si="1"/>
        <v>NSE:PILANIINVS</v>
      </c>
      <c r="K279" s="20">
        <f ca="1">IFERROR(__xludf.DUMMYFUNCTION("GOOGLEFINANCE(J279,""price"")"),3526)</f>
        <v>3526</v>
      </c>
    </row>
    <row r="280" spans="9:11">
      <c r="I280" s="31" t="s">
        <v>968</v>
      </c>
      <c r="J280" s="3" t="str">
        <f t="shared" si="1"/>
        <v>NSE:PITTIENG</v>
      </c>
      <c r="K280" s="20">
        <f ca="1">IFERROR(__xludf.DUMMYFUNCTION("GOOGLEFINANCE(J280,""price"")"),853.05)</f>
        <v>853.05</v>
      </c>
    </row>
    <row r="281" spans="9:11">
      <c r="I281" s="31" t="s">
        <v>969</v>
      </c>
      <c r="J281" s="3" t="str">
        <f t="shared" si="1"/>
        <v>NSE:PNB</v>
      </c>
      <c r="K281" s="20">
        <f ca="1">IFERROR(__xludf.DUMMYFUNCTION("GOOGLEFINANCE(J281,""price"")"),134.7)</f>
        <v>134.69999999999999</v>
      </c>
    </row>
    <row r="282" spans="9:11">
      <c r="I282" s="31" t="s">
        <v>970</v>
      </c>
      <c r="J282" s="3" t="str">
        <f t="shared" si="1"/>
        <v>NSE:PNCINFRA</v>
      </c>
      <c r="K282" s="20">
        <f ca="1">IFERROR(__xludf.DUMMYFUNCTION("GOOGLEFINANCE(J282,""price"")"),445)</f>
        <v>445</v>
      </c>
    </row>
    <row r="283" spans="9:11">
      <c r="I283" s="31" t="s">
        <v>971</v>
      </c>
      <c r="J283" s="3" t="str">
        <f t="shared" si="1"/>
        <v>NSE:POLYMED</v>
      </c>
      <c r="K283" s="20">
        <f ca="1">IFERROR(__xludf.DUMMYFUNCTION("GOOGLEFINANCE(J283,""price"")"),1546)</f>
        <v>1546</v>
      </c>
    </row>
    <row r="284" spans="9:11">
      <c r="I284" s="31" t="s">
        <v>972</v>
      </c>
      <c r="J284" s="3" t="str">
        <f t="shared" si="1"/>
        <v>NSE:POONAWALLA</v>
      </c>
      <c r="K284" s="20">
        <f ca="1">IFERROR(__xludf.DUMMYFUNCTION("GOOGLEFINANCE(J284,""price"")"),494.3)</f>
        <v>494.3</v>
      </c>
    </row>
    <row r="285" spans="9:11">
      <c r="I285" s="31" t="s">
        <v>973</v>
      </c>
      <c r="J285" s="3" t="str">
        <f t="shared" si="1"/>
        <v>NSE:POWERGRID</v>
      </c>
      <c r="K285" s="20">
        <f ca="1">IFERROR(__xludf.DUMMYFUNCTION("GOOGLEFINANCE(J285,""price"")"),275.45)</f>
        <v>275.45</v>
      </c>
    </row>
    <row r="286" spans="9:11">
      <c r="I286" s="31" t="s">
        <v>974</v>
      </c>
      <c r="J286" s="3" t="str">
        <f t="shared" si="1"/>
        <v>NSE:PPL</v>
      </c>
      <c r="K286" s="20">
        <f ca="1">IFERROR(__xludf.DUMMYFUNCTION("GOOGLEFINANCE(J286,""price"")"),388.7)</f>
        <v>388.7</v>
      </c>
    </row>
    <row r="287" spans="9:11">
      <c r="I287" s="31" t="s">
        <v>975</v>
      </c>
      <c r="J287" s="3" t="str">
        <f t="shared" si="1"/>
        <v>NSE:PREMEXPLN</v>
      </c>
      <c r="K287" s="20">
        <f ca="1">IFERROR(__xludf.DUMMYFUNCTION("GOOGLEFINANCE(J287,""price"")"),1909.1)</f>
        <v>1909.1</v>
      </c>
    </row>
    <row r="288" spans="9:11">
      <c r="I288" s="31" t="s">
        <v>976</v>
      </c>
      <c r="J288" s="3" t="str">
        <f t="shared" si="1"/>
        <v>NSE:PRESTIGE</v>
      </c>
      <c r="K288" s="20">
        <f ca="1">IFERROR(__xludf.DUMMYFUNCTION("GOOGLEFINANCE(J288,""price"")"),1198)</f>
        <v>1198</v>
      </c>
    </row>
    <row r="289" spans="9:11">
      <c r="I289" s="31" t="s">
        <v>977</v>
      </c>
      <c r="J289" s="3" t="str">
        <f t="shared" si="1"/>
        <v>NSE:PRICOLLTD</v>
      </c>
      <c r="K289" s="20">
        <f ca="1">IFERROR(__xludf.DUMMYFUNCTION("GOOGLEFINANCE(J289,""price"")"),397)</f>
        <v>397</v>
      </c>
    </row>
    <row r="290" spans="9:11">
      <c r="I290" s="31" t="s">
        <v>978</v>
      </c>
      <c r="J290" s="3" t="str">
        <f t="shared" si="1"/>
        <v>NSE:PRIMESECU</v>
      </c>
      <c r="K290" s="20">
        <f ca="1">IFERROR(__xludf.DUMMYFUNCTION("GOOGLEFINANCE(J290,""price"")"),180)</f>
        <v>180</v>
      </c>
    </row>
    <row r="291" spans="9:11">
      <c r="I291" s="31" t="s">
        <v>979</v>
      </c>
      <c r="J291" s="3" t="str">
        <f t="shared" si="1"/>
        <v>NSE:PRSMJOHNSN</v>
      </c>
      <c r="K291" s="20">
        <f ca="1">IFERROR(__xludf.DUMMYFUNCTION("GOOGLEFINANCE(J291,""price"")"),175.6)</f>
        <v>175.6</v>
      </c>
    </row>
    <row r="292" spans="9:11">
      <c r="I292" s="31" t="s">
        <v>602</v>
      </c>
      <c r="J292" s="3" t="str">
        <f t="shared" si="1"/>
        <v>NSE:PSB</v>
      </c>
      <c r="K292" s="20">
        <f ca="1">IFERROR(__xludf.DUMMYFUNCTION("GOOGLEFINANCE(J292,""price"")"),61)</f>
        <v>61</v>
      </c>
    </row>
    <row r="293" spans="9:11">
      <c r="I293" s="31" t="s">
        <v>980</v>
      </c>
      <c r="J293" s="3" t="str">
        <f t="shared" si="1"/>
        <v>NSE:PTC</v>
      </c>
      <c r="K293" s="20">
        <f ca="1">IFERROR(__xludf.DUMMYFUNCTION("GOOGLEFINANCE(J293,""price"")"),199.25)</f>
        <v>199.25</v>
      </c>
    </row>
    <row r="294" spans="9:11">
      <c r="I294" s="31" t="s">
        <v>981</v>
      </c>
      <c r="J294" s="3" t="str">
        <f t="shared" si="1"/>
        <v>NSE:PURVA</v>
      </c>
      <c r="K294" s="20">
        <f ca="1">IFERROR(__xludf.DUMMYFUNCTION("GOOGLEFINANCE(J294,""price"")"),324.05)</f>
        <v>324.05</v>
      </c>
    </row>
    <row r="295" spans="9:11">
      <c r="I295" s="31" t="s">
        <v>982</v>
      </c>
      <c r="J295" s="3" t="str">
        <f t="shared" si="1"/>
        <v>NSE:PVP</v>
      </c>
      <c r="K295" s="20">
        <f ca="1">IFERROR(__xludf.DUMMYFUNCTION("GOOGLEFINANCE(J295,""price"")"),35.8)</f>
        <v>35.799999999999997</v>
      </c>
    </row>
    <row r="296" spans="9:11">
      <c r="I296" s="31" t="s">
        <v>983</v>
      </c>
      <c r="J296" s="3" t="str">
        <f t="shared" si="1"/>
        <v>NSE:RADICO</v>
      </c>
      <c r="K296" s="20">
        <f ca="1">IFERROR(__xludf.DUMMYFUNCTION("GOOGLEFINANCE(J296,""price"")"),1772)</f>
        <v>1772</v>
      </c>
    </row>
    <row r="297" spans="9:11">
      <c r="I297" s="31" t="s">
        <v>984</v>
      </c>
      <c r="J297" s="3" t="str">
        <f t="shared" si="1"/>
        <v>NSE:RECLTD</v>
      </c>
      <c r="K297" s="20">
        <f ca="1">IFERROR(__xludf.DUMMYFUNCTION("GOOGLEFINANCE(J297,""price"")"),440.2)</f>
        <v>440.2</v>
      </c>
    </row>
    <row r="298" spans="9:11">
      <c r="I298" s="31" t="s">
        <v>985</v>
      </c>
      <c r="J298" s="3" t="str">
        <f t="shared" si="1"/>
        <v>NSE:REDINGTON</v>
      </c>
      <c r="K298" s="20">
        <f ca="1">IFERROR(__xludf.DUMMYFUNCTION("GOOGLEFINANCE(J298,""price"")"),220.15)</f>
        <v>220.15</v>
      </c>
    </row>
    <row r="299" spans="9:11">
      <c r="I299" s="31" t="s">
        <v>986</v>
      </c>
      <c r="J299" s="3" t="str">
        <f t="shared" si="1"/>
        <v>NSE:RELIANCE</v>
      </c>
      <c r="K299" s="20">
        <f ca="1">IFERROR(__xludf.DUMMYFUNCTION("GOOGLEFINANCE(J299,""price"")"),2937.15)</f>
        <v>2937.15</v>
      </c>
    </row>
    <row r="300" spans="9:11">
      <c r="I300" s="31" t="s">
        <v>987</v>
      </c>
      <c r="J300" s="3" t="str">
        <f t="shared" si="1"/>
        <v>NSE:RELINFRA</v>
      </c>
      <c r="K300" s="20">
        <f ca="1">IFERROR(__xludf.DUMMYFUNCTION("GOOGLEFINANCE(J300,""price"")"),198.1)</f>
        <v>198.1</v>
      </c>
    </row>
    <row r="301" spans="9:11">
      <c r="I301" s="31" t="s">
        <v>988</v>
      </c>
      <c r="J301" s="3" t="str">
        <f t="shared" si="1"/>
        <v>NSE:REPCOHOME</v>
      </c>
      <c r="K301" s="20">
        <f ca="1">IFERROR(__xludf.DUMMYFUNCTION("GOOGLEFINANCE(J301,""price"")"),464)</f>
        <v>464</v>
      </c>
    </row>
    <row r="302" spans="9:11">
      <c r="I302" s="31" t="s">
        <v>989</v>
      </c>
      <c r="J302" s="3" t="str">
        <f t="shared" si="1"/>
        <v>NSE:RITES</v>
      </c>
      <c r="K302" s="20">
        <f ca="1">IFERROR(__xludf.DUMMYFUNCTION("GOOGLEFINANCE(J302,""price"")"),694)</f>
        <v>694</v>
      </c>
    </row>
    <row r="303" spans="9:11">
      <c r="I303" s="31" t="s">
        <v>990</v>
      </c>
      <c r="J303" s="3" t="str">
        <f t="shared" si="1"/>
        <v>NSE:ROHLTD</v>
      </c>
      <c r="K303" s="20">
        <f ca="1">IFERROR(__xludf.DUMMYFUNCTION("GOOGLEFINANCE(J303,""price"")"),402)</f>
        <v>402</v>
      </c>
    </row>
    <row r="304" spans="9:11">
      <c r="I304" s="31" t="s">
        <v>991</v>
      </c>
      <c r="J304" s="3" t="str">
        <f t="shared" si="1"/>
        <v>NSE:RPGLIFE</v>
      </c>
      <c r="K304" s="20">
        <f ca="1">IFERROR(__xludf.DUMMYFUNCTION("GOOGLEFINANCE(J304,""price"")"),1530)</f>
        <v>1530</v>
      </c>
    </row>
    <row r="305" spans="9:11">
      <c r="I305" s="31" t="s">
        <v>992</v>
      </c>
      <c r="J305" s="3" t="str">
        <f t="shared" si="1"/>
        <v>NSE:RTNPOWER</v>
      </c>
      <c r="K305" s="20">
        <f ca="1">IFERROR(__xludf.DUMMYFUNCTION("GOOGLEFINANCE(J305,""price"")"),8.9)</f>
        <v>8.9</v>
      </c>
    </row>
    <row r="306" spans="9:11">
      <c r="I306" s="31" t="s">
        <v>993</v>
      </c>
      <c r="J306" s="3" t="str">
        <f t="shared" si="1"/>
        <v>NSE:SAIL</v>
      </c>
      <c r="K306" s="20">
        <f ca="1">IFERROR(__xludf.DUMMYFUNCTION("GOOGLEFINANCE(J306,""price"")"),155.35)</f>
        <v>155.35</v>
      </c>
    </row>
    <row r="307" spans="9:11">
      <c r="I307" s="31" t="s">
        <v>994</v>
      </c>
      <c r="J307" s="3" t="str">
        <f t="shared" si="1"/>
        <v>NSE:SALZERELEC</v>
      </c>
      <c r="K307" s="20">
        <f ca="1">IFERROR(__xludf.DUMMYFUNCTION("GOOGLEFINANCE(J307,""price"")"),800)</f>
        <v>800</v>
      </c>
    </row>
    <row r="308" spans="9:11">
      <c r="I308" s="31" t="s">
        <v>995</v>
      </c>
      <c r="J308" s="3" t="str">
        <f t="shared" si="1"/>
        <v>NSE:SANDESH</v>
      </c>
      <c r="K308" s="20">
        <f ca="1">IFERROR(__xludf.DUMMYFUNCTION("GOOGLEFINANCE(J308,""price"")"),1257.15)</f>
        <v>1257.1500000000001</v>
      </c>
    </row>
    <row r="309" spans="9:11">
      <c r="I309" s="31" t="s">
        <v>996</v>
      </c>
      <c r="J309" s="3" t="str">
        <f t="shared" si="1"/>
        <v>NSE:SANDHAR</v>
      </c>
      <c r="K309" s="20">
        <f ca="1">IFERROR(__xludf.DUMMYFUNCTION("GOOGLEFINANCE(J309,""price"")"),513.5)</f>
        <v>513.5</v>
      </c>
    </row>
    <row r="310" spans="9:11">
      <c r="I310" s="31" t="s">
        <v>997</v>
      </c>
      <c r="J310" s="3" t="str">
        <f t="shared" si="1"/>
        <v>NSE:SANGAMIND</v>
      </c>
      <c r="K310" s="20">
        <f ca="1">IFERROR(__xludf.DUMMYFUNCTION("GOOGLEFINANCE(J310,""price"")"),444.7)</f>
        <v>444.7</v>
      </c>
    </row>
    <row r="311" spans="9:11">
      <c r="I311" s="31" t="s">
        <v>998</v>
      </c>
      <c r="J311" s="3" t="str">
        <f t="shared" si="1"/>
        <v>NSE:SANGHVIMOV</v>
      </c>
      <c r="K311" s="20">
        <f ca="1">IFERROR(__xludf.DUMMYFUNCTION("GOOGLEFINANCE(J311,""price"")"),1279.5)</f>
        <v>1279.5</v>
      </c>
    </row>
    <row r="312" spans="9:11">
      <c r="I312" s="31" t="s">
        <v>999</v>
      </c>
      <c r="J312" s="3" t="str">
        <f t="shared" si="1"/>
        <v>NSE:SANOFI</v>
      </c>
      <c r="K312" s="20">
        <f ca="1">IFERROR(__xludf.DUMMYFUNCTION("GOOGLEFINANCE(J312,""price"")"),8460)</f>
        <v>8460</v>
      </c>
    </row>
    <row r="313" spans="9:11">
      <c r="I313" s="31" t="s">
        <v>1000</v>
      </c>
      <c r="J313" s="3" t="str">
        <f t="shared" si="1"/>
        <v>NSE:SASKEN</v>
      </c>
      <c r="K313" s="20">
        <f ca="1">IFERROR(__xludf.DUMMYFUNCTION("GOOGLEFINANCE(J313,""price"")"),1636.55)</f>
        <v>1636.55</v>
      </c>
    </row>
    <row r="314" spans="9:11">
      <c r="I314" s="31" t="s">
        <v>1001</v>
      </c>
      <c r="J314" s="3" t="str">
        <f t="shared" si="1"/>
        <v>NSE:SBILIFE</v>
      </c>
      <c r="K314" s="20">
        <f ca="1">IFERROR(__xludf.DUMMYFUNCTION("GOOGLEFINANCE(J314,""price"")"),1493)</f>
        <v>1493</v>
      </c>
    </row>
    <row r="315" spans="9:11">
      <c r="I315" s="31" t="s">
        <v>707</v>
      </c>
      <c r="J315" s="3" t="str">
        <f t="shared" si="1"/>
        <v>NSE:SBIN</v>
      </c>
      <c r="K315" s="20">
        <f ca="1">IFERROR(__xludf.DUMMYFUNCTION("GOOGLEFINANCE(J315,""price"")"),766.55)</f>
        <v>766.55</v>
      </c>
    </row>
    <row r="316" spans="9:11">
      <c r="I316" s="31" t="s">
        <v>1002</v>
      </c>
      <c r="J316" s="3" t="str">
        <f t="shared" si="1"/>
        <v>NSE:SCHNEIDER</v>
      </c>
      <c r="K316" s="20">
        <f ca="1">IFERROR(__xludf.DUMMYFUNCTION("GOOGLEFINANCE(J316,""price"")"),764)</f>
        <v>764</v>
      </c>
    </row>
    <row r="317" spans="9:11">
      <c r="I317" s="31" t="s">
        <v>1003</v>
      </c>
      <c r="J317" s="3" t="str">
        <f t="shared" si="1"/>
        <v>NSE:SCI</v>
      </c>
      <c r="K317" s="20">
        <f ca="1">IFERROR(__xludf.DUMMYFUNCTION("GOOGLEFINANCE(J317,""price"")"),220.45)</f>
        <v>220.45</v>
      </c>
    </row>
    <row r="318" spans="9:11">
      <c r="I318" s="31" t="s">
        <v>1004</v>
      </c>
      <c r="J318" s="3" t="str">
        <f t="shared" si="1"/>
        <v>NSE:SHAKTIPUMP</v>
      </c>
      <c r="K318" s="20">
        <f ca="1">IFERROR(__xludf.DUMMYFUNCTION("GOOGLEFINANCE(J318,""price"")"),1458)</f>
        <v>1458</v>
      </c>
    </row>
    <row r="319" spans="9:11">
      <c r="I319" s="31" t="s">
        <v>1005</v>
      </c>
      <c r="J319" s="3" t="str">
        <f t="shared" si="1"/>
        <v>NSE:SHALPAINTS</v>
      </c>
      <c r="K319" s="20">
        <f ca="1">IFERROR(__xludf.DUMMYFUNCTION("GOOGLEFINANCE(J319,""price"")"),168)</f>
        <v>168</v>
      </c>
    </row>
    <row r="320" spans="9:11">
      <c r="I320" s="31" t="s">
        <v>1006</v>
      </c>
      <c r="J320" s="3" t="str">
        <f t="shared" si="1"/>
        <v>NSE:SHARDAMOTR</v>
      </c>
      <c r="K320" s="20">
        <f ca="1">IFERROR(__xludf.DUMMYFUNCTION("GOOGLEFINANCE(J320,""price"")"),1539.9)</f>
        <v>1539.9</v>
      </c>
    </row>
    <row r="321" spans="9:11">
      <c r="I321" s="31" t="s">
        <v>1007</v>
      </c>
      <c r="J321" s="3" t="str">
        <f t="shared" si="1"/>
        <v>NSE:SHREDIGCEM</v>
      </c>
      <c r="K321" s="20">
        <f ca="1">IFERROR(__xludf.DUMMYFUNCTION("GOOGLEFINANCE(J321,""price"")"),116.05)</f>
        <v>116.05</v>
      </c>
    </row>
    <row r="322" spans="9:11">
      <c r="I322" s="31" t="s">
        <v>1008</v>
      </c>
      <c r="J322" s="3" t="str">
        <f t="shared" si="1"/>
        <v>NSE:SHRIPISTON</v>
      </c>
      <c r="K322" s="20">
        <f ca="1">IFERROR(__xludf.DUMMYFUNCTION("GOOGLEFINANCE(J322,""price"")"),2087)</f>
        <v>2087</v>
      </c>
    </row>
    <row r="323" spans="9:11">
      <c r="I323" s="31" t="s">
        <v>1009</v>
      </c>
      <c r="J323" s="3" t="str">
        <f t="shared" si="1"/>
        <v>NSE:SHRIRAMFIN</v>
      </c>
      <c r="K323" s="20">
        <f ca="1">IFERROR(__xludf.DUMMYFUNCTION("GOOGLEFINANCE(J323,""price"")"),2486)</f>
        <v>2486</v>
      </c>
    </row>
    <row r="324" spans="9:11">
      <c r="I324" s="31" t="s">
        <v>1010</v>
      </c>
      <c r="J324" s="3" t="str">
        <f t="shared" si="1"/>
        <v>NSE:SIEMENS</v>
      </c>
      <c r="K324" s="20">
        <f ca="1">IFERROR(__xludf.DUMMYFUNCTION("GOOGLEFINANCE(J324,""price"")"),5584)</f>
        <v>5584</v>
      </c>
    </row>
    <row r="325" spans="9:11">
      <c r="I325" s="31" t="s">
        <v>1011</v>
      </c>
      <c r="J325" s="3" t="str">
        <f t="shared" si="1"/>
        <v>NSE:SJVN</v>
      </c>
      <c r="K325" s="20">
        <f ca="1">IFERROR(__xludf.DUMMYFUNCTION("GOOGLEFINANCE(J325,""price"")"),130.9)</f>
        <v>130.9</v>
      </c>
    </row>
    <row r="326" spans="9:11">
      <c r="I326" s="31" t="s">
        <v>1012</v>
      </c>
      <c r="J326" s="3" t="str">
        <f t="shared" si="1"/>
        <v>NSE:SKIPPER</v>
      </c>
      <c r="K326" s="20">
        <f ca="1">IFERROR(__xludf.DUMMYFUNCTION("GOOGLEFINANCE(J326,""price"")"),316.6)</f>
        <v>316.60000000000002</v>
      </c>
    </row>
    <row r="327" spans="9:11">
      <c r="I327" s="31" t="s">
        <v>1013</v>
      </c>
      <c r="J327" s="3" t="str">
        <f t="shared" si="1"/>
        <v>NSE:SMLISUZU</v>
      </c>
      <c r="K327" s="20">
        <f ca="1">IFERROR(__xludf.DUMMYFUNCTION("GOOGLEFINANCE(J327,""price"")"),2030)</f>
        <v>2030</v>
      </c>
    </row>
    <row r="328" spans="9:11">
      <c r="I328" s="31" t="s">
        <v>1014</v>
      </c>
      <c r="J328" s="3" t="str">
        <f t="shared" si="1"/>
        <v>NSE:SMSPHARMA</v>
      </c>
      <c r="K328" s="20">
        <f ca="1">IFERROR(__xludf.DUMMYFUNCTION("GOOGLEFINANCE(J328,""price"")"),204.85)</f>
        <v>204.85</v>
      </c>
    </row>
    <row r="329" spans="9:11">
      <c r="I329" s="31" t="s">
        <v>1015</v>
      </c>
      <c r="J329" s="3" t="str">
        <f t="shared" si="1"/>
        <v>NSE:SNOWMAN</v>
      </c>
      <c r="K329" s="20">
        <f ca="1">IFERROR(__xludf.DUMMYFUNCTION("GOOGLEFINANCE(J329,""price"")"),71.9)</f>
        <v>71.900000000000006</v>
      </c>
    </row>
    <row r="330" spans="9:11">
      <c r="I330" s="31" t="s">
        <v>1016</v>
      </c>
      <c r="J330" s="3" t="str">
        <f t="shared" si="1"/>
        <v>NSE:SOLARINDS</v>
      </c>
      <c r="K330" s="20">
        <f ca="1">IFERROR(__xludf.DUMMYFUNCTION("GOOGLEFINANCE(J330,""price"")"),8540)</f>
        <v>8540</v>
      </c>
    </row>
    <row r="331" spans="9:11">
      <c r="I331" s="31" t="s">
        <v>1017</v>
      </c>
      <c r="J331" s="3" t="str">
        <f t="shared" si="1"/>
        <v>NSE:SONATSOFTW</v>
      </c>
      <c r="K331" s="20">
        <f ca="1">IFERROR(__xludf.DUMMYFUNCTION("GOOGLEFINANCE(J331,""price"")"),731)</f>
        <v>731</v>
      </c>
    </row>
    <row r="332" spans="9:11">
      <c r="I332" s="31" t="s">
        <v>1018</v>
      </c>
      <c r="J332" s="3" t="str">
        <f t="shared" si="1"/>
        <v>NSE:SOUTHBANK</v>
      </c>
      <c r="K332" s="20">
        <f ca="1">IFERROR(__xludf.DUMMYFUNCTION("GOOGLEFINANCE(J332,""price"")"),28.35)</f>
        <v>28.35</v>
      </c>
    </row>
    <row r="333" spans="9:11">
      <c r="I333" s="31" t="s">
        <v>1019</v>
      </c>
      <c r="J333" s="3" t="str">
        <f t="shared" si="1"/>
        <v>NSE:SPAL</v>
      </c>
      <c r="K333" s="20">
        <f ca="1">IFERROR(__xludf.DUMMYFUNCTION("GOOGLEFINANCE(J333,""price"")"),596.9)</f>
        <v>596.9</v>
      </c>
    </row>
    <row r="334" spans="9:11">
      <c r="I334" s="31" t="s">
        <v>1020</v>
      </c>
      <c r="J334" s="3" t="str">
        <f t="shared" si="1"/>
        <v>NSE:SPCENET</v>
      </c>
      <c r="K334" s="20">
        <f ca="1">IFERROR(__xludf.DUMMYFUNCTION("GOOGLEFINANCE(J334,""price"")"),30.2)</f>
        <v>30.2</v>
      </c>
    </row>
    <row r="335" spans="9:11">
      <c r="I335" s="31" t="s">
        <v>1021</v>
      </c>
      <c r="J335" s="3" t="str">
        <f t="shared" si="1"/>
        <v>NSE:SPIC</v>
      </c>
      <c r="K335" s="20">
        <f ca="1">IFERROR(__xludf.DUMMYFUNCTION("GOOGLEFINANCE(J335,""price"")"),79)</f>
        <v>79</v>
      </c>
    </row>
    <row r="336" spans="9:11">
      <c r="I336" s="31" t="s">
        <v>1022</v>
      </c>
      <c r="J336" s="3" t="str">
        <f t="shared" si="1"/>
        <v>NSE:SPLPETRO</v>
      </c>
      <c r="K336" s="20">
        <f ca="1">IFERROR(__xludf.DUMMYFUNCTION("GOOGLEFINANCE(J336,""price"")"),658)</f>
        <v>658</v>
      </c>
    </row>
    <row r="337" spans="9:11">
      <c r="I337" s="31" t="s">
        <v>1023</v>
      </c>
      <c r="J337" s="3" t="str">
        <f t="shared" si="1"/>
        <v>NSE:STARCEMENT</v>
      </c>
      <c r="K337" s="20">
        <f ca="1">IFERROR(__xludf.DUMMYFUNCTION("GOOGLEFINANCE(J337,""price"")"),228.25)</f>
        <v>228.25</v>
      </c>
    </row>
    <row r="338" spans="9:11">
      <c r="I338" s="31" t="s">
        <v>1024</v>
      </c>
      <c r="J338" s="3" t="str">
        <f t="shared" si="1"/>
        <v>NSE:STEL</v>
      </c>
      <c r="K338" s="20">
        <f ca="1">IFERROR(__xludf.DUMMYFUNCTION("GOOGLEFINANCE(J338,""price"")"),325)</f>
        <v>325</v>
      </c>
    </row>
    <row r="339" spans="9:11">
      <c r="I339" s="31" t="s">
        <v>1025</v>
      </c>
      <c r="J339" s="3" t="str">
        <f t="shared" si="1"/>
        <v>NSE:STYRENIX</v>
      </c>
      <c r="K339" s="20">
        <f ca="1">IFERROR(__xludf.DUMMYFUNCTION("GOOGLEFINANCE(J339,""price"")"),1555)</f>
        <v>1555</v>
      </c>
    </row>
    <row r="340" spans="9:11">
      <c r="I340" s="31" t="s">
        <v>1026</v>
      </c>
      <c r="J340" s="3" t="str">
        <f t="shared" si="1"/>
        <v>NSE:SUBROS</v>
      </c>
      <c r="K340" s="20">
        <f ca="1">IFERROR(__xludf.DUMMYFUNCTION("GOOGLEFINANCE(J340,""price"")"),582.4)</f>
        <v>582.4</v>
      </c>
    </row>
    <row r="341" spans="9:11">
      <c r="I341" s="31" t="s">
        <v>1027</v>
      </c>
      <c r="J341" s="3" t="str">
        <f t="shared" si="1"/>
        <v>NSE:SUDARSCHEM</v>
      </c>
      <c r="K341" s="20">
        <f ca="1">IFERROR(__xludf.DUMMYFUNCTION("GOOGLEFINANCE(J341,""price"")"),652)</f>
        <v>652</v>
      </c>
    </row>
    <row r="342" spans="9:11">
      <c r="I342" s="31" t="s">
        <v>1028</v>
      </c>
      <c r="J342" s="3" t="str">
        <f t="shared" si="1"/>
        <v>NSE:SUMMITSEC</v>
      </c>
      <c r="K342" s="20">
        <f ca="1">IFERROR(__xludf.DUMMYFUNCTION("GOOGLEFINANCE(J342,""price"")"),1244.9)</f>
        <v>1244.9000000000001</v>
      </c>
    </row>
    <row r="343" spans="9:11">
      <c r="I343" s="31" t="s">
        <v>1029</v>
      </c>
      <c r="J343" s="3" t="str">
        <f t="shared" si="1"/>
        <v>NSE:SUNDARMFIN</v>
      </c>
      <c r="K343" s="20">
        <f ca="1">IFERROR(__xludf.DUMMYFUNCTION("GOOGLEFINANCE(J343,""price"")"),4550)</f>
        <v>4550</v>
      </c>
    </row>
    <row r="344" spans="9:11">
      <c r="I344" s="31" t="s">
        <v>1030</v>
      </c>
      <c r="J344" s="3" t="str">
        <f t="shared" si="1"/>
        <v>NSE:SUNDARMHLD</v>
      </c>
      <c r="K344" s="20">
        <f ca="1">IFERROR(__xludf.DUMMYFUNCTION("GOOGLEFINANCE(J344,""price"")"),252.25)</f>
        <v>252.25</v>
      </c>
    </row>
    <row r="345" spans="9:11">
      <c r="I345" s="31" t="s">
        <v>1031</v>
      </c>
      <c r="J345" s="3" t="str">
        <f t="shared" si="1"/>
        <v>NSE:SUNPHARMA</v>
      </c>
      <c r="K345" s="20">
        <f ca="1">IFERROR(__xludf.DUMMYFUNCTION("GOOGLEFINANCE(J345,""price"")"),1545)</f>
        <v>1545</v>
      </c>
    </row>
    <row r="346" spans="9:11">
      <c r="I346" s="31" t="s">
        <v>1032</v>
      </c>
      <c r="J346" s="3" t="str">
        <f t="shared" si="1"/>
        <v>NSE:SUZLON</v>
      </c>
      <c r="K346" s="20">
        <f ca="1">IFERROR(__xludf.DUMMYFUNCTION("GOOGLEFINANCE(J346,""price"")"),42.1)</f>
        <v>42.1</v>
      </c>
    </row>
    <row r="347" spans="9:11">
      <c r="I347" s="31" t="s">
        <v>1033</v>
      </c>
      <c r="J347" s="3" t="str">
        <f t="shared" si="1"/>
        <v>NSE:SWARAJENG</v>
      </c>
      <c r="K347" s="20">
        <f ca="1">IFERROR(__xludf.DUMMYFUNCTION("GOOGLEFINANCE(J347,""price"")"),2410)</f>
        <v>2410</v>
      </c>
    </row>
    <row r="348" spans="9:11">
      <c r="I348" s="31" t="s">
        <v>1034</v>
      </c>
      <c r="J348" s="3" t="str">
        <f t="shared" si="1"/>
        <v>NSE:SWELECTES</v>
      </c>
      <c r="K348" s="20">
        <f ca="1">IFERROR(__xludf.DUMMYFUNCTION("GOOGLEFINANCE(J348,""price"")"),1115)</f>
        <v>1115</v>
      </c>
    </row>
    <row r="349" spans="9:11">
      <c r="I349" s="31" t="s">
        <v>1035</v>
      </c>
      <c r="J349" s="3" t="str">
        <f t="shared" si="1"/>
        <v>NSE:SWSOLAR</v>
      </c>
      <c r="K349" s="20">
        <f ca="1">IFERROR(__xludf.DUMMYFUNCTION("GOOGLEFINANCE(J349,""price"")"),502.9)</f>
        <v>502.9</v>
      </c>
    </row>
    <row r="350" spans="9:11">
      <c r="I350" s="31" t="s">
        <v>1036</v>
      </c>
      <c r="J350" s="3" t="str">
        <f t="shared" si="1"/>
        <v>NSE:TAJGVK</v>
      </c>
      <c r="K350" s="20">
        <f ca="1">IFERROR(__xludf.DUMMYFUNCTION("GOOGLEFINANCE(J350,""price"")"),375)</f>
        <v>375</v>
      </c>
    </row>
    <row r="351" spans="9:11">
      <c r="I351" s="31" t="s">
        <v>1037</v>
      </c>
      <c r="J351" s="3" t="str">
        <f t="shared" si="1"/>
        <v>NSE:TALBROAUTO</v>
      </c>
      <c r="K351" s="20">
        <f ca="1">IFERROR(__xludf.DUMMYFUNCTION("GOOGLEFINANCE(J351,""price"")"),290.4)</f>
        <v>290.39999999999998</v>
      </c>
    </row>
    <row r="352" spans="9:11">
      <c r="I352" s="31" t="s">
        <v>1038</v>
      </c>
      <c r="J352" s="3" t="str">
        <f t="shared" si="1"/>
        <v>NSE:TATACONSUM</v>
      </c>
      <c r="K352" s="20">
        <f ca="1">IFERROR(__xludf.DUMMYFUNCTION("GOOGLEFINANCE(J352,""price"")"),1144.7)</f>
        <v>1144.7</v>
      </c>
    </row>
    <row r="353" spans="9:11">
      <c r="I353" s="31" t="s">
        <v>1039</v>
      </c>
      <c r="J353" s="3" t="str">
        <f t="shared" si="1"/>
        <v>NSE:TATAINVEST</v>
      </c>
      <c r="K353" s="20">
        <f ca="1">IFERROR(__xludf.DUMMYFUNCTION("GOOGLEFINANCE(J353,""price"")"),7000)</f>
        <v>7000</v>
      </c>
    </row>
    <row r="354" spans="9:11">
      <c r="I354" s="31" t="s">
        <v>1040</v>
      </c>
      <c r="J354" s="3" t="str">
        <f t="shared" si="1"/>
        <v>NSE:TATAMOTORS</v>
      </c>
      <c r="K354" s="20">
        <f ca="1">IFERROR(__xludf.DUMMYFUNCTION("GOOGLEFINANCE(J354,""price"")"),1020)</f>
        <v>1020</v>
      </c>
    </row>
    <row r="355" spans="9:11">
      <c r="I355" s="31" t="s">
        <v>1041</v>
      </c>
      <c r="J355" s="3" t="str">
        <f t="shared" si="1"/>
        <v>NSE:TATAMTRDVR</v>
      </c>
      <c r="K355" s="20">
        <f ca="1">IFERROR(__xludf.DUMMYFUNCTION("GOOGLEFINANCE(J355,""price"")"),671.6)</f>
        <v>671.6</v>
      </c>
    </row>
    <row r="356" spans="9:11">
      <c r="I356" s="31" t="s">
        <v>710</v>
      </c>
      <c r="J356" s="3" t="str">
        <f t="shared" si="1"/>
        <v>NSE:TATASTEEL</v>
      </c>
      <c r="K356" s="20">
        <f ca="1">IFERROR(__xludf.DUMMYFUNCTION("GOOGLEFINANCE(J356,""price"")"),163.5)</f>
        <v>163.5</v>
      </c>
    </row>
    <row r="357" spans="9:11">
      <c r="I357" s="31" t="s">
        <v>1042</v>
      </c>
      <c r="J357" s="3" t="str">
        <f t="shared" si="1"/>
        <v>NSE:TCS</v>
      </c>
      <c r="K357" s="20">
        <f ca="1">IFERROR(__xludf.DUMMYFUNCTION("GOOGLEFINANCE(J357,""price"")"),4003.8)</f>
        <v>4003.8</v>
      </c>
    </row>
    <row r="358" spans="9:11">
      <c r="I358" s="31" t="s">
        <v>1043</v>
      </c>
      <c r="J358" s="3" t="str">
        <f t="shared" si="1"/>
        <v>NSE:TECHM</v>
      </c>
      <c r="K358" s="20">
        <f ca="1">IFERROR(__xludf.DUMMYFUNCTION("GOOGLEFINANCE(J358,""price"")"),1238.55)</f>
        <v>1238.55</v>
      </c>
    </row>
    <row r="359" spans="9:11">
      <c r="I359" s="31" t="s">
        <v>1044</v>
      </c>
      <c r="J359" s="3" t="str">
        <f t="shared" si="1"/>
        <v>NSE:TECHNOE</v>
      </c>
      <c r="K359" s="20">
        <f ca="1">IFERROR(__xludf.DUMMYFUNCTION("GOOGLEFINANCE(J359,""price"")"),821.95)</f>
        <v>821.95</v>
      </c>
    </row>
    <row r="360" spans="9:11">
      <c r="I360" s="31" t="s">
        <v>1045</v>
      </c>
      <c r="J360" s="3" t="str">
        <f t="shared" si="1"/>
        <v>NSE:TEXINFRA</v>
      </c>
      <c r="K360" s="20">
        <f ca="1">IFERROR(__xludf.DUMMYFUNCTION("GOOGLEFINANCE(J360,""price"")"),99.25)</f>
        <v>99.25</v>
      </c>
    </row>
    <row r="361" spans="9:11">
      <c r="I361" s="31" t="s">
        <v>1046</v>
      </c>
      <c r="J361" s="3" t="str">
        <f t="shared" si="1"/>
        <v>NSE:TEXRAIL</v>
      </c>
      <c r="K361" s="20">
        <f ca="1">IFERROR(__xludf.DUMMYFUNCTION("GOOGLEFINANCE(J361,""price"")"),170.2)</f>
        <v>170.2</v>
      </c>
    </row>
    <row r="362" spans="9:11">
      <c r="I362" s="31" t="s">
        <v>1047</v>
      </c>
      <c r="J362" s="3" t="str">
        <f t="shared" si="1"/>
        <v>NSE:TFCILTD</v>
      </c>
      <c r="K362" s="20">
        <f ca="1">IFERROR(__xludf.DUMMYFUNCTION("GOOGLEFINANCE(J362,""price"")"),172.25)</f>
        <v>172.25</v>
      </c>
    </row>
    <row r="363" spans="9:11">
      <c r="I363" s="31" t="s">
        <v>1048</v>
      </c>
      <c r="J363" s="3" t="str">
        <f t="shared" si="1"/>
        <v>NSE:THEMISMED</v>
      </c>
      <c r="K363" s="20">
        <f ca="1">IFERROR(__xludf.DUMMYFUNCTION("GOOGLEFINANCE(J363,""price"")"),214.2)</f>
        <v>214.2</v>
      </c>
    </row>
    <row r="364" spans="9:11">
      <c r="I364" s="31" t="s">
        <v>1049</v>
      </c>
      <c r="J364" s="3" t="str">
        <f t="shared" si="1"/>
        <v>NSE:THERMAX</v>
      </c>
      <c r="K364" s="20">
        <f ca="1">IFERROR(__xludf.DUMMYFUNCTION("GOOGLEFINANCE(J364,""price"")"),4543)</f>
        <v>4543</v>
      </c>
    </row>
    <row r="365" spans="9:11">
      <c r="I365" s="31" t="s">
        <v>1050</v>
      </c>
      <c r="J365" s="3" t="str">
        <f t="shared" si="1"/>
        <v>NSE:THOMASCOOK</v>
      </c>
      <c r="K365" s="20">
        <f ca="1">IFERROR(__xludf.DUMMYFUNCTION("GOOGLEFINANCE(J365,""price"")"),178)</f>
        <v>178</v>
      </c>
    </row>
    <row r="366" spans="9:11">
      <c r="I366" s="31" t="s">
        <v>1051</v>
      </c>
      <c r="J366" s="3" t="str">
        <f t="shared" si="1"/>
        <v>NSE:TIL</v>
      </c>
      <c r="K366" s="20">
        <f ca="1">IFERROR(__xludf.DUMMYFUNCTION("GOOGLEFINANCE(J366,""price"")"),195.15)</f>
        <v>195.15</v>
      </c>
    </row>
    <row r="367" spans="9:11">
      <c r="I367" s="31" t="s">
        <v>1052</v>
      </c>
      <c r="J367" s="3" t="str">
        <f t="shared" si="1"/>
        <v>NSE:TIMETECHNO</v>
      </c>
      <c r="K367" s="20">
        <f ca="1">IFERROR(__xludf.DUMMYFUNCTION("GOOGLEFINANCE(J367,""price"")"),270)</f>
        <v>270</v>
      </c>
    </row>
    <row r="368" spans="9:11">
      <c r="I368" s="31" t="s">
        <v>1053</v>
      </c>
      <c r="J368" s="3" t="str">
        <f t="shared" si="1"/>
        <v>NSE:TIPSINDLTD</v>
      </c>
      <c r="K368" s="20">
        <f ca="1">IFERROR(__xludf.DUMMYFUNCTION("GOOGLEFINANCE(J368,""price"")"),465)</f>
        <v>465</v>
      </c>
    </row>
    <row r="369" spans="9:11">
      <c r="I369" s="31" t="s">
        <v>1054</v>
      </c>
      <c r="J369" s="3" t="str">
        <f t="shared" si="1"/>
        <v>NSE:TORNTPHARM</v>
      </c>
      <c r="K369" s="20">
        <f ca="1">IFERROR(__xludf.DUMMYFUNCTION("GOOGLEFINANCE(J369,""price"")"),2589)</f>
        <v>2589</v>
      </c>
    </row>
    <row r="370" spans="9:11">
      <c r="I370" s="31" t="s">
        <v>1055</v>
      </c>
      <c r="J370" s="3" t="str">
        <f t="shared" si="1"/>
        <v>NSE:TORNTPOWER</v>
      </c>
      <c r="K370" s="20">
        <f ca="1">IFERROR(__xludf.DUMMYFUNCTION("GOOGLEFINANCE(J370,""price"")"),1581)</f>
        <v>1581</v>
      </c>
    </row>
    <row r="371" spans="9:11">
      <c r="I371" s="31" t="s">
        <v>1056</v>
      </c>
      <c r="J371" s="3" t="str">
        <f t="shared" si="1"/>
        <v>NSE:TPLPLASTEH</v>
      </c>
      <c r="K371" s="20">
        <f ca="1">IFERROR(__xludf.DUMMYFUNCTION("GOOGLEFINANCE(J371,""price"")"),73.6)</f>
        <v>73.599999999999994</v>
      </c>
    </row>
    <row r="372" spans="9:11">
      <c r="I372" s="31" t="s">
        <v>1057</v>
      </c>
      <c r="J372" s="3" t="str">
        <f t="shared" si="1"/>
        <v>NSE:TRENT</v>
      </c>
      <c r="K372" s="20">
        <f ca="1">IFERROR(__xludf.DUMMYFUNCTION("GOOGLEFINANCE(J372,""price"")"),4066)</f>
        <v>4066</v>
      </c>
    </row>
    <row r="373" spans="9:11">
      <c r="I373" s="31" t="s">
        <v>1058</v>
      </c>
      <c r="J373" s="3" t="str">
        <f t="shared" si="1"/>
        <v>NSE:TRIL</v>
      </c>
      <c r="K373" s="20">
        <f ca="1">IFERROR(__xludf.DUMMYFUNCTION("GOOGLEFINANCE(J373,""price"")"),546.95)</f>
        <v>546.95000000000005</v>
      </c>
    </row>
    <row r="374" spans="9:11">
      <c r="I374" s="31" t="s">
        <v>1059</v>
      </c>
      <c r="J374" s="3" t="str">
        <f t="shared" si="1"/>
        <v>NSE:TTKHLTCARE</v>
      </c>
      <c r="K374" s="20">
        <f ca="1">IFERROR(__xludf.DUMMYFUNCTION("GOOGLEFINANCE(J374,""price"")"),1603)</f>
        <v>1603</v>
      </c>
    </row>
    <row r="375" spans="9:11">
      <c r="I375" s="31" t="s">
        <v>1060</v>
      </c>
      <c r="J375" s="3" t="str">
        <f t="shared" si="1"/>
        <v>NSE:TVSMOTOR</v>
      </c>
      <c r="K375" s="20">
        <f ca="1">IFERROR(__xludf.DUMMYFUNCTION("GOOGLEFINANCE(J375,""price"")"),2049.8)</f>
        <v>2049.8000000000002</v>
      </c>
    </row>
    <row r="376" spans="9:11">
      <c r="I376" s="31" t="s">
        <v>1061</v>
      </c>
      <c r="J376" s="3" t="str">
        <f t="shared" si="1"/>
        <v>NSE:TVSSRICHAK</v>
      </c>
      <c r="K376" s="20">
        <f ca="1">IFERROR(__xludf.DUMMYFUNCTION("GOOGLEFINANCE(J376,""price"")"),4480)</f>
        <v>4480</v>
      </c>
    </row>
    <row r="377" spans="9:11">
      <c r="I377" s="31" t="s">
        <v>603</v>
      </c>
      <c r="J377" s="3" t="str">
        <f t="shared" si="1"/>
        <v>NSE:UCOBANK</v>
      </c>
      <c r="K377" s="20">
        <f ca="1">IFERROR(__xludf.DUMMYFUNCTION("GOOGLEFINANCE(J377,""price"")"),55.3)</f>
        <v>55.3</v>
      </c>
    </row>
    <row r="378" spans="9:11">
      <c r="I378" s="31" t="s">
        <v>1062</v>
      </c>
      <c r="J378" s="3" t="str">
        <f t="shared" si="1"/>
        <v>NSE:ULTRACEMCO</v>
      </c>
      <c r="K378" s="20">
        <f ca="1">IFERROR(__xludf.DUMMYFUNCTION("GOOGLEFINANCE(J378,""price"")"),9620)</f>
        <v>9620</v>
      </c>
    </row>
    <row r="379" spans="9:11">
      <c r="I379" s="31" t="s">
        <v>1063</v>
      </c>
      <c r="J379" s="3" t="str">
        <f t="shared" si="1"/>
        <v>NSE:UNICHEMLAB</v>
      </c>
      <c r="K379" s="20">
        <f ca="1">IFERROR(__xludf.DUMMYFUNCTION("GOOGLEFINANCE(J379,""price"")"),544.8)</f>
        <v>544.79999999999995</v>
      </c>
    </row>
    <row r="380" spans="9:11">
      <c r="I380" s="31" t="s">
        <v>1064</v>
      </c>
      <c r="J380" s="3" t="str">
        <f t="shared" si="1"/>
        <v>NSE:UNIONBANK</v>
      </c>
      <c r="K380" s="20">
        <f ca="1">IFERROR(__xludf.DUMMYFUNCTION("GOOGLEFINANCE(J380,""price"")"),149.45)</f>
        <v>149.44999999999999</v>
      </c>
    </row>
    <row r="381" spans="9:11">
      <c r="I381" s="31" t="s">
        <v>1065</v>
      </c>
      <c r="J381" s="3" t="str">
        <f t="shared" si="1"/>
        <v>NSE:V2RETAIL</v>
      </c>
      <c r="K381" s="20">
        <f ca="1">IFERROR(__xludf.DUMMYFUNCTION("GOOGLEFINANCE(J381,""price"")"),490)</f>
        <v>490</v>
      </c>
    </row>
    <row r="382" spans="9:11">
      <c r="I382" s="31" t="s">
        <v>1066</v>
      </c>
      <c r="J382" s="3" t="str">
        <f t="shared" si="1"/>
        <v>NSE:VADILALIND</v>
      </c>
      <c r="K382" s="20">
        <f ca="1">IFERROR(__xludf.DUMMYFUNCTION("GOOGLEFINANCE(J382,""price"")"),4182.85)</f>
        <v>4182.8500000000004</v>
      </c>
    </row>
    <row r="383" spans="9:11">
      <c r="I383" s="31" t="s">
        <v>1067</v>
      </c>
      <c r="J383" s="3" t="str">
        <f t="shared" si="1"/>
        <v>NSE:VASCONEQ</v>
      </c>
      <c r="K383" s="20">
        <f ca="1">IFERROR(__xludf.DUMMYFUNCTION("GOOGLEFINANCE(J383,""price"")"),70.15)</f>
        <v>70.150000000000006</v>
      </c>
    </row>
    <row r="384" spans="9:11">
      <c r="I384" s="31" t="s">
        <v>1068</v>
      </c>
      <c r="J384" s="3" t="str">
        <f t="shared" si="1"/>
        <v>NSE:VBL</v>
      </c>
      <c r="K384" s="20">
        <f ca="1">IFERROR(__xludf.DUMMYFUNCTION("GOOGLEFINANCE(J384,""price"")"),1389.65)</f>
        <v>1389.65</v>
      </c>
    </row>
    <row r="385" spans="9:11">
      <c r="I385" s="31" t="s">
        <v>1069</v>
      </c>
      <c r="J385" s="3" t="str">
        <f t="shared" si="1"/>
        <v>NSE:VINDHYATEL</v>
      </c>
      <c r="K385" s="20">
        <f ca="1">IFERROR(__xludf.DUMMYFUNCTION("GOOGLEFINANCE(J385,""price"")"),2525)</f>
        <v>2525</v>
      </c>
    </row>
    <row r="386" spans="9:11">
      <c r="I386" s="31" t="s">
        <v>1070</v>
      </c>
      <c r="J386" s="3" t="str">
        <f t="shared" si="1"/>
        <v>NSE:VLSFINANCE</v>
      </c>
      <c r="K386" s="20">
        <f ca="1">IFERROR(__xludf.DUMMYFUNCTION("GOOGLEFINANCE(J386,""price"")"),265)</f>
        <v>265</v>
      </c>
    </row>
    <row r="387" spans="9:11">
      <c r="I387" s="31" t="s">
        <v>1071</v>
      </c>
      <c r="J387" s="3" t="str">
        <f t="shared" si="1"/>
        <v>NSE:VOLTAMP</v>
      </c>
      <c r="K387" s="20">
        <f ca="1">IFERROR(__xludf.DUMMYFUNCTION("GOOGLEFINANCE(J387,""price"")"),9998.95)</f>
        <v>9998.9500000000007</v>
      </c>
    </row>
    <row r="388" spans="9:11">
      <c r="I388" s="31" t="s">
        <v>1072</v>
      </c>
      <c r="J388" s="3" t="str">
        <f t="shared" si="1"/>
        <v>NSE:WABAG</v>
      </c>
      <c r="K388" s="20">
        <f ca="1">IFERROR(__xludf.DUMMYFUNCTION("GOOGLEFINANCE(J388,""price"")"),796.85)</f>
        <v>796.85</v>
      </c>
    </row>
    <row r="389" spans="9:11">
      <c r="I389" s="31" t="s">
        <v>1073</v>
      </c>
      <c r="J389" s="3" t="str">
        <f t="shared" si="1"/>
        <v>NSE:WALCHANNAG</v>
      </c>
      <c r="K389" s="20">
        <f ca="1">IFERROR(__xludf.DUMMYFUNCTION("GOOGLEFINANCE(J389,""price"")"),215.3)</f>
        <v>215.3</v>
      </c>
    </row>
    <row r="390" spans="9:11">
      <c r="I390" s="31" t="s">
        <v>1074</v>
      </c>
      <c r="J390" s="3" t="str">
        <f t="shared" si="1"/>
        <v>NSE:WELCORP</v>
      </c>
      <c r="K390" s="20">
        <f ca="1">IFERROR(__xludf.DUMMYFUNCTION("GOOGLEFINANCE(J390,""price"")"),571.75)</f>
        <v>571.75</v>
      </c>
    </row>
    <row r="391" spans="9:11">
      <c r="I391" s="31" t="s">
        <v>1075</v>
      </c>
      <c r="J391" s="3" t="str">
        <f t="shared" si="1"/>
        <v>NSE:WINDMACHIN</v>
      </c>
      <c r="K391" s="20">
        <f ca="1">IFERROR(__xludf.DUMMYFUNCTION("GOOGLEFINANCE(J391,""price"")"),84.9)</f>
        <v>84.9</v>
      </c>
    </row>
    <row r="392" spans="9:11">
      <c r="I392" s="31" t="s">
        <v>1076</v>
      </c>
      <c r="J392" s="3" t="str">
        <f t="shared" si="1"/>
        <v>NSE:WONDERLA</v>
      </c>
      <c r="K392" s="20">
        <f ca="1">IFERROR(__xludf.DUMMYFUNCTION("GOOGLEFINANCE(J392,""price"")"),1022)</f>
        <v>1022</v>
      </c>
    </row>
    <row r="393" spans="9:11">
      <c r="I393" s="31" t="s">
        <v>1077</v>
      </c>
      <c r="J393" s="3" t="str">
        <f t="shared" si="1"/>
        <v>NSE:XCHANGING</v>
      </c>
      <c r="K393" s="20">
        <f ca="1">IFERROR(__xludf.DUMMYFUNCTION("GOOGLEFINANCE(J393,""price"")"),126.5)</f>
        <v>126.5</v>
      </c>
    </row>
    <row r="394" spans="9:11">
      <c r="I394" s="31" t="s">
        <v>1078</v>
      </c>
      <c r="J394" s="3" t="str">
        <f t="shared" si="1"/>
        <v>NSE:XPROINDIA</v>
      </c>
      <c r="K394" s="20">
        <f ca="1">IFERROR(__xludf.DUMMYFUNCTION("GOOGLEFINANCE(J394,""price"")"),1070)</f>
        <v>1070</v>
      </c>
    </row>
    <row r="395" spans="9:11">
      <c r="I395" s="31" t="s">
        <v>1079</v>
      </c>
      <c r="J395" s="3" t="str">
        <f t="shared" si="1"/>
        <v>NSE:ZOTA</v>
      </c>
      <c r="K395" s="20">
        <f ca="1">IFERROR(__xludf.DUMMYFUNCTION("GOOGLEFINANCE(J395,""price"")"),498)</f>
        <v>498</v>
      </c>
    </row>
    <row r="396" spans="9:11">
      <c r="I396" s="31" t="s">
        <v>1080</v>
      </c>
      <c r="J396" s="3" t="str">
        <f t="shared" si="1"/>
        <v>NSE:ZYDUSLIFE</v>
      </c>
      <c r="K396" s="20">
        <f ca="1">IFERROR(__xludf.DUMMYFUNCTION("GOOGLEFINANCE(J396,""price"")"),965)</f>
        <v>965</v>
      </c>
    </row>
    <row r="397" spans="9:11" ht="15" customHeight="1">
      <c r="K397" s="3"/>
    </row>
    <row r="398" spans="9:11" ht="15" customHeight="1">
      <c r="K398" s="3"/>
    </row>
    <row r="399" spans="9:11" ht="15" customHeight="1">
      <c r="K399" s="3"/>
    </row>
    <row r="400" spans="9:11" ht="15" customHeight="1">
      <c r="K400" s="3"/>
    </row>
    <row r="401" spans="11:11" ht="15" customHeight="1">
      <c r="K401" s="3"/>
    </row>
    <row r="402" spans="11:11" ht="15" customHeight="1">
      <c r="K402" s="3"/>
    </row>
    <row r="403" spans="11:11" ht="15" customHeight="1">
      <c r="K403" s="3"/>
    </row>
    <row r="404" spans="11:11" ht="15" customHeight="1">
      <c r="K404" s="3"/>
    </row>
    <row r="405" spans="11:11" ht="15" customHeight="1">
      <c r="K405" s="3"/>
    </row>
    <row r="406" spans="11:11" ht="15" customHeight="1">
      <c r="K406" s="3"/>
    </row>
    <row r="407" spans="11:11" ht="15" customHeight="1">
      <c r="K407" s="3"/>
    </row>
    <row r="408" spans="11:11" ht="15" customHeight="1">
      <c r="K408" s="3"/>
    </row>
    <row r="409" spans="11:11" ht="15" customHeight="1">
      <c r="K409" s="3"/>
    </row>
    <row r="410" spans="11:11" ht="15" customHeight="1">
      <c r="K410" s="3"/>
    </row>
    <row r="411" spans="11:11" ht="15" customHeight="1">
      <c r="K411" s="3"/>
    </row>
    <row r="412" spans="11:11" ht="15" customHeight="1">
      <c r="K412" s="3"/>
    </row>
    <row r="413" spans="11:11" ht="15" customHeight="1">
      <c r="K413" s="3"/>
    </row>
    <row r="414" spans="11:11" ht="15" customHeight="1">
      <c r="K414" s="3"/>
    </row>
    <row r="415" spans="11:11" ht="15" customHeight="1">
      <c r="K415" s="3"/>
    </row>
    <row r="416" spans="11:11" ht="15" customHeight="1">
      <c r="K416" s="3"/>
    </row>
    <row r="417" spans="11:11" ht="15" customHeight="1">
      <c r="K417" s="3"/>
    </row>
    <row r="418" spans="11:11" ht="15" customHeight="1">
      <c r="K418" s="3"/>
    </row>
    <row r="419" spans="11:11" ht="15" customHeight="1">
      <c r="K419" s="3"/>
    </row>
    <row r="420" spans="11:11" ht="15" customHeight="1">
      <c r="K420" s="3"/>
    </row>
    <row r="421" spans="11:11" ht="15" customHeight="1">
      <c r="K421" s="3"/>
    </row>
    <row r="422" spans="11:11" ht="15" customHeight="1">
      <c r="K422" s="3"/>
    </row>
    <row r="423" spans="11:11" ht="15" customHeight="1">
      <c r="K423" s="3"/>
    </row>
    <row r="424" spans="11:11" ht="15" customHeight="1">
      <c r="K424" s="3"/>
    </row>
    <row r="425" spans="11:11" ht="15" customHeight="1">
      <c r="K425" s="3"/>
    </row>
    <row r="426" spans="11:11" ht="15" customHeight="1">
      <c r="K426" s="3"/>
    </row>
    <row r="427" spans="11:11" ht="15" customHeight="1">
      <c r="K427" s="3"/>
    </row>
    <row r="428" spans="11:11" ht="15" customHeight="1">
      <c r="K428" s="3"/>
    </row>
    <row r="429" spans="11:11" ht="15" customHeight="1">
      <c r="K429" s="3"/>
    </row>
    <row r="430" spans="11:11" ht="15" customHeight="1">
      <c r="K430" s="3"/>
    </row>
    <row r="431" spans="11:11" ht="15" customHeight="1">
      <c r="K43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C1001"/>
  <sheetViews>
    <sheetView workbookViewId="0"/>
  </sheetViews>
  <sheetFormatPr baseColWidth="10" defaultColWidth="12.6640625" defaultRowHeight="15" customHeight="1"/>
  <sheetData>
    <row r="1" spans="1:29">
      <c r="A1" s="203" t="s">
        <v>1081</v>
      </c>
      <c r="B1" s="35">
        <v>45310</v>
      </c>
      <c r="C1" s="126"/>
      <c r="D1" s="126"/>
      <c r="E1" s="161"/>
      <c r="F1" s="10"/>
      <c r="G1" s="12"/>
      <c r="H1" s="24"/>
      <c r="I1" s="164"/>
      <c r="J1" s="3" t="s">
        <v>1082</v>
      </c>
      <c r="S1" s="164"/>
      <c r="T1" s="3" t="s">
        <v>1083</v>
      </c>
    </row>
    <row r="2" spans="1:29">
      <c r="A2" s="203" t="s">
        <v>166</v>
      </c>
      <c r="C2" s="126">
        <v>942.82</v>
      </c>
      <c r="D2" s="126">
        <v>160</v>
      </c>
      <c r="E2" s="161">
        <f ca="1">IFERROR(__xludf.DUMMYFUNCTION("GOOGLEFINANCE(A2,""PRICE"")"),816.55)</f>
        <v>816.55</v>
      </c>
      <c r="F2" s="10">
        <f t="shared" ref="F2:F49" ca="1" si="0">(E2-C2)*D2</f>
        <v>-20203.200000000015</v>
      </c>
      <c r="G2" s="12">
        <f t="shared" ref="G2:G49" ca="1" si="1">(E2-C2)*100/C2</f>
        <v>-13.392800322436953</v>
      </c>
      <c r="H2" s="24">
        <f t="shared" ref="H2:H49" si="2">C2*D2</f>
        <v>150851.20000000001</v>
      </c>
      <c r="I2" s="164"/>
      <c r="J2" s="31" t="s">
        <v>15</v>
      </c>
      <c r="K2" s="126">
        <v>1079.96</v>
      </c>
      <c r="L2" s="126">
        <v>200</v>
      </c>
      <c r="M2" s="20">
        <f ca="1">IFERROR(__xludf.DUMMYFUNCTION("GOOGLEFINANCE(J2,""price"")"),1174)</f>
        <v>1174</v>
      </c>
      <c r="N2" s="10">
        <f t="shared" ref="N2:N37" ca="1" si="3">(M2-K2)*L2</f>
        <v>18807.999999999993</v>
      </c>
      <c r="O2" s="31" t="s">
        <v>616</v>
      </c>
      <c r="Q2" s="12">
        <f t="shared" ref="Q2:Q37" ca="1" si="4">(M2-K2)*100/K2</f>
        <v>8.7077299159228083</v>
      </c>
      <c r="R2" s="24">
        <f t="shared" ref="R2:R37" si="5">K2*L2</f>
        <v>215992</v>
      </c>
      <c r="S2" s="164"/>
      <c r="T2" s="31" t="s">
        <v>15</v>
      </c>
      <c r="U2" s="126">
        <v>1088.6600000000001</v>
      </c>
      <c r="V2" s="126">
        <v>150</v>
      </c>
      <c r="W2" s="20">
        <f ca="1">IFERROR(__xludf.DUMMYFUNCTION("GOOGLEFINANCE(T2,""price"")"),1174)</f>
        <v>1174</v>
      </c>
      <c r="X2" s="10">
        <f t="shared" ref="X2:X37" ca="1" si="6">(W2-U2)*V2</f>
        <v>12800.999999999987</v>
      </c>
      <c r="Y2" s="22"/>
      <c r="Z2" s="31" t="s">
        <v>616</v>
      </c>
      <c r="AB2" s="12">
        <f t="shared" ref="AB2:AB37" ca="1" si="7">(W2-U2)*100/U2</f>
        <v>7.8389947274631124</v>
      </c>
      <c r="AC2" s="24">
        <f t="shared" ref="AC2:AC37" si="8">U2*V2</f>
        <v>163299</v>
      </c>
    </row>
    <row r="3" spans="1:29">
      <c r="A3" s="203" t="s">
        <v>17</v>
      </c>
      <c r="C3" s="126">
        <v>267.2</v>
      </c>
      <c r="D3" s="126">
        <v>400</v>
      </c>
      <c r="E3" s="161">
        <f ca="1">IFERROR(__xludf.DUMMYFUNCTION("GOOGLEFINANCE(A3,""PRICE"")"),364)</f>
        <v>364</v>
      </c>
      <c r="F3" s="10">
        <f t="shared" ca="1" si="0"/>
        <v>38720.000000000007</v>
      </c>
      <c r="G3" s="12">
        <f t="shared" ca="1" si="1"/>
        <v>36.227544910179653</v>
      </c>
      <c r="H3" s="1">
        <f t="shared" si="2"/>
        <v>106880</v>
      </c>
      <c r="I3" s="164"/>
      <c r="J3" s="31" t="s">
        <v>622</v>
      </c>
      <c r="K3" s="126">
        <v>94.43</v>
      </c>
      <c r="L3" s="126">
        <v>800</v>
      </c>
      <c r="M3" s="20">
        <f ca="1">IFERROR(__xludf.DUMMYFUNCTION("GOOGLEFINANCE(J3,""price"")"),94.4)</f>
        <v>94.4</v>
      </c>
      <c r="N3" s="10">
        <f t="shared" ca="1" si="3"/>
        <v>-24.000000000000909</v>
      </c>
      <c r="O3" s="31" t="s">
        <v>1084</v>
      </c>
      <c r="Q3" s="12">
        <f t="shared" ca="1" si="4"/>
        <v>-3.1769564756964033E-2</v>
      </c>
      <c r="R3" s="24">
        <f t="shared" si="5"/>
        <v>75544</v>
      </c>
      <c r="S3" s="164"/>
      <c r="T3" s="31" t="s">
        <v>622</v>
      </c>
      <c r="U3" s="126">
        <v>94.43</v>
      </c>
      <c r="V3" s="126">
        <v>800</v>
      </c>
      <c r="W3" s="20">
        <f ca="1">IFERROR(__xludf.DUMMYFUNCTION("GOOGLEFINANCE(T3,""price"")"),94.4)</f>
        <v>94.4</v>
      </c>
      <c r="X3" s="10">
        <f t="shared" ca="1" si="6"/>
        <v>-24.000000000000909</v>
      </c>
      <c r="Y3" s="22"/>
      <c r="Z3" s="31" t="s">
        <v>1084</v>
      </c>
      <c r="AB3" s="12">
        <f t="shared" ca="1" si="7"/>
        <v>-3.1769564756964033E-2</v>
      </c>
      <c r="AC3" s="24">
        <f t="shared" si="8"/>
        <v>75544</v>
      </c>
    </row>
    <row r="4" spans="1:29">
      <c r="A4" s="31" t="s">
        <v>19</v>
      </c>
      <c r="C4" s="126">
        <v>187.21</v>
      </c>
      <c r="D4" s="126">
        <v>80</v>
      </c>
      <c r="E4" s="161">
        <f ca="1">IFERROR(__xludf.DUMMYFUNCTION("GOOGLEFINANCE(A4,""PRICE"")"),258)</f>
        <v>258</v>
      </c>
      <c r="F4" s="10">
        <f t="shared" ca="1" si="0"/>
        <v>5663.1999999999989</v>
      </c>
      <c r="G4" s="12">
        <f t="shared" ca="1" si="1"/>
        <v>37.813151006890649</v>
      </c>
      <c r="H4" s="1">
        <f t="shared" si="2"/>
        <v>14976.800000000001</v>
      </c>
      <c r="I4" s="164"/>
      <c r="J4" s="3" t="s">
        <v>17</v>
      </c>
      <c r="K4" s="126">
        <v>259.54000000000002</v>
      </c>
      <c r="L4" s="126">
        <v>200</v>
      </c>
      <c r="M4" s="20">
        <f ca="1">IFERROR(__xludf.DUMMYFUNCTION("GOOGLEFINANCE(J4,""price"")"),364)</f>
        <v>364</v>
      </c>
      <c r="N4" s="10">
        <f t="shared" ca="1" si="3"/>
        <v>20891.999999999996</v>
      </c>
      <c r="O4" s="31" t="s">
        <v>642</v>
      </c>
      <c r="Q4" s="12">
        <f t="shared" ca="1" si="4"/>
        <v>40.248131309239412</v>
      </c>
      <c r="R4" s="24">
        <f t="shared" si="5"/>
        <v>51908.000000000007</v>
      </c>
      <c r="S4" s="164"/>
      <c r="T4" s="3" t="s">
        <v>17</v>
      </c>
      <c r="U4" s="126">
        <v>259.33999999999997</v>
      </c>
      <c r="V4" s="126">
        <v>200</v>
      </c>
      <c r="W4" s="20">
        <f ca="1">IFERROR(__xludf.DUMMYFUNCTION("GOOGLEFINANCE(T4,""price"")"),364)</f>
        <v>364</v>
      </c>
      <c r="X4" s="10">
        <f t="shared" ca="1" si="6"/>
        <v>20932.000000000004</v>
      </c>
      <c r="Y4" s="22"/>
      <c r="Z4" s="31" t="s">
        <v>642</v>
      </c>
      <c r="AB4" s="12">
        <f t="shared" ca="1" si="7"/>
        <v>40.356289041412829</v>
      </c>
      <c r="AC4" s="24">
        <f t="shared" si="8"/>
        <v>51867.999999999993</v>
      </c>
    </row>
    <row r="5" spans="1:29">
      <c r="A5" s="31" t="s">
        <v>156</v>
      </c>
      <c r="C5" s="126">
        <v>233.1</v>
      </c>
      <c r="D5" s="126">
        <v>600</v>
      </c>
      <c r="E5" s="161">
        <f ca="1">IFERROR(__xludf.DUMMYFUNCTION("GOOGLEFINANCE(A5,""PRICE"")"),267.7)</f>
        <v>267.7</v>
      </c>
      <c r="F5" s="10">
        <f t="shared" ca="1" si="0"/>
        <v>20759.999999999996</v>
      </c>
      <c r="G5" s="12">
        <f t="shared" ca="1" si="1"/>
        <v>14.843414843414841</v>
      </c>
      <c r="H5" s="1">
        <f t="shared" si="2"/>
        <v>139860</v>
      </c>
      <c r="I5" s="164"/>
      <c r="J5" s="31" t="s">
        <v>13</v>
      </c>
      <c r="K5" s="126">
        <v>73.66</v>
      </c>
      <c r="L5" s="126">
        <v>2000</v>
      </c>
      <c r="M5" s="20">
        <f ca="1">IFERROR(__xludf.DUMMYFUNCTION("GOOGLEFINANCE(J5,""price"")"),67.95)</f>
        <v>67.95</v>
      </c>
      <c r="N5" s="10">
        <f t="shared" ca="1" si="3"/>
        <v>-11419.999999999987</v>
      </c>
      <c r="O5" s="31" t="s">
        <v>619</v>
      </c>
      <c r="Q5" s="12">
        <f t="shared" ca="1" si="4"/>
        <v>-7.7518327450447915</v>
      </c>
      <c r="R5" s="24">
        <f t="shared" si="5"/>
        <v>147320</v>
      </c>
      <c r="S5" s="164"/>
      <c r="T5" s="31" t="s">
        <v>13</v>
      </c>
      <c r="U5" s="126">
        <v>73.67</v>
      </c>
      <c r="V5" s="126">
        <v>2000</v>
      </c>
      <c r="W5" s="20">
        <f ca="1">IFERROR(__xludf.DUMMYFUNCTION("GOOGLEFINANCE(T5,""price"")"),67.95)</f>
        <v>67.95</v>
      </c>
      <c r="X5" s="10">
        <f t="shared" ca="1" si="6"/>
        <v>-11439.999999999998</v>
      </c>
      <c r="Y5" s="22"/>
      <c r="Z5" s="31" t="s">
        <v>619</v>
      </c>
      <c r="AB5" s="12">
        <f t="shared" ca="1" si="7"/>
        <v>-7.7643545540925736</v>
      </c>
      <c r="AC5" s="24">
        <f t="shared" si="8"/>
        <v>147340</v>
      </c>
    </row>
    <row r="6" spans="1:29">
      <c r="A6" s="203" t="s">
        <v>11</v>
      </c>
      <c r="B6" s="2"/>
      <c r="C6" s="126">
        <v>106.42</v>
      </c>
      <c r="D6" s="126">
        <v>1100</v>
      </c>
      <c r="E6" s="161">
        <f ca="1">IFERROR(__xludf.DUMMYFUNCTION("GOOGLEFINANCE(A6,""PRICE"")"),143.1)</f>
        <v>143.1</v>
      </c>
      <c r="F6" s="10">
        <f t="shared" ca="1" si="0"/>
        <v>40347.999999999993</v>
      </c>
      <c r="G6" s="12">
        <f t="shared" ca="1" si="1"/>
        <v>34.467205412516435</v>
      </c>
      <c r="H6" s="1">
        <f t="shared" si="2"/>
        <v>117062</v>
      </c>
      <c r="I6" s="164"/>
      <c r="J6" s="3" t="s">
        <v>19</v>
      </c>
      <c r="K6" s="126">
        <v>186.56</v>
      </c>
      <c r="L6" s="126">
        <v>550</v>
      </c>
      <c r="M6" s="20">
        <f ca="1">IFERROR(__xludf.DUMMYFUNCTION("GOOGLEFINANCE(J6,""price"")"),258)</f>
        <v>258</v>
      </c>
      <c r="N6" s="10">
        <f t="shared" ca="1" si="3"/>
        <v>39292</v>
      </c>
      <c r="O6" s="31" t="s">
        <v>618</v>
      </c>
      <c r="Q6" s="12">
        <f t="shared" ca="1" si="4"/>
        <v>38.293310463121784</v>
      </c>
      <c r="R6" s="24">
        <f t="shared" si="5"/>
        <v>102608</v>
      </c>
      <c r="S6" s="164"/>
      <c r="T6" s="3" t="s">
        <v>19</v>
      </c>
      <c r="U6" s="126">
        <v>186.85</v>
      </c>
      <c r="V6" s="126">
        <v>550</v>
      </c>
      <c r="W6" s="20">
        <f ca="1">IFERROR(__xludf.DUMMYFUNCTION("GOOGLEFINANCE(T6,""price"")"),258)</f>
        <v>258</v>
      </c>
      <c r="X6" s="10">
        <f t="shared" ca="1" si="6"/>
        <v>39132.5</v>
      </c>
      <c r="Y6" s="204"/>
      <c r="Z6" s="31" t="s">
        <v>618</v>
      </c>
      <c r="AB6" s="12">
        <f t="shared" ca="1" si="7"/>
        <v>38.078672732138088</v>
      </c>
      <c r="AC6" s="24">
        <f t="shared" si="8"/>
        <v>102767.5</v>
      </c>
    </row>
    <row r="7" spans="1:29">
      <c r="A7" s="203" t="s">
        <v>241</v>
      </c>
      <c r="B7" s="2"/>
      <c r="C7" s="126">
        <v>306.92</v>
      </c>
      <c r="D7" s="126">
        <v>450</v>
      </c>
      <c r="E7" s="161">
        <f ca="1">IFERROR(__xludf.DUMMYFUNCTION("GOOGLEFINANCE(A7,""PRICE"")"),399.8)</f>
        <v>399.8</v>
      </c>
      <c r="F7" s="10">
        <f t="shared" ca="1" si="0"/>
        <v>41796</v>
      </c>
      <c r="G7" s="12">
        <f t="shared" ca="1" si="1"/>
        <v>30.261957513358528</v>
      </c>
      <c r="H7" s="1">
        <f t="shared" si="2"/>
        <v>138114</v>
      </c>
      <c r="I7" s="164"/>
      <c r="J7" s="31" t="s">
        <v>156</v>
      </c>
      <c r="K7" s="126">
        <v>232.5</v>
      </c>
      <c r="L7" s="126">
        <v>600</v>
      </c>
      <c r="M7" s="20">
        <f ca="1">IFERROR(__xludf.DUMMYFUNCTION("GOOGLEFINANCE(J7,""price"")"),267.7)</f>
        <v>267.7</v>
      </c>
      <c r="N7" s="10">
        <f t="shared" ca="1" si="3"/>
        <v>21119.999999999993</v>
      </c>
      <c r="O7" s="31" t="s">
        <v>1085</v>
      </c>
      <c r="Q7" s="12">
        <f t="shared" ca="1" si="4"/>
        <v>15.139784946236555</v>
      </c>
      <c r="R7" s="24">
        <f t="shared" si="5"/>
        <v>139500</v>
      </c>
      <c r="S7" s="164"/>
      <c r="T7" s="31" t="s">
        <v>156</v>
      </c>
      <c r="U7" s="126">
        <v>232.6</v>
      </c>
      <c r="V7" s="126">
        <v>600</v>
      </c>
      <c r="W7" s="20">
        <f ca="1">IFERROR(__xludf.DUMMYFUNCTION("GOOGLEFINANCE(T7,""price"")"),267.7)</f>
        <v>267.7</v>
      </c>
      <c r="X7" s="10">
        <f t="shared" ca="1" si="6"/>
        <v>21059.999999999996</v>
      </c>
      <c r="Y7" s="204"/>
      <c r="Z7" s="31" t="s">
        <v>1085</v>
      </c>
      <c r="AB7" s="12">
        <f t="shared" ca="1" si="7"/>
        <v>15.090283748925192</v>
      </c>
      <c r="AC7" s="24">
        <f t="shared" si="8"/>
        <v>139560</v>
      </c>
    </row>
    <row r="8" spans="1:29">
      <c r="A8" s="31" t="s">
        <v>182</v>
      </c>
      <c r="B8" s="2"/>
      <c r="C8" s="126">
        <v>965.8</v>
      </c>
      <c r="D8" s="126">
        <v>110</v>
      </c>
      <c r="E8" s="161">
        <f ca="1">IFERROR(__xludf.DUMMYFUNCTION("GOOGLEFINANCE(A8,""PRICE"")"),1200)</f>
        <v>1200</v>
      </c>
      <c r="F8" s="10">
        <f t="shared" ca="1" si="0"/>
        <v>25762.000000000004</v>
      </c>
      <c r="G8" s="12">
        <f t="shared" ca="1" si="1"/>
        <v>24.249326982812182</v>
      </c>
      <c r="H8" s="1">
        <f t="shared" si="2"/>
        <v>106238</v>
      </c>
      <c r="I8" s="164"/>
      <c r="J8" s="31" t="s">
        <v>11</v>
      </c>
      <c r="K8" s="126">
        <v>115.29</v>
      </c>
      <c r="L8" s="126">
        <v>1000</v>
      </c>
      <c r="M8" s="20">
        <f ca="1">IFERROR(__xludf.DUMMYFUNCTION("GOOGLEFINANCE(J8,""price"")"),143.1)</f>
        <v>143.1</v>
      </c>
      <c r="N8" s="10">
        <f t="shared" ca="1" si="3"/>
        <v>27809.999999999989</v>
      </c>
      <c r="O8" s="31" t="s">
        <v>538</v>
      </c>
      <c r="Q8" s="12">
        <f t="shared" ca="1" si="4"/>
        <v>24.121779859484764</v>
      </c>
      <c r="R8" s="24">
        <f t="shared" si="5"/>
        <v>115290</v>
      </c>
      <c r="S8" s="164"/>
      <c r="T8" s="31" t="s">
        <v>11</v>
      </c>
      <c r="U8" s="126">
        <v>115.24</v>
      </c>
      <c r="V8" s="126">
        <v>1000</v>
      </c>
      <c r="W8" s="20">
        <f ca="1">IFERROR(__xludf.DUMMYFUNCTION("GOOGLEFINANCE(T8,""price"")"),143.1)</f>
        <v>143.1</v>
      </c>
      <c r="X8" s="10">
        <f t="shared" ca="1" si="6"/>
        <v>27860</v>
      </c>
      <c r="Y8" s="204"/>
      <c r="Z8" s="31" t="s">
        <v>538</v>
      </c>
      <c r="AB8" s="12">
        <f t="shared" ca="1" si="7"/>
        <v>24.175633460603958</v>
      </c>
      <c r="AC8" s="24">
        <f t="shared" si="8"/>
        <v>115240</v>
      </c>
    </row>
    <row r="9" spans="1:29">
      <c r="A9" s="31" t="s">
        <v>240</v>
      </c>
      <c r="B9" s="2"/>
      <c r="C9" s="126">
        <v>4402.29</v>
      </c>
      <c r="D9" s="126">
        <v>35</v>
      </c>
      <c r="E9" s="161">
        <f ca="1">IFERROR(__xludf.DUMMYFUNCTION("GOOGLEFINANCE(A9,""PRICE"")"),8649)</f>
        <v>8649</v>
      </c>
      <c r="F9" s="10">
        <f t="shared" ca="1" si="0"/>
        <v>148634.85</v>
      </c>
      <c r="G9" s="12">
        <f t="shared" ca="1" si="1"/>
        <v>96.465930231765739</v>
      </c>
      <c r="H9" s="1">
        <f t="shared" si="2"/>
        <v>154080.15</v>
      </c>
      <c r="I9" s="164"/>
      <c r="J9" s="31" t="s">
        <v>577</v>
      </c>
      <c r="K9" s="126">
        <v>112.71</v>
      </c>
      <c r="L9" s="126">
        <v>1300</v>
      </c>
      <c r="M9" s="20">
        <f ca="1">IFERROR(__xludf.DUMMYFUNCTION("GOOGLEFINANCE(J9,""price"")"),104.35)</f>
        <v>104.35</v>
      </c>
      <c r="N9" s="10">
        <f t="shared" ca="1" si="3"/>
        <v>-10868</v>
      </c>
      <c r="O9" s="31" t="s">
        <v>640</v>
      </c>
      <c r="Q9" s="12">
        <f t="shared" ca="1" si="4"/>
        <v>-7.4172655487534387</v>
      </c>
      <c r="R9" s="24">
        <f t="shared" si="5"/>
        <v>146523</v>
      </c>
      <c r="S9" s="164"/>
      <c r="T9" s="31" t="s">
        <v>577</v>
      </c>
      <c r="U9" s="126">
        <v>112.66</v>
      </c>
      <c r="V9" s="126">
        <v>1300</v>
      </c>
      <c r="W9" s="20">
        <f ca="1">IFERROR(__xludf.DUMMYFUNCTION("GOOGLEFINANCE(T9,""price"")"),104.35)</f>
        <v>104.35</v>
      </c>
      <c r="X9" s="10">
        <f t="shared" ca="1" si="6"/>
        <v>-10803.000000000004</v>
      </c>
      <c r="Y9" s="204"/>
      <c r="Z9" s="31" t="s">
        <v>640</v>
      </c>
      <c r="AB9" s="12">
        <f t="shared" ca="1" si="7"/>
        <v>-7.3761761050949781</v>
      </c>
      <c r="AC9" s="24">
        <f t="shared" si="8"/>
        <v>146458</v>
      </c>
    </row>
    <row r="10" spans="1:29">
      <c r="A10" s="31" t="s">
        <v>159</v>
      </c>
      <c r="B10" s="2"/>
      <c r="C10" s="126">
        <v>170.91</v>
      </c>
      <c r="D10" s="126">
        <v>700</v>
      </c>
      <c r="E10" s="161">
        <f ca="1">IFERROR(__xludf.DUMMYFUNCTION("GOOGLEFINANCE(A10,""PRICE"")"),218.8)</f>
        <v>218.8</v>
      </c>
      <c r="F10" s="10">
        <f t="shared" ca="1" si="0"/>
        <v>33523.000000000007</v>
      </c>
      <c r="G10" s="12">
        <f t="shared" ca="1" si="1"/>
        <v>28.020595635129613</v>
      </c>
      <c r="H10" s="1">
        <f t="shared" si="2"/>
        <v>119637</v>
      </c>
      <c r="I10" s="164"/>
      <c r="J10" s="31" t="s">
        <v>29</v>
      </c>
      <c r="K10" s="126">
        <v>268.39999999999998</v>
      </c>
      <c r="L10" s="126">
        <v>650</v>
      </c>
      <c r="M10" s="20">
        <f ca="1">IFERROR(__xludf.DUMMYFUNCTION("GOOGLEFINANCE(J10,""price"")"),296.25)</f>
        <v>296.25</v>
      </c>
      <c r="N10" s="10">
        <f t="shared" ca="1" si="3"/>
        <v>18102.500000000015</v>
      </c>
      <c r="O10" s="31" t="s">
        <v>653</v>
      </c>
      <c r="Q10" s="12">
        <f t="shared" ca="1" si="4"/>
        <v>10.376304023845016</v>
      </c>
      <c r="R10" s="24">
        <f t="shared" si="5"/>
        <v>174459.99999999997</v>
      </c>
      <c r="S10" s="164"/>
      <c r="T10" s="31" t="s">
        <v>29</v>
      </c>
      <c r="U10" s="126">
        <v>265.49</v>
      </c>
      <c r="V10" s="126">
        <v>600</v>
      </c>
      <c r="W10" s="20">
        <f ca="1">IFERROR(__xludf.DUMMYFUNCTION("GOOGLEFINANCE(T10,""price"")"),296.25)</f>
        <v>296.25</v>
      </c>
      <c r="X10" s="10">
        <f t="shared" ca="1" si="6"/>
        <v>18455.999999999993</v>
      </c>
      <c r="Y10" s="204"/>
      <c r="Z10" s="31" t="s">
        <v>653</v>
      </c>
      <c r="AB10" s="12">
        <f t="shared" ca="1" si="7"/>
        <v>11.586123771140151</v>
      </c>
      <c r="AC10" s="24">
        <f t="shared" si="8"/>
        <v>159294</v>
      </c>
    </row>
    <row r="11" spans="1:29">
      <c r="A11" s="3" t="s">
        <v>24</v>
      </c>
      <c r="B11" s="2"/>
      <c r="C11" s="126">
        <v>469.26</v>
      </c>
      <c r="D11" s="126">
        <v>175</v>
      </c>
      <c r="E11" s="161">
        <f ca="1">IFERROR(__xludf.DUMMYFUNCTION("GOOGLEFINANCE(A11,""PRICE"")"),896)</f>
        <v>896</v>
      </c>
      <c r="F11" s="10">
        <f t="shared" ca="1" si="0"/>
        <v>74679.5</v>
      </c>
      <c r="G11" s="12">
        <f t="shared" ca="1" si="1"/>
        <v>90.938925116140311</v>
      </c>
      <c r="H11" s="1">
        <f t="shared" si="2"/>
        <v>82120.5</v>
      </c>
      <c r="I11" s="164"/>
      <c r="J11" s="3" t="s">
        <v>241</v>
      </c>
      <c r="K11" s="126">
        <v>295.68</v>
      </c>
      <c r="L11" s="126">
        <v>400</v>
      </c>
      <c r="M11" s="20">
        <f ca="1">IFERROR(__xludf.DUMMYFUNCTION("GOOGLEFINANCE(J11,""price"")"),399.8)</f>
        <v>399.8</v>
      </c>
      <c r="N11" s="10">
        <f t="shared" ca="1" si="3"/>
        <v>41648</v>
      </c>
      <c r="O11" s="31" t="s">
        <v>654</v>
      </c>
      <c r="Q11" s="12">
        <f t="shared" ca="1" si="4"/>
        <v>35.213744588744589</v>
      </c>
      <c r="R11" s="24">
        <f t="shared" si="5"/>
        <v>118272</v>
      </c>
      <c r="S11" s="164"/>
      <c r="T11" s="31" t="s">
        <v>241</v>
      </c>
      <c r="U11" s="126">
        <v>295.38</v>
      </c>
      <c r="V11" s="126">
        <v>400</v>
      </c>
      <c r="W11" s="20">
        <f ca="1">IFERROR(__xludf.DUMMYFUNCTION("GOOGLEFINANCE(T11,""price"")"),399.8)</f>
        <v>399.8</v>
      </c>
      <c r="X11" s="10">
        <f t="shared" ca="1" si="6"/>
        <v>41768.000000000007</v>
      </c>
      <c r="Y11" s="204"/>
      <c r="Z11" s="31" t="s">
        <v>654</v>
      </c>
      <c r="AB11" s="12">
        <f t="shared" ca="1" si="7"/>
        <v>35.351073193851995</v>
      </c>
      <c r="AC11" s="24">
        <f t="shared" si="8"/>
        <v>118152</v>
      </c>
    </row>
    <row r="12" spans="1:29">
      <c r="A12" s="31" t="s">
        <v>217</v>
      </c>
      <c r="B12" s="2"/>
      <c r="C12" s="126">
        <v>139.41999999999999</v>
      </c>
      <c r="D12" s="126">
        <v>1100</v>
      </c>
      <c r="E12" s="161">
        <f ca="1">IFERROR(__xludf.DUMMYFUNCTION("GOOGLEFINANCE(A12,""PRICE"")"),216.05)</f>
        <v>216.05</v>
      </c>
      <c r="F12" s="10">
        <f t="shared" ca="1" si="0"/>
        <v>84293.000000000029</v>
      </c>
      <c r="G12" s="12">
        <f t="shared" ca="1" si="1"/>
        <v>54.963419882369841</v>
      </c>
      <c r="H12" s="1">
        <f t="shared" si="2"/>
        <v>153362</v>
      </c>
      <c r="I12" s="164"/>
      <c r="J12" s="31" t="s">
        <v>159</v>
      </c>
      <c r="K12" s="126">
        <v>170.91</v>
      </c>
      <c r="L12" s="126">
        <v>700</v>
      </c>
      <c r="M12" s="20">
        <f ca="1">IFERROR(__xludf.DUMMYFUNCTION("GOOGLEFINANCE(J12,""price"")"),218.8)</f>
        <v>218.8</v>
      </c>
      <c r="N12" s="10">
        <f t="shared" ca="1" si="3"/>
        <v>33523.000000000007</v>
      </c>
      <c r="O12" s="31" t="s">
        <v>1086</v>
      </c>
      <c r="Q12" s="12">
        <f t="shared" ca="1" si="4"/>
        <v>28.020595635129613</v>
      </c>
      <c r="R12" s="24">
        <f t="shared" si="5"/>
        <v>119637</v>
      </c>
      <c r="S12" s="164"/>
      <c r="T12" s="31" t="s">
        <v>159</v>
      </c>
      <c r="U12" s="126">
        <v>171.11</v>
      </c>
      <c r="V12" s="126">
        <v>700</v>
      </c>
      <c r="W12" s="20">
        <f ca="1">IFERROR(__xludf.DUMMYFUNCTION("GOOGLEFINANCE(T12,""price"")"),218.8)</f>
        <v>218.8</v>
      </c>
      <c r="X12" s="10">
        <f t="shared" ca="1" si="6"/>
        <v>33383</v>
      </c>
      <c r="Y12" s="204"/>
      <c r="Z12" s="31" t="s">
        <v>1086</v>
      </c>
      <c r="AB12" s="12">
        <f t="shared" ca="1" si="7"/>
        <v>27.870960201040266</v>
      </c>
      <c r="AC12" s="24">
        <f t="shared" si="8"/>
        <v>119777.00000000001</v>
      </c>
    </row>
    <row r="13" spans="1:29">
      <c r="A13" s="31" t="s">
        <v>42</v>
      </c>
      <c r="B13" s="2"/>
      <c r="C13" s="126">
        <v>290.82</v>
      </c>
      <c r="D13" s="126">
        <v>75</v>
      </c>
      <c r="E13" s="161">
        <f ca="1">IFERROR(__xludf.DUMMYFUNCTION("GOOGLEFINANCE(A13,""PRICE"")"),307.95)</f>
        <v>307.95</v>
      </c>
      <c r="F13" s="10">
        <f t="shared" ca="1" si="0"/>
        <v>1284.7499999999995</v>
      </c>
      <c r="G13" s="12">
        <f t="shared" ca="1" si="1"/>
        <v>5.8902413864245915</v>
      </c>
      <c r="H13" s="1">
        <f t="shared" si="2"/>
        <v>21811.5</v>
      </c>
      <c r="I13" s="164"/>
      <c r="J13" s="31" t="s">
        <v>501</v>
      </c>
      <c r="K13" s="126">
        <v>430.83</v>
      </c>
      <c r="L13" s="126">
        <v>100</v>
      </c>
      <c r="M13" s="20">
        <f ca="1">IFERROR(__xludf.DUMMYFUNCTION("GOOGLEFINANCE(J13,""price"")"),451.7)</f>
        <v>451.7</v>
      </c>
      <c r="N13" s="10">
        <f t="shared" ca="1" si="3"/>
        <v>2087.0000000000005</v>
      </c>
      <c r="O13" s="31" t="s">
        <v>631</v>
      </c>
      <c r="Q13" s="12">
        <f t="shared" ca="1" si="4"/>
        <v>4.8441380590952363</v>
      </c>
      <c r="R13" s="24">
        <f t="shared" si="5"/>
        <v>43083</v>
      </c>
      <c r="S13" s="164"/>
      <c r="T13" s="31" t="s">
        <v>501</v>
      </c>
      <c r="U13" s="126">
        <v>430.29</v>
      </c>
      <c r="V13" s="126">
        <v>100</v>
      </c>
      <c r="W13" s="20">
        <f ca="1">IFERROR(__xludf.DUMMYFUNCTION("GOOGLEFINANCE(T13,""price"")"),451.7)</f>
        <v>451.7</v>
      </c>
      <c r="X13" s="10">
        <f t="shared" ca="1" si="6"/>
        <v>2140.9999999999968</v>
      </c>
      <c r="Y13" s="204"/>
      <c r="Z13" s="31" t="s">
        <v>631</v>
      </c>
      <c r="AB13" s="12">
        <f t="shared" ca="1" si="7"/>
        <v>4.9757140533128741</v>
      </c>
      <c r="AC13" s="24">
        <f t="shared" si="8"/>
        <v>43029</v>
      </c>
    </row>
    <row r="14" spans="1:29">
      <c r="A14" s="31" t="s">
        <v>245</v>
      </c>
      <c r="B14" s="2"/>
      <c r="C14" s="126">
        <v>35.03</v>
      </c>
      <c r="D14" s="126">
        <v>3000</v>
      </c>
      <c r="E14" s="161">
        <f ca="1">IFERROR(__xludf.DUMMYFUNCTION("GOOGLEFINANCE(A14,""PRICE"")"),68)</f>
        <v>68</v>
      </c>
      <c r="F14" s="10">
        <f t="shared" ca="1" si="0"/>
        <v>98910</v>
      </c>
      <c r="G14" s="12">
        <f t="shared" ca="1" si="1"/>
        <v>94.119326291749928</v>
      </c>
      <c r="H14" s="1">
        <f t="shared" si="2"/>
        <v>105090</v>
      </c>
      <c r="I14" s="164"/>
      <c r="J14" s="31" t="s">
        <v>24</v>
      </c>
      <c r="K14" s="126">
        <v>468.9</v>
      </c>
      <c r="L14" s="126">
        <v>200</v>
      </c>
      <c r="M14" s="20">
        <f ca="1">IFERROR(__xludf.DUMMYFUNCTION("GOOGLEFINANCE(J14,""price"")"),896)</f>
        <v>896</v>
      </c>
      <c r="N14" s="10">
        <f t="shared" ca="1" si="3"/>
        <v>85420</v>
      </c>
      <c r="O14" s="31" t="s">
        <v>671</v>
      </c>
      <c r="Q14" s="12">
        <f t="shared" ca="1" si="4"/>
        <v>91.085519300490517</v>
      </c>
      <c r="R14" s="24">
        <f t="shared" si="5"/>
        <v>93780</v>
      </c>
      <c r="S14" s="164"/>
      <c r="T14" s="31" t="s">
        <v>24</v>
      </c>
      <c r="U14" s="126">
        <v>469.2</v>
      </c>
      <c r="V14" s="126">
        <v>207</v>
      </c>
      <c r="W14" s="20">
        <f ca="1">IFERROR(__xludf.DUMMYFUNCTION("GOOGLEFINANCE(T14,""price"")"),896)</f>
        <v>896</v>
      </c>
      <c r="X14" s="10">
        <f t="shared" ca="1" si="6"/>
        <v>88347.6</v>
      </c>
      <c r="Y14" s="204"/>
      <c r="Z14" s="31" t="s">
        <v>671</v>
      </c>
      <c r="AB14" s="12">
        <f t="shared" ca="1" si="7"/>
        <v>90.963341858482522</v>
      </c>
      <c r="AC14" s="24">
        <f t="shared" si="8"/>
        <v>97124.4</v>
      </c>
    </row>
    <row r="15" spans="1:29">
      <c r="A15" s="31" t="s">
        <v>168</v>
      </c>
      <c r="B15" s="2"/>
      <c r="C15" s="126">
        <v>173.52</v>
      </c>
      <c r="D15" s="126">
        <v>650</v>
      </c>
      <c r="E15" s="161">
        <f ca="1">IFERROR(__xludf.DUMMYFUNCTION("GOOGLEFINANCE(A15,""PRICE"")"),226.25)</f>
        <v>226.25</v>
      </c>
      <c r="F15" s="10">
        <f t="shared" ca="1" si="0"/>
        <v>34274.499999999993</v>
      </c>
      <c r="G15" s="12">
        <f t="shared" ca="1" si="1"/>
        <v>30.388427846934064</v>
      </c>
      <c r="H15" s="1">
        <f t="shared" si="2"/>
        <v>112788</v>
      </c>
      <c r="I15" s="164"/>
      <c r="J15" s="31" t="s">
        <v>42</v>
      </c>
      <c r="K15" s="126">
        <v>290.82</v>
      </c>
      <c r="L15" s="126">
        <v>525</v>
      </c>
      <c r="M15" s="20">
        <f ca="1">IFERROR(__xludf.DUMMYFUNCTION("GOOGLEFINANCE(J15,""price"")"),307.95)</f>
        <v>307.95</v>
      </c>
      <c r="N15" s="10">
        <f t="shared" ca="1" si="3"/>
        <v>8993.2499999999982</v>
      </c>
      <c r="O15" s="31" t="s">
        <v>624</v>
      </c>
      <c r="Q15" s="12">
        <f t="shared" ca="1" si="4"/>
        <v>5.8902413864245915</v>
      </c>
      <c r="R15" s="24">
        <f t="shared" si="5"/>
        <v>152680.5</v>
      </c>
      <c r="S15" s="164"/>
      <c r="T15" s="31" t="s">
        <v>42</v>
      </c>
      <c r="U15" s="126">
        <v>290.86</v>
      </c>
      <c r="V15" s="126">
        <v>525</v>
      </c>
      <c r="W15" s="20">
        <f ca="1">IFERROR(__xludf.DUMMYFUNCTION("GOOGLEFINANCE(T15,""price"")"),307.95)</f>
        <v>307.95</v>
      </c>
      <c r="X15" s="10">
        <f t="shared" ca="1" si="6"/>
        <v>8972.2499999999873</v>
      </c>
      <c r="Y15" s="204"/>
      <c r="Z15" s="31" t="s">
        <v>624</v>
      </c>
      <c r="AB15" s="12">
        <f t="shared" ca="1" si="7"/>
        <v>5.8756790208347569</v>
      </c>
      <c r="AC15" s="24">
        <f t="shared" si="8"/>
        <v>152701.5</v>
      </c>
    </row>
    <row r="16" spans="1:29">
      <c r="A16" s="31" t="s">
        <v>48</v>
      </c>
      <c r="B16" s="2"/>
      <c r="C16" s="126">
        <v>256.88</v>
      </c>
      <c r="D16" s="126">
        <v>750</v>
      </c>
      <c r="E16" s="161">
        <f ca="1">IFERROR(__xludf.DUMMYFUNCTION("GOOGLEFINANCE(A16,""PRICE"")"),336.35)</f>
        <v>336.35</v>
      </c>
      <c r="F16" s="10">
        <f t="shared" ca="1" si="0"/>
        <v>59602.500000000022</v>
      </c>
      <c r="G16" s="12">
        <f t="shared" ca="1" si="1"/>
        <v>30.936624104640309</v>
      </c>
      <c r="H16" s="1">
        <f t="shared" si="2"/>
        <v>192660</v>
      </c>
      <c r="I16" s="164"/>
      <c r="J16" s="31" t="s">
        <v>26</v>
      </c>
      <c r="K16" s="126">
        <v>81.489999999999995</v>
      </c>
      <c r="L16" s="126">
        <v>1500</v>
      </c>
      <c r="M16" s="20">
        <f ca="1">IFERROR(__xludf.DUMMYFUNCTION("GOOGLEFINANCE(J16,""price"")"),98.4)</f>
        <v>98.4</v>
      </c>
      <c r="N16" s="10">
        <f t="shared" ca="1" si="3"/>
        <v>25365.000000000015</v>
      </c>
      <c r="O16" s="31" t="s">
        <v>542</v>
      </c>
      <c r="Q16" s="12">
        <f t="shared" ca="1" si="4"/>
        <v>20.751012394158806</v>
      </c>
      <c r="R16" s="24">
        <f t="shared" si="5"/>
        <v>122234.99999999999</v>
      </c>
      <c r="S16" s="164"/>
      <c r="T16" s="31" t="s">
        <v>26</v>
      </c>
      <c r="U16" s="126">
        <v>81.489999999999995</v>
      </c>
      <c r="V16" s="126">
        <v>1500</v>
      </c>
      <c r="W16" s="20">
        <f ca="1">IFERROR(__xludf.DUMMYFUNCTION("GOOGLEFINANCE(T16,""price"")"),98.4)</f>
        <v>98.4</v>
      </c>
      <c r="X16" s="10">
        <f t="shared" ca="1" si="6"/>
        <v>25365.000000000015</v>
      </c>
      <c r="Y16" s="204"/>
      <c r="Z16" s="31" t="s">
        <v>542</v>
      </c>
      <c r="AB16" s="12">
        <f t="shared" ca="1" si="7"/>
        <v>20.751012394158806</v>
      </c>
      <c r="AC16" s="24">
        <f t="shared" si="8"/>
        <v>122234.99999999999</v>
      </c>
    </row>
    <row r="17" spans="1:29">
      <c r="A17" s="31" t="s">
        <v>171</v>
      </c>
      <c r="B17" s="2"/>
      <c r="C17" s="126">
        <v>216.01</v>
      </c>
      <c r="D17" s="126">
        <v>750</v>
      </c>
      <c r="E17" s="161">
        <f ca="1">IFERROR(__xludf.DUMMYFUNCTION("GOOGLEFINANCE(A17,""PRICE"")"),223.1)</f>
        <v>223.1</v>
      </c>
      <c r="F17" s="10">
        <f t="shared" ca="1" si="0"/>
        <v>5317.5000000000027</v>
      </c>
      <c r="G17" s="12">
        <f t="shared" ca="1" si="1"/>
        <v>3.2822554511365234</v>
      </c>
      <c r="H17" s="1">
        <f t="shared" si="2"/>
        <v>162007.5</v>
      </c>
      <c r="I17" s="164"/>
      <c r="J17" s="31" t="s">
        <v>651</v>
      </c>
      <c r="K17" s="126">
        <v>292.83</v>
      </c>
      <c r="L17" s="126">
        <v>200</v>
      </c>
      <c r="M17" s="20">
        <f ca="1">IFERROR(__xludf.DUMMYFUNCTION("GOOGLEFINANCE(J17,""price"")"),319)</f>
        <v>319</v>
      </c>
      <c r="N17" s="10">
        <f t="shared" ca="1" si="3"/>
        <v>5234.0000000000036</v>
      </c>
      <c r="O17" s="31" t="s">
        <v>652</v>
      </c>
      <c r="Q17" s="12">
        <f t="shared" ca="1" si="4"/>
        <v>8.9369258614213098</v>
      </c>
      <c r="R17" s="24">
        <f t="shared" si="5"/>
        <v>58566</v>
      </c>
      <c r="S17" s="164"/>
      <c r="T17" s="31" t="s">
        <v>651</v>
      </c>
      <c r="U17" s="126">
        <v>292.83</v>
      </c>
      <c r="V17" s="126">
        <v>200</v>
      </c>
      <c r="W17" s="20">
        <f ca="1">IFERROR(__xludf.DUMMYFUNCTION("GOOGLEFINANCE(T17,""price"")"),319)</f>
        <v>319</v>
      </c>
      <c r="X17" s="10">
        <f t="shared" ca="1" si="6"/>
        <v>5234.0000000000036</v>
      </c>
      <c r="Y17" s="204"/>
      <c r="Z17" s="31" t="s">
        <v>652</v>
      </c>
      <c r="AB17" s="12">
        <f t="shared" ca="1" si="7"/>
        <v>8.9369258614213098</v>
      </c>
      <c r="AC17" s="24">
        <f t="shared" si="8"/>
        <v>58566</v>
      </c>
    </row>
    <row r="18" spans="1:29">
      <c r="A18" s="31" t="s">
        <v>224</v>
      </c>
      <c r="B18" s="2"/>
      <c r="C18" s="126">
        <v>98.49</v>
      </c>
      <c r="D18" s="126">
        <v>400</v>
      </c>
      <c r="E18" s="161">
        <f ca="1">IFERROR(__xludf.DUMMYFUNCTION("GOOGLEFINANCE(A18,""PRICE"")"),170.15)</f>
        <v>170.15</v>
      </c>
      <c r="F18" s="10">
        <f t="shared" ca="1" si="0"/>
        <v>28664.000000000004</v>
      </c>
      <c r="G18" s="12">
        <f t="shared" ca="1" si="1"/>
        <v>72.758655701086411</v>
      </c>
      <c r="H18" s="1">
        <f t="shared" si="2"/>
        <v>39396</v>
      </c>
      <c r="I18" s="164"/>
      <c r="J18" s="3" t="s">
        <v>43</v>
      </c>
      <c r="K18" s="126">
        <v>102.11</v>
      </c>
      <c r="L18" s="126">
        <v>1000</v>
      </c>
      <c r="M18" s="20">
        <f ca="1">IFERROR(__xludf.DUMMYFUNCTION("GOOGLEFINANCE(J18,""price"")"),205)</f>
        <v>205</v>
      </c>
      <c r="N18" s="10">
        <f t="shared" ca="1" si="3"/>
        <v>102890</v>
      </c>
      <c r="O18" s="31" t="s">
        <v>625</v>
      </c>
      <c r="Q18" s="12">
        <f t="shared" ca="1" si="4"/>
        <v>100.76388208794438</v>
      </c>
      <c r="R18" s="24">
        <f t="shared" si="5"/>
        <v>102110</v>
      </c>
      <c r="S18" s="164"/>
      <c r="T18" s="3" t="s">
        <v>43</v>
      </c>
      <c r="U18" s="126">
        <v>101.7</v>
      </c>
      <c r="V18" s="126">
        <v>1000</v>
      </c>
      <c r="W18" s="20">
        <f ca="1">IFERROR(__xludf.DUMMYFUNCTION("GOOGLEFINANCE(T18,""price"")"),205)</f>
        <v>205</v>
      </c>
      <c r="X18" s="10">
        <f t="shared" ca="1" si="6"/>
        <v>103300</v>
      </c>
      <c r="Y18" s="204"/>
      <c r="Z18" s="31" t="s">
        <v>625</v>
      </c>
      <c r="AB18" s="12">
        <f t="shared" ca="1" si="7"/>
        <v>101.57325467059979</v>
      </c>
      <c r="AC18" s="24">
        <f t="shared" si="8"/>
        <v>101700</v>
      </c>
    </row>
    <row r="19" spans="1:29">
      <c r="A19" s="31" t="s">
        <v>233</v>
      </c>
      <c r="B19" s="2"/>
      <c r="C19" s="126">
        <v>159.16</v>
      </c>
      <c r="D19" s="126">
        <v>300</v>
      </c>
      <c r="E19" s="161">
        <f ca="1">IFERROR(__xludf.DUMMYFUNCTION("GOOGLEFINANCE(A19,""PRICE"")"),126.15)</f>
        <v>126.15</v>
      </c>
      <c r="F19" s="10">
        <f t="shared" ca="1" si="0"/>
        <v>-9902.9999999999964</v>
      </c>
      <c r="G19" s="12">
        <f t="shared" ca="1" si="1"/>
        <v>-20.74013571249057</v>
      </c>
      <c r="H19" s="1">
        <f t="shared" si="2"/>
        <v>47748</v>
      </c>
      <c r="I19" s="164"/>
      <c r="J19" s="31" t="s">
        <v>168</v>
      </c>
      <c r="K19" s="126">
        <v>162.79</v>
      </c>
      <c r="L19" s="126">
        <v>1000</v>
      </c>
      <c r="M19" s="20">
        <f ca="1">IFERROR(__xludf.DUMMYFUNCTION("GOOGLEFINANCE(J19,""price"")"),226.25)</f>
        <v>226.25</v>
      </c>
      <c r="N19" s="10">
        <f t="shared" ca="1" si="3"/>
        <v>63460.000000000007</v>
      </c>
      <c r="O19" s="31" t="s">
        <v>633</v>
      </c>
      <c r="Q19" s="12">
        <f t="shared" ca="1" si="4"/>
        <v>38.982738497450711</v>
      </c>
      <c r="R19" s="24">
        <f t="shared" si="5"/>
        <v>162790</v>
      </c>
      <c r="S19" s="164"/>
      <c r="T19" s="31" t="s">
        <v>168</v>
      </c>
      <c r="U19" s="126">
        <v>164.03</v>
      </c>
      <c r="V19" s="126">
        <v>800</v>
      </c>
      <c r="W19" s="20">
        <f ca="1">IFERROR(__xludf.DUMMYFUNCTION("GOOGLEFINANCE(T19,""price"")"),226.25)</f>
        <v>226.25</v>
      </c>
      <c r="X19" s="10">
        <f t="shared" ca="1" si="6"/>
        <v>49776</v>
      </c>
      <c r="Y19" s="204"/>
      <c r="Z19" s="31" t="s">
        <v>633</v>
      </c>
      <c r="AB19" s="12">
        <f t="shared" ca="1" si="7"/>
        <v>37.932085594098638</v>
      </c>
      <c r="AC19" s="24">
        <f t="shared" si="8"/>
        <v>131224</v>
      </c>
    </row>
    <row r="20" spans="1:29">
      <c r="A20" s="31" t="s">
        <v>157</v>
      </c>
      <c r="B20" s="2"/>
      <c r="C20" s="126">
        <v>2713.12</v>
      </c>
      <c r="D20" s="126">
        <v>10</v>
      </c>
      <c r="E20" s="161">
        <f ca="1">IFERROR(__xludf.DUMMYFUNCTION("GOOGLEFINANCE(A20,""PRICE"")"),2459)</f>
        <v>2459</v>
      </c>
      <c r="F20" s="10">
        <f t="shared" ca="1" si="0"/>
        <v>-2541.1999999999989</v>
      </c>
      <c r="G20" s="12">
        <f t="shared" ca="1" si="1"/>
        <v>-9.3663383853275892</v>
      </c>
      <c r="H20" s="1">
        <f t="shared" si="2"/>
        <v>27131.199999999997</v>
      </c>
      <c r="I20" s="164"/>
      <c r="J20" s="31" t="s">
        <v>657</v>
      </c>
      <c r="K20" s="126">
        <v>528.58000000000004</v>
      </c>
      <c r="L20" s="126">
        <v>225</v>
      </c>
      <c r="M20" s="20">
        <f ca="1">IFERROR(__xludf.DUMMYFUNCTION("GOOGLEFINANCE(J20,""price"")"),893.75)</f>
        <v>893.75</v>
      </c>
      <c r="N20" s="10">
        <f t="shared" ca="1" si="3"/>
        <v>82163.249999999985</v>
      </c>
      <c r="O20" s="31" t="s">
        <v>658</v>
      </c>
      <c r="Q20" s="12">
        <f t="shared" ca="1" si="4"/>
        <v>69.085095917363489</v>
      </c>
      <c r="R20" s="24">
        <f t="shared" si="5"/>
        <v>118930.50000000001</v>
      </c>
      <c r="S20" s="164"/>
      <c r="T20" s="31" t="s">
        <v>663</v>
      </c>
      <c r="U20" s="126">
        <v>174.42</v>
      </c>
      <c r="V20" s="126">
        <v>700</v>
      </c>
      <c r="W20" s="20">
        <f ca="1">IFERROR(__xludf.DUMMYFUNCTION("GOOGLEFINANCE(T20,""price"")"),171.1)</f>
        <v>171.1</v>
      </c>
      <c r="X20" s="10">
        <f t="shared" ca="1" si="6"/>
        <v>-2323.9999999999955</v>
      </c>
      <c r="Y20" s="204"/>
      <c r="Z20" s="31" t="s">
        <v>1087</v>
      </c>
      <c r="AB20" s="12">
        <f t="shared" ca="1" si="7"/>
        <v>-1.9034514390551505</v>
      </c>
      <c r="AC20" s="24">
        <f t="shared" si="8"/>
        <v>122093.99999999999</v>
      </c>
    </row>
    <row r="21" spans="1:29">
      <c r="A21" s="31" t="s">
        <v>180</v>
      </c>
      <c r="B21" s="2"/>
      <c r="C21" s="126">
        <v>280.86</v>
      </c>
      <c r="D21" s="126">
        <v>475</v>
      </c>
      <c r="E21" s="161">
        <f ca="1">IFERROR(__xludf.DUMMYFUNCTION("GOOGLEFINANCE(A21,""PRICE"")"),370.05)</f>
        <v>370.05</v>
      </c>
      <c r="F21" s="10">
        <f t="shared" ca="1" si="0"/>
        <v>42365.25</v>
      </c>
      <c r="G21" s="12">
        <f t="shared" ca="1" si="1"/>
        <v>31.756035035248878</v>
      </c>
      <c r="H21" s="1">
        <f t="shared" si="2"/>
        <v>133408.5</v>
      </c>
      <c r="I21" s="164"/>
      <c r="J21" s="31" t="s">
        <v>180</v>
      </c>
      <c r="K21" s="126">
        <v>273.14</v>
      </c>
      <c r="L21" s="126">
        <v>450</v>
      </c>
      <c r="M21" s="20">
        <f ca="1">IFERROR(__xludf.DUMMYFUNCTION("GOOGLEFINANCE(J21,""price"")"),370.05)</f>
        <v>370.05</v>
      </c>
      <c r="N21" s="10">
        <f t="shared" ca="1" si="3"/>
        <v>43609.500000000015</v>
      </c>
      <c r="O21" s="31" t="s">
        <v>643</v>
      </c>
      <c r="Q21" s="12">
        <f t="shared" ca="1" si="4"/>
        <v>35.479973639891639</v>
      </c>
      <c r="R21" s="24">
        <f t="shared" si="5"/>
        <v>122913</v>
      </c>
      <c r="S21" s="164"/>
      <c r="T21" s="31" t="s">
        <v>657</v>
      </c>
      <c r="U21" s="126">
        <v>528.58000000000004</v>
      </c>
      <c r="V21" s="126">
        <v>225</v>
      </c>
      <c r="W21" s="20">
        <f ca="1">IFERROR(__xludf.DUMMYFUNCTION("GOOGLEFINANCE(T21,""price"")"),893.75)</f>
        <v>893.75</v>
      </c>
      <c r="X21" s="10">
        <f t="shared" ca="1" si="6"/>
        <v>82163.249999999985</v>
      </c>
      <c r="Y21" s="204"/>
      <c r="Z21" s="31" t="s">
        <v>658</v>
      </c>
      <c r="AB21" s="12">
        <f t="shared" ca="1" si="7"/>
        <v>69.085095917363489</v>
      </c>
      <c r="AC21" s="24">
        <f t="shared" si="8"/>
        <v>118930.50000000001</v>
      </c>
    </row>
    <row r="22" spans="1:29">
      <c r="A22" s="31" t="s">
        <v>38</v>
      </c>
      <c r="B22" s="2"/>
      <c r="C22" s="126">
        <v>485.45</v>
      </c>
      <c r="D22" s="126">
        <v>100</v>
      </c>
      <c r="E22" s="161">
        <f ca="1">IFERROR(__xludf.DUMMYFUNCTION("GOOGLEFINANCE(A22,""PRICE"")"),461)</f>
        <v>461</v>
      </c>
      <c r="F22" s="10">
        <f t="shared" ca="1" si="0"/>
        <v>-2444.9999999999991</v>
      </c>
      <c r="G22" s="12">
        <f t="shared" ca="1" si="1"/>
        <v>-5.0365640127716533</v>
      </c>
      <c r="H22" s="1">
        <f t="shared" si="2"/>
        <v>48545</v>
      </c>
      <c r="I22" s="164"/>
      <c r="J22" s="31" t="s">
        <v>237</v>
      </c>
      <c r="K22" s="126">
        <v>297.89</v>
      </c>
      <c r="L22" s="126">
        <v>500</v>
      </c>
      <c r="M22" s="20">
        <f ca="1">IFERROR(__xludf.DUMMYFUNCTION("GOOGLEFINANCE(J22,""price"")"),318)</f>
        <v>318</v>
      </c>
      <c r="N22" s="10">
        <f t="shared" ca="1" si="3"/>
        <v>10055.000000000007</v>
      </c>
      <c r="O22" s="31" t="s">
        <v>639</v>
      </c>
      <c r="Q22" s="12">
        <f t="shared" ca="1" si="4"/>
        <v>6.7508140588807999</v>
      </c>
      <c r="R22" s="24">
        <f t="shared" si="5"/>
        <v>148945</v>
      </c>
      <c r="S22" s="164"/>
      <c r="T22" s="31" t="s">
        <v>237</v>
      </c>
      <c r="U22" s="126">
        <v>298.44</v>
      </c>
      <c r="V22" s="126">
        <v>500</v>
      </c>
      <c r="W22" s="20">
        <f ca="1">IFERROR(__xludf.DUMMYFUNCTION("GOOGLEFINANCE(T22,""price"")"),318)</f>
        <v>318</v>
      </c>
      <c r="X22" s="10">
        <f t="shared" ca="1" si="6"/>
        <v>9780.0000000000018</v>
      </c>
      <c r="Y22" s="204"/>
      <c r="Z22" s="31" t="s">
        <v>639</v>
      </c>
      <c r="AB22" s="12">
        <f t="shared" ca="1" si="7"/>
        <v>6.5540812223562535</v>
      </c>
      <c r="AC22" s="24">
        <f t="shared" si="8"/>
        <v>149220</v>
      </c>
    </row>
    <row r="23" spans="1:29">
      <c r="A23" s="31" t="s">
        <v>55</v>
      </c>
      <c r="B23" s="2"/>
      <c r="C23" s="126">
        <v>153.84</v>
      </c>
      <c r="D23" s="126">
        <v>400</v>
      </c>
      <c r="E23" s="161">
        <f ca="1">IFERROR(__xludf.DUMMYFUNCTION("GOOGLEFINANCE(A23,""PRICE"")"),162.5)</f>
        <v>162.5</v>
      </c>
      <c r="F23" s="10">
        <f t="shared" ca="1" si="0"/>
        <v>3463.9999999999986</v>
      </c>
      <c r="G23" s="12">
        <f t="shared" ca="1" si="1"/>
        <v>5.6292251690067578</v>
      </c>
      <c r="H23" s="1">
        <f t="shared" si="2"/>
        <v>61536</v>
      </c>
      <c r="I23" s="164"/>
      <c r="J23" s="31" t="s">
        <v>163</v>
      </c>
      <c r="K23" s="126">
        <v>681.04</v>
      </c>
      <c r="L23" s="126">
        <v>250</v>
      </c>
      <c r="M23" s="20">
        <f ca="1">IFERROR(__xludf.DUMMYFUNCTION("GOOGLEFINANCE(J23,""price"")"),486.5)</f>
        <v>486.5</v>
      </c>
      <c r="N23" s="10">
        <f t="shared" ca="1" si="3"/>
        <v>-48634.999999999993</v>
      </c>
      <c r="O23" s="31" t="s">
        <v>1088</v>
      </c>
      <c r="Q23" s="12">
        <f t="shared" ca="1" si="4"/>
        <v>-28.565135674850225</v>
      </c>
      <c r="R23" s="24">
        <f t="shared" si="5"/>
        <v>170260</v>
      </c>
      <c r="S23" s="164"/>
      <c r="T23" s="31" t="s">
        <v>565</v>
      </c>
      <c r="U23" s="126">
        <v>57.77</v>
      </c>
      <c r="V23" s="126">
        <v>2000</v>
      </c>
      <c r="W23" s="20">
        <f ca="1">IFERROR(__xludf.DUMMYFUNCTION("GOOGLEFINANCE(T23,""price"")"),54.25)</f>
        <v>54.25</v>
      </c>
      <c r="X23" s="10">
        <f t="shared" ca="1" si="6"/>
        <v>-7040.0000000000064</v>
      </c>
      <c r="Y23" s="204"/>
      <c r="Z23" s="31" t="s">
        <v>566</v>
      </c>
      <c r="AB23" s="12">
        <f t="shared" ca="1" si="7"/>
        <v>-6.0931279210663032</v>
      </c>
      <c r="AC23" s="24">
        <f t="shared" si="8"/>
        <v>115540</v>
      </c>
    </row>
    <row r="24" spans="1:29">
      <c r="A24" s="31" t="s">
        <v>78</v>
      </c>
      <c r="B24" s="2"/>
      <c r="C24" s="126">
        <v>168.07</v>
      </c>
      <c r="D24" s="126">
        <v>500</v>
      </c>
      <c r="E24" s="161">
        <f ca="1">IFERROR(__xludf.DUMMYFUNCTION("GOOGLEFINANCE(A24,""PRICE"")"),258.35)</f>
        <v>258.35000000000002</v>
      </c>
      <c r="F24" s="10">
        <f t="shared" ca="1" si="0"/>
        <v>45140.000000000015</v>
      </c>
      <c r="G24" s="12">
        <f t="shared" ca="1" si="1"/>
        <v>53.715713690724129</v>
      </c>
      <c r="H24" s="1">
        <f t="shared" si="2"/>
        <v>84035</v>
      </c>
      <c r="I24" s="164"/>
      <c r="J24" s="3" t="s">
        <v>185</v>
      </c>
      <c r="K24" s="126">
        <v>71.209999999999994</v>
      </c>
      <c r="L24" s="126">
        <v>2000</v>
      </c>
      <c r="M24" s="20">
        <f ca="1">IFERROR(__xludf.DUMMYFUNCTION("GOOGLEFINANCE(J24,""price"")"),84.85)</f>
        <v>84.85</v>
      </c>
      <c r="N24" s="10">
        <f t="shared" ca="1" si="3"/>
        <v>27280</v>
      </c>
      <c r="O24" s="31" t="s">
        <v>655</v>
      </c>
      <c r="Q24" s="12">
        <f t="shared" ca="1" si="4"/>
        <v>19.154613116135376</v>
      </c>
      <c r="R24" s="24">
        <f t="shared" si="5"/>
        <v>142420</v>
      </c>
      <c r="S24" s="164"/>
      <c r="T24" s="31" t="s">
        <v>163</v>
      </c>
      <c r="U24" s="126">
        <v>677.03</v>
      </c>
      <c r="V24" s="126">
        <v>201</v>
      </c>
      <c r="W24" s="20">
        <f ca="1">IFERROR(__xludf.DUMMYFUNCTION("GOOGLEFINANCE(T24,""price"")"),486.5)</f>
        <v>486.5</v>
      </c>
      <c r="X24" s="10">
        <f t="shared" ca="1" si="6"/>
        <v>-38296.529999999992</v>
      </c>
      <c r="Y24" s="204"/>
      <c r="Z24" s="31" t="s">
        <v>1088</v>
      </c>
      <c r="AB24" s="12">
        <f t="shared" ca="1" si="7"/>
        <v>-28.142032110837032</v>
      </c>
      <c r="AC24" s="24">
        <f t="shared" si="8"/>
        <v>136083.03</v>
      </c>
    </row>
    <row r="25" spans="1:29">
      <c r="A25" s="31" t="s">
        <v>237</v>
      </c>
      <c r="B25" s="2"/>
      <c r="C25" s="126">
        <v>276.83999999999997</v>
      </c>
      <c r="D25" s="126">
        <v>500</v>
      </c>
      <c r="E25" s="161">
        <f ca="1">IFERROR(__xludf.DUMMYFUNCTION("GOOGLEFINANCE(A25,""PRICE"")"),318)</f>
        <v>318</v>
      </c>
      <c r="F25" s="10">
        <f t="shared" ca="1" si="0"/>
        <v>20580.000000000011</v>
      </c>
      <c r="G25" s="12">
        <f t="shared" ca="1" si="1"/>
        <v>14.867793671434775</v>
      </c>
      <c r="H25" s="1">
        <f t="shared" si="2"/>
        <v>138420</v>
      </c>
      <c r="I25" s="164"/>
      <c r="J25" s="31" t="s">
        <v>178</v>
      </c>
      <c r="K25" s="126">
        <v>62.32</v>
      </c>
      <c r="L25" s="126">
        <v>3500</v>
      </c>
      <c r="M25" s="20">
        <f ca="1">IFERROR(__xludf.DUMMYFUNCTION("GOOGLEFINANCE(J25,""price"")"),61.15)</f>
        <v>61.15</v>
      </c>
      <c r="N25" s="10">
        <f t="shared" ca="1" si="3"/>
        <v>-4095.0000000000059</v>
      </c>
      <c r="O25" s="31" t="s">
        <v>644</v>
      </c>
      <c r="Q25" s="12">
        <f t="shared" ca="1" si="4"/>
        <v>-1.8774069319640592</v>
      </c>
      <c r="R25" s="24">
        <f t="shared" si="5"/>
        <v>218120</v>
      </c>
      <c r="S25" s="164"/>
      <c r="T25" s="31" t="s">
        <v>178</v>
      </c>
      <c r="U25" s="126">
        <v>62.57</v>
      </c>
      <c r="V25" s="126">
        <v>3000</v>
      </c>
      <c r="W25" s="20">
        <f ca="1">IFERROR(__xludf.DUMMYFUNCTION("GOOGLEFINANCE(T25,""price"")"),61.15)</f>
        <v>61.15</v>
      </c>
      <c r="X25" s="10">
        <f t="shared" ca="1" si="6"/>
        <v>-4260.0000000000055</v>
      </c>
      <c r="Y25" s="204"/>
      <c r="Z25" s="31" t="s">
        <v>644</v>
      </c>
      <c r="AB25" s="12">
        <f t="shared" ca="1" si="7"/>
        <v>-2.2694582068083773</v>
      </c>
      <c r="AC25" s="24">
        <f t="shared" si="8"/>
        <v>187710</v>
      </c>
    </row>
    <row r="26" spans="1:29">
      <c r="A26" s="31" t="s">
        <v>565</v>
      </c>
      <c r="B26" s="2"/>
      <c r="C26" s="126">
        <v>57.32</v>
      </c>
      <c r="D26" s="126">
        <v>200</v>
      </c>
      <c r="E26" s="161">
        <f ca="1">IFERROR(__xludf.DUMMYFUNCTION("GOOGLEFINANCE(A26,""PRICE"")"),54.25)</f>
        <v>54.25</v>
      </c>
      <c r="F26" s="10">
        <f t="shared" ca="1" si="0"/>
        <v>-614</v>
      </c>
      <c r="G26" s="12">
        <f t="shared" ca="1" si="1"/>
        <v>-5.3558967201674808</v>
      </c>
      <c r="H26" s="1">
        <f t="shared" si="2"/>
        <v>11464</v>
      </c>
      <c r="I26" s="164"/>
      <c r="J26" s="31" t="s">
        <v>158</v>
      </c>
      <c r="K26" s="126">
        <v>1591.47</v>
      </c>
      <c r="L26" s="126">
        <v>75</v>
      </c>
      <c r="M26" s="20">
        <f ca="1">IFERROR(__xludf.DUMMYFUNCTION("GOOGLEFINANCE(J26,""price"")"),1546)</f>
        <v>1546</v>
      </c>
      <c r="N26" s="10">
        <f t="shared" ca="1" si="3"/>
        <v>-3410.2500000000018</v>
      </c>
      <c r="O26" s="31" t="s">
        <v>1089</v>
      </c>
      <c r="Q26" s="12">
        <f t="shared" ca="1" si="4"/>
        <v>-2.8571069514348388</v>
      </c>
      <c r="R26" s="24">
        <f t="shared" si="5"/>
        <v>119360.25</v>
      </c>
      <c r="S26" s="164"/>
      <c r="T26" s="31" t="s">
        <v>239</v>
      </c>
      <c r="U26" s="126">
        <v>147.94</v>
      </c>
      <c r="V26" s="126">
        <v>500</v>
      </c>
      <c r="W26" s="20">
        <f ca="1">IFERROR(__xludf.DUMMYFUNCTION("GOOGLEFINANCE(T26,""price"")"),144.55)</f>
        <v>144.55000000000001</v>
      </c>
      <c r="X26" s="10">
        <f t="shared" ca="1" si="6"/>
        <v>-1694.9999999999932</v>
      </c>
      <c r="Z26" s="31" t="s">
        <v>669</v>
      </c>
      <c r="AB26" s="12">
        <f t="shared" ca="1" si="7"/>
        <v>-2.2914695146680994</v>
      </c>
      <c r="AC26" s="24">
        <f t="shared" si="8"/>
        <v>73970</v>
      </c>
    </row>
    <row r="27" spans="1:29">
      <c r="A27" s="31" t="s">
        <v>163</v>
      </c>
      <c r="B27" s="2"/>
      <c r="C27" s="126">
        <v>677.03</v>
      </c>
      <c r="D27" s="126">
        <v>250</v>
      </c>
      <c r="E27" s="161">
        <f ca="1">IFERROR(__xludf.DUMMYFUNCTION("GOOGLEFINANCE(A27,""PRICE"")"),486.5)</f>
        <v>486.5</v>
      </c>
      <c r="F27" s="10">
        <f t="shared" ca="1" si="0"/>
        <v>-47632.499999999993</v>
      </c>
      <c r="G27" s="12">
        <f t="shared" ca="1" si="1"/>
        <v>-28.142032110837032</v>
      </c>
      <c r="H27" s="1">
        <f t="shared" si="2"/>
        <v>169257.5</v>
      </c>
      <c r="I27" s="164"/>
      <c r="J27" s="31" t="s">
        <v>239</v>
      </c>
      <c r="K27" s="126">
        <v>148.03</v>
      </c>
      <c r="L27" s="126">
        <v>510</v>
      </c>
      <c r="M27" s="20">
        <f ca="1">IFERROR(__xludf.DUMMYFUNCTION("GOOGLEFINANCE(J27,""price"")"),144.55)</f>
        <v>144.55000000000001</v>
      </c>
      <c r="N27" s="10">
        <f t="shared" ca="1" si="3"/>
        <v>-1774.7999999999947</v>
      </c>
      <c r="O27" s="31" t="s">
        <v>669</v>
      </c>
      <c r="Q27" s="12">
        <f t="shared" ca="1" si="4"/>
        <v>-2.3508748226710732</v>
      </c>
      <c r="R27" s="24">
        <f t="shared" si="5"/>
        <v>75495.3</v>
      </c>
      <c r="S27" s="164"/>
      <c r="T27" s="31" t="s">
        <v>155</v>
      </c>
      <c r="U27" s="126">
        <v>914.57</v>
      </c>
      <c r="V27" s="126">
        <v>150</v>
      </c>
      <c r="W27" s="20">
        <f ca="1">IFERROR(__xludf.DUMMYFUNCTION("GOOGLEFINANCE(T27,""price"")"),821)</f>
        <v>821</v>
      </c>
      <c r="X27" s="10">
        <f t="shared" ca="1" si="6"/>
        <v>-14035.500000000007</v>
      </c>
      <c r="Z27" s="31" t="s">
        <v>1090</v>
      </c>
      <c r="AB27" s="12">
        <f t="shared" ca="1" si="7"/>
        <v>-10.231037536765918</v>
      </c>
      <c r="AC27" s="24">
        <f t="shared" si="8"/>
        <v>137185.5</v>
      </c>
    </row>
    <row r="28" spans="1:29">
      <c r="A28" s="31" t="s">
        <v>185</v>
      </c>
      <c r="C28" s="126">
        <v>66.7</v>
      </c>
      <c r="D28" s="126">
        <v>2001</v>
      </c>
      <c r="E28" s="161">
        <f ca="1">IFERROR(__xludf.DUMMYFUNCTION("GOOGLEFINANCE(A28,""PRICE"")"),84.85)</f>
        <v>84.85</v>
      </c>
      <c r="F28" s="10">
        <f t="shared" ca="1" si="0"/>
        <v>36318.14999999998</v>
      </c>
      <c r="G28" s="12">
        <f t="shared" ca="1" si="1"/>
        <v>27.211394302848561</v>
      </c>
      <c r="H28" s="1">
        <f t="shared" si="2"/>
        <v>133466.70000000001</v>
      </c>
      <c r="I28" s="164"/>
      <c r="J28" s="31" t="s">
        <v>155</v>
      </c>
      <c r="K28" s="126">
        <v>915.26</v>
      </c>
      <c r="L28" s="126">
        <v>150</v>
      </c>
      <c r="M28" s="20">
        <f ca="1">IFERROR(__xludf.DUMMYFUNCTION("GOOGLEFINANCE(J28,""price"")"),821)</f>
        <v>821</v>
      </c>
      <c r="N28" s="10">
        <f t="shared" ca="1" si="3"/>
        <v>-14138.999999999998</v>
      </c>
      <c r="O28" s="31" t="s">
        <v>1090</v>
      </c>
      <c r="Q28" s="12">
        <f t="shared" ca="1" si="4"/>
        <v>-10.298712934029675</v>
      </c>
      <c r="R28" s="24">
        <f t="shared" si="5"/>
        <v>137289</v>
      </c>
      <c r="S28" s="164"/>
      <c r="T28" s="31" t="s">
        <v>59</v>
      </c>
      <c r="U28" s="126">
        <v>1412.22</v>
      </c>
      <c r="V28" s="126">
        <v>100</v>
      </c>
      <c r="W28" s="20">
        <f ca="1">IFERROR(__xludf.DUMMYFUNCTION("GOOGLEFINANCE(T28,""price"")"),1636.55)</f>
        <v>1636.55</v>
      </c>
      <c r="X28" s="10">
        <f t="shared" ca="1" si="6"/>
        <v>22432.999999999993</v>
      </c>
      <c r="Z28" s="31" t="s">
        <v>638</v>
      </c>
      <c r="AB28" s="12">
        <f t="shared" ca="1" si="7"/>
        <v>15.884918780359994</v>
      </c>
      <c r="AC28" s="24">
        <f t="shared" si="8"/>
        <v>141222</v>
      </c>
    </row>
    <row r="29" spans="1:29">
      <c r="A29" s="31" t="s">
        <v>178</v>
      </c>
      <c r="B29" s="2"/>
      <c r="C29" s="126">
        <v>66.2</v>
      </c>
      <c r="D29" s="126">
        <v>200</v>
      </c>
      <c r="E29" s="161">
        <f ca="1">IFERROR(__xludf.DUMMYFUNCTION("GOOGLEFINANCE(A29,""PRICE"")"),61.15)</f>
        <v>61.15</v>
      </c>
      <c r="F29" s="10">
        <f t="shared" ca="1" si="0"/>
        <v>-1010.0000000000009</v>
      </c>
      <c r="G29" s="12">
        <f t="shared" ca="1" si="1"/>
        <v>-7.6283987915407918</v>
      </c>
      <c r="H29" s="1">
        <f t="shared" si="2"/>
        <v>13240</v>
      </c>
      <c r="I29" s="164"/>
      <c r="J29" s="31" t="s">
        <v>59</v>
      </c>
      <c r="K29" s="126">
        <v>1413.23</v>
      </c>
      <c r="L29" s="126">
        <v>100</v>
      </c>
      <c r="M29" s="20">
        <f ca="1">IFERROR(__xludf.DUMMYFUNCTION("GOOGLEFINANCE(J29,""price"")"),1636.55)</f>
        <v>1636.55</v>
      </c>
      <c r="N29" s="10">
        <f t="shared" ca="1" si="3"/>
        <v>22331.999999999993</v>
      </c>
      <c r="O29" s="31" t="s">
        <v>638</v>
      </c>
      <c r="Q29" s="12">
        <f t="shared" ca="1" si="4"/>
        <v>15.802098738351148</v>
      </c>
      <c r="R29" s="24">
        <f t="shared" si="5"/>
        <v>141323</v>
      </c>
      <c r="S29" s="164"/>
      <c r="T29" s="31" t="s">
        <v>596</v>
      </c>
      <c r="U29" s="126">
        <v>169.51</v>
      </c>
      <c r="V29" s="126">
        <v>1000</v>
      </c>
      <c r="W29" s="20">
        <f ca="1">IFERROR(__xludf.DUMMYFUNCTION("GOOGLEFINANCE(T29,""price"")"),220.45)</f>
        <v>220.45</v>
      </c>
      <c r="X29" s="10">
        <f t="shared" ca="1" si="6"/>
        <v>50940</v>
      </c>
      <c r="Z29" s="31" t="s">
        <v>656</v>
      </c>
      <c r="AB29" s="12">
        <f t="shared" ca="1" si="7"/>
        <v>30.051324405639786</v>
      </c>
      <c r="AC29" s="24">
        <f t="shared" si="8"/>
        <v>169510</v>
      </c>
    </row>
    <row r="30" spans="1:29">
      <c r="A30" s="31" t="s">
        <v>181</v>
      </c>
      <c r="B30" s="2"/>
      <c r="C30" s="126">
        <v>43.96</v>
      </c>
      <c r="D30" s="126">
        <v>3000</v>
      </c>
      <c r="E30" s="161">
        <f ca="1">IFERROR(__xludf.DUMMYFUNCTION("GOOGLEFINANCE(A30,""PRICE"")"),51.3)</f>
        <v>51.3</v>
      </c>
      <c r="F30" s="10">
        <f t="shared" ca="1" si="0"/>
        <v>22019.999999999989</v>
      </c>
      <c r="G30" s="12">
        <f t="shared" ca="1" si="1"/>
        <v>16.696997270245671</v>
      </c>
      <c r="H30" s="1">
        <f t="shared" si="2"/>
        <v>131880</v>
      </c>
      <c r="I30" s="164"/>
      <c r="J30" s="31" t="s">
        <v>596</v>
      </c>
      <c r="K30" s="126">
        <v>170.51</v>
      </c>
      <c r="L30" s="126">
        <v>1000</v>
      </c>
      <c r="M30" s="20">
        <f ca="1">IFERROR(__xludf.DUMMYFUNCTION("GOOGLEFINANCE(J30,""price"")"),220.45)</f>
        <v>220.45</v>
      </c>
      <c r="N30" s="10">
        <f t="shared" ca="1" si="3"/>
        <v>49940</v>
      </c>
      <c r="O30" s="31" t="s">
        <v>656</v>
      </c>
      <c r="Q30" s="12">
        <f t="shared" ca="1" si="4"/>
        <v>29.288604773913555</v>
      </c>
      <c r="R30" s="24">
        <f t="shared" si="5"/>
        <v>170510</v>
      </c>
      <c r="S30" s="164"/>
      <c r="T30" s="31" t="s">
        <v>61</v>
      </c>
      <c r="U30" s="126">
        <v>101.05</v>
      </c>
      <c r="V30" s="126">
        <v>1000</v>
      </c>
      <c r="W30" s="20">
        <f ca="1">IFERROR(__xludf.DUMMYFUNCTION("GOOGLEFINANCE(T30,""price"")"),116.05)</f>
        <v>116.05</v>
      </c>
      <c r="X30" s="10">
        <f t="shared" ca="1" si="6"/>
        <v>15000</v>
      </c>
      <c r="Z30" s="31" t="s">
        <v>666</v>
      </c>
      <c r="AB30" s="12">
        <f t="shared" ca="1" si="7"/>
        <v>14.844136566056408</v>
      </c>
      <c r="AC30" s="24">
        <f t="shared" si="8"/>
        <v>101050</v>
      </c>
    </row>
    <row r="31" spans="1:29">
      <c r="A31" s="31" t="s">
        <v>158</v>
      </c>
      <c r="B31" s="2"/>
      <c r="C31" s="126">
        <v>1603.65</v>
      </c>
      <c r="D31" s="126">
        <v>70</v>
      </c>
      <c r="E31" s="161">
        <f ca="1">IFERROR(__xludf.DUMMYFUNCTION("GOOGLEFINANCE(A31,""PRICE"")"),1546)</f>
        <v>1546</v>
      </c>
      <c r="F31" s="10">
        <f t="shared" ca="1" si="0"/>
        <v>-4035.5000000000064</v>
      </c>
      <c r="G31" s="12">
        <f t="shared" ca="1" si="1"/>
        <v>-3.5949240794437745</v>
      </c>
      <c r="H31" s="1">
        <f t="shared" si="2"/>
        <v>112255.5</v>
      </c>
      <c r="I31" s="164"/>
      <c r="J31" s="31" t="s">
        <v>68</v>
      </c>
      <c r="K31" s="126">
        <v>34.04</v>
      </c>
      <c r="L31" s="126">
        <v>5000</v>
      </c>
      <c r="M31" s="20">
        <f ca="1">IFERROR(__xludf.DUMMYFUNCTION("GOOGLEFINANCE(J31,""price"")"),30.2)</f>
        <v>30.2</v>
      </c>
      <c r="N31" s="10">
        <f t="shared" ca="1" si="3"/>
        <v>-19200</v>
      </c>
      <c r="O31" s="31" t="s">
        <v>382</v>
      </c>
      <c r="Q31" s="12">
        <f t="shared" ca="1" si="4"/>
        <v>-11.28084606345476</v>
      </c>
      <c r="R31" s="24">
        <f t="shared" si="5"/>
        <v>170200</v>
      </c>
      <c r="S31" s="164"/>
      <c r="T31" s="31" t="s">
        <v>68</v>
      </c>
      <c r="U31" s="126">
        <v>34.1</v>
      </c>
      <c r="V31" s="126">
        <v>5000</v>
      </c>
      <c r="W31" s="20">
        <f ca="1">IFERROR(__xludf.DUMMYFUNCTION("GOOGLEFINANCE(T31,""price"")"),30.2)</f>
        <v>30.2</v>
      </c>
      <c r="X31" s="10">
        <f t="shared" ca="1" si="6"/>
        <v>-19500.000000000011</v>
      </c>
      <c r="Z31" s="31" t="s">
        <v>382</v>
      </c>
      <c r="AB31" s="12">
        <f t="shared" ca="1" si="7"/>
        <v>-11.436950146627572</v>
      </c>
      <c r="AC31" s="24">
        <f t="shared" si="8"/>
        <v>170500</v>
      </c>
    </row>
    <row r="32" spans="1:29">
      <c r="A32" s="203" t="s">
        <v>174</v>
      </c>
      <c r="B32" s="2"/>
      <c r="C32" s="126">
        <v>985.18</v>
      </c>
      <c r="D32" s="126">
        <v>130</v>
      </c>
      <c r="E32" s="161">
        <f ca="1">IFERROR(__xludf.DUMMYFUNCTION("GOOGLEFINANCE(A32,""PRICE"")"),924)</f>
        <v>924</v>
      </c>
      <c r="F32" s="10">
        <f t="shared" ca="1" si="0"/>
        <v>-7953.3999999999933</v>
      </c>
      <c r="G32" s="12">
        <f t="shared" ca="1" si="1"/>
        <v>-6.2100326843825444</v>
      </c>
      <c r="H32" s="1">
        <f t="shared" si="2"/>
        <v>128073.4</v>
      </c>
      <c r="I32" s="164"/>
      <c r="J32" s="31" t="s">
        <v>71</v>
      </c>
      <c r="K32" s="126">
        <v>180.54</v>
      </c>
      <c r="L32" s="126">
        <v>650</v>
      </c>
      <c r="M32" s="20">
        <f ca="1">IFERROR(__xludf.DUMMYFUNCTION("GOOGLEFINANCE(J32,""price"")"),228.25)</f>
        <v>228.25</v>
      </c>
      <c r="N32" s="10">
        <f t="shared" ca="1" si="3"/>
        <v>31011.500000000004</v>
      </c>
      <c r="O32" s="31" t="s">
        <v>641</v>
      </c>
      <c r="Q32" s="12">
        <f t="shared" ca="1" si="4"/>
        <v>26.426276725379424</v>
      </c>
      <c r="R32" s="24">
        <f t="shared" si="5"/>
        <v>117351</v>
      </c>
      <c r="S32" s="164"/>
      <c r="T32" s="31" t="s">
        <v>71</v>
      </c>
      <c r="U32" s="126">
        <v>180.14</v>
      </c>
      <c r="V32" s="126">
        <v>750</v>
      </c>
      <c r="W32" s="20">
        <f ca="1">IFERROR(__xludf.DUMMYFUNCTION("GOOGLEFINANCE(T32,""price"")"),228.25)</f>
        <v>228.25</v>
      </c>
      <c r="X32" s="10">
        <f t="shared" ca="1" si="6"/>
        <v>36082.500000000007</v>
      </c>
      <c r="Z32" s="31" t="s">
        <v>641</v>
      </c>
      <c r="AB32" s="12">
        <f t="shared" ca="1" si="7"/>
        <v>26.707005662262695</v>
      </c>
      <c r="AC32" s="24">
        <f t="shared" si="8"/>
        <v>135105</v>
      </c>
    </row>
    <row r="33" spans="1:29">
      <c r="A33" s="203" t="s">
        <v>165</v>
      </c>
      <c r="B33" s="2"/>
      <c r="C33" s="126">
        <v>34.04</v>
      </c>
      <c r="D33" s="126">
        <v>5000</v>
      </c>
      <c r="E33" s="161">
        <f ca="1">IFERROR(__xludf.DUMMYFUNCTION("GOOGLEFINANCE(A33,""PRICE"")"),32.1)</f>
        <v>32.1</v>
      </c>
      <c r="F33" s="10">
        <f t="shared" ca="1" si="0"/>
        <v>-9699.9999999999891</v>
      </c>
      <c r="G33" s="12">
        <f t="shared" ca="1" si="1"/>
        <v>-5.6991774383078662</v>
      </c>
      <c r="H33" s="1">
        <f t="shared" si="2"/>
        <v>170200</v>
      </c>
      <c r="I33" s="164"/>
      <c r="J33" s="31" t="s">
        <v>160</v>
      </c>
      <c r="K33" s="126">
        <v>303.91000000000003</v>
      </c>
      <c r="L33" s="126">
        <v>400</v>
      </c>
      <c r="M33" s="20">
        <f ca="1">IFERROR(__xludf.DUMMYFUNCTION("GOOGLEFINANCE(J33,""price"")"),267)</f>
        <v>267</v>
      </c>
      <c r="N33" s="10">
        <f t="shared" ca="1" si="3"/>
        <v>-14764.000000000011</v>
      </c>
      <c r="O33" s="31" t="s">
        <v>1091</v>
      </c>
      <c r="Q33" s="12">
        <f t="shared" ca="1" si="4"/>
        <v>-12.145042940344188</v>
      </c>
      <c r="R33" s="24">
        <f t="shared" si="5"/>
        <v>121564.00000000001</v>
      </c>
      <c r="S33" s="164"/>
      <c r="T33" s="31" t="s">
        <v>160</v>
      </c>
      <c r="U33" s="126">
        <v>304.41000000000003</v>
      </c>
      <c r="V33" s="126">
        <v>400</v>
      </c>
      <c r="W33" s="20">
        <f ca="1">IFERROR(__xludf.DUMMYFUNCTION("GOOGLEFINANCE(T33,""price"")"),267)</f>
        <v>267</v>
      </c>
      <c r="X33" s="10">
        <f t="shared" ca="1" si="6"/>
        <v>-14964.000000000011</v>
      </c>
      <c r="Z33" s="31" t="s">
        <v>1091</v>
      </c>
      <c r="AB33" s="12">
        <f t="shared" ca="1" si="7"/>
        <v>-12.289346604907863</v>
      </c>
      <c r="AC33" s="24">
        <f t="shared" si="8"/>
        <v>121764.00000000001</v>
      </c>
    </row>
    <row r="34" spans="1:29">
      <c r="A34" s="31" t="s">
        <v>170</v>
      </c>
      <c r="B34" s="2"/>
      <c r="C34" s="126">
        <v>1254.21</v>
      </c>
      <c r="D34" s="126">
        <v>110</v>
      </c>
      <c r="E34" s="161">
        <f ca="1">IFERROR(__xludf.DUMMYFUNCTION("GOOGLEFINANCE(A34,""PRICE"")"),1164.8)</f>
        <v>1164.8</v>
      </c>
      <c r="F34" s="10">
        <f t="shared" ca="1" si="0"/>
        <v>-9835.1000000000095</v>
      </c>
      <c r="G34" s="12">
        <f t="shared" ca="1" si="1"/>
        <v>-7.1287902344902427</v>
      </c>
      <c r="H34" s="1">
        <f t="shared" si="2"/>
        <v>137963.1</v>
      </c>
      <c r="I34" s="164"/>
      <c r="J34" s="31" t="s">
        <v>77</v>
      </c>
      <c r="K34" s="126">
        <v>165.15</v>
      </c>
      <c r="L34" s="126">
        <v>1250</v>
      </c>
      <c r="M34" s="20">
        <f ca="1">IFERROR(__xludf.DUMMYFUNCTION("GOOGLEFINANCE(J34,""price"")"),170.2)</f>
        <v>170.2</v>
      </c>
      <c r="N34" s="10">
        <f t="shared" ca="1" si="3"/>
        <v>6312.4999999999791</v>
      </c>
      <c r="O34" s="31" t="s">
        <v>645</v>
      </c>
      <c r="Q34" s="12">
        <f t="shared" ca="1" si="4"/>
        <v>3.0578262185891512</v>
      </c>
      <c r="R34" s="24">
        <f t="shared" si="5"/>
        <v>206437.5</v>
      </c>
      <c r="S34" s="164"/>
      <c r="T34" s="31" t="s">
        <v>77</v>
      </c>
      <c r="U34" s="126">
        <v>166.88</v>
      </c>
      <c r="V34" s="126">
        <v>1000</v>
      </c>
      <c r="W34" s="20">
        <f ca="1">IFERROR(__xludf.DUMMYFUNCTION("GOOGLEFINANCE(T34,""price"")"),170.2)</f>
        <v>170.2</v>
      </c>
      <c r="X34" s="10">
        <f t="shared" ca="1" si="6"/>
        <v>3319.9999999999932</v>
      </c>
      <c r="Z34" s="31" t="s">
        <v>645</v>
      </c>
      <c r="AB34" s="12">
        <f t="shared" ca="1" si="7"/>
        <v>1.9894534995206097</v>
      </c>
      <c r="AC34" s="24">
        <f t="shared" si="8"/>
        <v>166880</v>
      </c>
    </row>
    <row r="35" spans="1:29">
      <c r="A35" s="31" t="s">
        <v>155</v>
      </c>
      <c r="B35" s="2"/>
      <c r="C35" s="126">
        <v>896.1</v>
      </c>
      <c r="D35" s="126">
        <v>125</v>
      </c>
      <c r="E35" s="161">
        <f ca="1">IFERROR(__xludf.DUMMYFUNCTION("GOOGLEFINANCE(A35,""PRICE"")"),821)</f>
        <v>821</v>
      </c>
      <c r="F35" s="10">
        <f t="shared" ca="1" si="0"/>
        <v>-9387.5000000000036</v>
      </c>
      <c r="G35" s="12">
        <f t="shared" ca="1" si="1"/>
        <v>-8.3807610757727957</v>
      </c>
      <c r="H35" s="1">
        <f t="shared" si="2"/>
        <v>112012.5</v>
      </c>
      <c r="I35" s="164"/>
      <c r="J35" s="31" t="s">
        <v>627</v>
      </c>
      <c r="K35" s="126">
        <v>611.83000000000004</v>
      </c>
      <c r="L35" s="126">
        <v>250</v>
      </c>
      <c r="M35" s="20">
        <f ca="1">IFERROR(__xludf.DUMMYFUNCTION("GOOGLEFINANCE(J35,""price"")"),545)</f>
        <v>545</v>
      </c>
      <c r="N35" s="10">
        <f t="shared" ca="1" si="3"/>
        <v>-16707.500000000011</v>
      </c>
      <c r="O35" s="31" t="s">
        <v>1092</v>
      </c>
      <c r="Q35" s="12">
        <f t="shared" ca="1" si="4"/>
        <v>-10.92296879852247</v>
      </c>
      <c r="R35" s="24">
        <f t="shared" si="5"/>
        <v>152957.5</v>
      </c>
      <c r="S35" s="164"/>
      <c r="T35" s="31" t="s">
        <v>627</v>
      </c>
      <c r="U35" s="126">
        <v>611.83000000000004</v>
      </c>
      <c r="V35" s="126">
        <v>250</v>
      </c>
      <c r="W35" s="20">
        <f ca="1">IFERROR(__xludf.DUMMYFUNCTION("GOOGLEFINANCE(T35,""price"")"),545)</f>
        <v>545</v>
      </c>
      <c r="X35" s="10">
        <f t="shared" ca="1" si="6"/>
        <v>-16707.500000000011</v>
      </c>
      <c r="Z35" s="31" t="s">
        <v>1092</v>
      </c>
      <c r="AB35" s="12">
        <f t="shared" ca="1" si="7"/>
        <v>-10.92296879852247</v>
      </c>
      <c r="AC35" s="24">
        <f t="shared" si="8"/>
        <v>152957.5</v>
      </c>
    </row>
    <row r="36" spans="1:29">
      <c r="A36" s="31" t="s">
        <v>234</v>
      </c>
      <c r="B36" s="2"/>
      <c r="C36" s="126">
        <v>233.1</v>
      </c>
      <c r="D36" s="126">
        <v>750</v>
      </c>
      <c r="E36" s="161">
        <f ca="1">IFERROR(__xludf.DUMMYFUNCTION("GOOGLEFINANCE(A36,""PRICE"")"),244.95)</f>
        <v>244.95</v>
      </c>
      <c r="F36" s="10">
        <f t="shared" ca="1" si="0"/>
        <v>8887.4999999999964</v>
      </c>
      <c r="G36" s="12">
        <f t="shared" ca="1" si="1"/>
        <v>5.0836550836550822</v>
      </c>
      <c r="H36" s="1">
        <f t="shared" si="2"/>
        <v>174825</v>
      </c>
      <c r="I36" s="164"/>
      <c r="J36" s="31" t="s">
        <v>558</v>
      </c>
      <c r="K36" s="126">
        <v>794.38</v>
      </c>
      <c r="L36" s="126">
        <v>100</v>
      </c>
      <c r="M36" s="20">
        <f ca="1">IFERROR(__xludf.DUMMYFUNCTION("GOOGLEFINANCE(J36,""price"")"),558)</f>
        <v>558</v>
      </c>
      <c r="N36" s="10">
        <f t="shared" ca="1" si="3"/>
        <v>-23638</v>
      </c>
      <c r="O36" s="31" t="s">
        <v>1093</v>
      </c>
      <c r="Q36" s="12">
        <f t="shared" ca="1" si="4"/>
        <v>-29.756539691331604</v>
      </c>
      <c r="R36" s="24">
        <f t="shared" si="5"/>
        <v>79438</v>
      </c>
      <c r="S36" s="164"/>
      <c r="T36" s="31" t="s">
        <v>558</v>
      </c>
      <c r="U36" s="126">
        <v>791.37</v>
      </c>
      <c r="V36" s="126">
        <v>100</v>
      </c>
      <c r="W36" s="20">
        <f ca="1">IFERROR(__xludf.DUMMYFUNCTION("GOOGLEFINANCE(T36,""price"")"),558)</f>
        <v>558</v>
      </c>
      <c r="X36" s="10">
        <f t="shared" ca="1" si="6"/>
        <v>-23337</v>
      </c>
      <c r="Z36" s="31" t="s">
        <v>1093</v>
      </c>
      <c r="AB36" s="12">
        <f t="shared" ca="1" si="7"/>
        <v>-29.489366541567154</v>
      </c>
      <c r="AC36" s="24">
        <f t="shared" si="8"/>
        <v>79137</v>
      </c>
    </row>
    <row r="37" spans="1:29">
      <c r="A37" s="31" t="s">
        <v>184</v>
      </c>
      <c r="B37" s="2"/>
      <c r="C37" s="126">
        <v>272.31</v>
      </c>
      <c r="D37" s="126">
        <v>460</v>
      </c>
      <c r="E37" s="161">
        <f ca="1">IFERROR(__xludf.DUMMYFUNCTION("GOOGLEFINANCE(A37,""PRICE"")"),277)</f>
        <v>277</v>
      </c>
      <c r="F37" s="10">
        <f t="shared" ca="1" si="0"/>
        <v>2157.3999999999987</v>
      </c>
      <c r="G37" s="12">
        <f t="shared" ca="1" si="1"/>
        <v>1.7223017884029224</v>
      </c>
      <c r="H37" s="1">
        <f t="shared" si="2"/>
        <v>125262.6</v>
      </c>
      <c r="I37" s="164"/>
      <c r="J37" s="3" t="s">
        <v>58</v>
      </c>
      <c r="K37" s="126">
        <v>596.28</v>
      </c>
      <c r="L37" s="126">
        <v>100</v>
      </c>
      <c r="M37" s="20">
        <f ca="1">IFERROR(__xludf.DUMMYFUNCTION("GOOGLEFINANCE(J37,""price"")"),612.55)</f>
        <v>612.54999999999995</v>
      </c>
      <c r="N37" s="10">
        <f t="shared" ca="1" si="3"/>
        <v>1626.9999999999982</v>
      </c>
      <c r="O37" s="31" t="s">
        <v>650</v>
      </c>
      <c r="Q37" s="12">
        <f t="shared" ca="1" si="4"/>
        <v>2.7285838867646044</v>
      </c>
      <c r="R37" s="24">
        <f t="shared" si="5"/>
        <v>59628</v>
      </c>
      <c r="S37" s="164"/>
      <c r="T37" s="3" t="s">
        <v>58</v>
      </c>
      <c r="U37" s="126">
        <v>596.73</v>
      </c>
      <c r="V37" s="126">
        <v>100</v>
      </c>
      <c r="W37" s="20">
        <f ca="1">IFERROR(__xludf.DUMMYFUNCTION("GOOGLEFINANCE(T37,""price"")"),612.55)</f>
        <v>612.54999999999995</v>
      </c>
      <c r="X37" s="10">
        <f t="shared" ca="1" si="6"/>
        <v>1581.9999999999936</v>
      </c>
      <c r="Z37" s="31" t="s">
        <v>650</v>
      </c>
      <c r="AB37" s="12">
        <f t="shared" ca="1" si="7"/>
        <v>2.6511152447505464</v>
      </c>
      <c r="AC37" s="24">
        <f t="shared" si="8"/>
        <v>59673</v>
      </c>
    </row>
    <row r="38" spans="1:29">
      <c r="A38" s="31" t="s">
        <v>175</v>
      </c>
      <c r="C38" s="126">
        <v>982.14</v>
      </c>
      <c r="D38" s="126">
        <v>120</v>
      </c>
      <c r="E38" s="161">
        <f ca="1">IFERROR(__xludf.DUMMYFUNCTION("GOOGLEFINANCE(A38,""PRICE"")"),1539.9)</f>
        <v>1539.9</v>
      </c>
      <c r="F38" s="10">
        <f t="shared" ca="1" si="0"/>
        <v>66931.200000000012</v>
      </c>
      <c r="G38" s="12">
        <f t="shared" ca="1" si="1"/>
        <v>56.790274298979789</v>
      </c>
      <c r="H38" s="1">
        <f t="shared" si="2"/>
        <v>117856.8</v>
      </c>
      <c r="I38" s="164"/>
      <c r="S38" s="164"/>
    </row>
    <row r="39" spans="1:29">
      <c r="A39" s="31" t="s">
        <v>596</v>
      </c>
      <c r="C39" s="126">
        <v>170.26</v>
      </c>
      <c r="D39" s="126">
        <v>500</v>
      </c>
      <c r="E39" s="161">
        <f ca="1">IFERROR(__xludf.DUMMYFUNCTION("GOOGLEFINANCE(A39,""PRICE"")"),220.45)</f>
        <v>220.45</v>
      </c>
      <c r="F39" s="10">
        <f t="shared" ca="1" si="0"/>
        <v>25095</v>
      </c>
      <c r="G39" s="12">
        <f t="shared" ca="1" si="1"/>
        <v>29.478444731586986</v>
      </c>
      <c r="H39" s="1">
        <f t="shared" si="2"/>
        <v>85130</v>
      </c>
      <c r="I39" s="164"/>
      <c r="S39" s="164"/>
    </row>
    <row r="40" spans="1:29">
      <c r="A40" s="31" t="s">
        <v>236</v>
      </c>
      <c r="C40" s="126">
        <v>992.77</v>
      </c>
      <c r="D40" s="126">
        <v>100</v>
      </c>
      <c r="E40" s="161">
        <f ca="1">IFERROR(__xludf.DUMMYFUNCTION("GOOGLEFINANCE(A40,""PRICE"")"),881.95)</f>
        <v>881.95</v>
      </c>
      <c r="F40" s="10">
        <f t="shared" ca="1" si="0"/>
        <v>-11081.999999999993</v>
      </c>
      <c r="G40" s="12">
        <f t="shared" ca="1" si="1"/>
        <v>-11.162706367033646</v>
      </c>
      <c r="H40" s="1">
        <f t="shared" si="2"/>
        <v>99277</v>
      </c>
      <c r="I40" s="164"/>
      <c r="S40" s="164"/>
    </row>
    <row r="41" spans="1:29">
      <c r="A41" s="31" t="s">
        <v>229</v>
      </c>
      <c r="C41" s="126">
        <v>381.44</v>
      </c>
      <c r="D41" s="126">
        <v>400</v>
      </c>
      <c r="E41" s="161">
        <f ca="1">IFERROR(__xludf.DUMMYFUNCTION("GOOGLEFINANCE(A41,""PRICE"")"),343.4)</f>
        <v>343.4</v>
      </c>
      <c r="F41" s="10">
        <f t="shared" ca="1" si="0"/>
        <v>-15216.000000000007</v>
      </c>
      <c r="G41" s="12">
        <f t="shared" ca="1" si="1"/>
        <v>-9.9727348993288647</v>
      </c>
      <c r="H41" s="1">
        <f t="shared" si="2"/>
        <v>152576</v>
      </c>
      <c r="I41" s="164"/>
      <c r="S41" s="164"/>
    </row>
    <row r="42" spans="1:29">
      <c r="A42" s="31" t="s">
        <v>77</v>
      </c>
      <c r="C42" s="126">
        <v>176.41</v>
      </c>
      <c r="D42" s="126">
        <v>271</v>
      </c>
      <c r="E42" s="161">
        <f ca="1">IFERROR(__xludf.DUMMYFUNCTION("GOOGLEFINANCE(A42,""PRICE"")"),170.2)</f>
        <v>170.2</v>
      </c>
      <c r="F42" s="10">
        <f t="shared" ca="1" si="0"/>
        <v>-1682.9100000000021</v>
      </c>
      <c r="G42" s="12">
        <f t="shared" ca="1" si="1"/>
        <v>-3.5202086049543722</v>
      </c>
      <c r="H42" s="1">
        <f t="shared" si="2"/>
        <v>47807.11</v>
      </c>
      <c r="I42" s="164"/>
      <c r="S42" s="164"/>
    </row>
    <row r="43" spans="1:29">
      <c r="A43" s="31" t="s">
        <v>162</v>
      </c>
      <c r="C43" s="126">
        <v>400.2</v>
      </c>
      <c r="D43" s="126">
        <v>59</v>
      </c>
      <c r="E43" s="161">
        <f ca="1">IFERROR(__xludf.DUMMYFUNCTION("GOOGLEFINANCE(A43,""PRICE"")"),880)</f>
        <v>880</v>
      </c>
      <c r="F43" s="10">
        <f t="shared" ca="1" si="0"/>
        <v>28308.2</v>
      </c>
      <c r="G43" s="12">
        <f t="shared" ca="1" si="1"/>
        <v>119.89005497251375</v>
      </c>
      <c r="H43" s="1">
        <f t="shared" si="2"/>
        <v>23611.8</v>
      </c>
      <c r="I43" s="164"/>
      <c r="S43" s="164"/>
    </row>
    <row r="44" spans="1:29">
      <c r="A44" s="31" t="s">
        <v>231</v>
      </c>
      <c r="C44" s="126">
        <v>41.32</v>
      </c>
      <c r="D44" s="126">
        <v>3000</v>
      </c>
      <c r="E44" s="161">
        <f ca="1">IFERROR(__xludf.DUMMYFUNCTION("GOOGLEFINANCE(A44,""PRICE"")"),55.3)</f>
        <v>55.3</v>
      </c>
      <c r="F44" s="10">
        <f t="shared" ca="1" si="0"/>
        <v>41939.999999999993</v>
      </c>
      <c r="G44" s="12">
        <f t="shared" ca="1" si="1"/>
        <v>33.833494675701836</v>
      </c>
      <c r="H44" s="1">
        <f t="shared" si="2"/>
        <v>123960</v>
      </c>
      <c r="I44" s="164"/>
      <c r="S44" s="164"/>
    </row>
    <row r="45" spans="1:29">
      <c r="A45" s="31" t="s">
        <v>230</v>
      </c>
      <c r="C45" s="126">
        <v>462.92</v>
      </c>
      <c r="D45" s="126">
        <v>282</v>
      </c>
      <c r="E45" s="161">
        <f ca="1">IFERROR(__xludf.DUMMYFUNCTION("GOOGLEFINANCE(A45,""PRICE"")"),347.25)</f>
        <v>347.25</v>
      </c>
      <c r="F45" s="10">
        <f t="shared" ca="1" si="0"/>
        <v>-32618.940000000006</v>
      </c>
      <c r="G45" s="12">
        <f t="shared" ca="1" si="1"/>
        <v>-24.987038797200384</v>
      </c>
      <c r="H45" s="1">
        <f t="shared" si="2"/>
        <v>130543.44</v>
      </c>
      <c r="I45" s="164"/>
      <c r="S45" s="164"/>
    </row>
    <row r="46" spans="1:29">
      <c r="A46" s="31" t="s">
        <v>558</v>
      </c>
      <c r="C46" s="126">
        <v>795.38</v>
      </c>
      <c r="D46" s="126">
        <v>75</v>
      </c>
      <c r="E46" s="161">
        <f ca="1">IFERROR(__xludf.DUMMYFUNCTION("GOOGLEFINANCE(A46,""PRICE"")"),558)</f>
        <v>558</v>
      </c>
      <c r="F46" s="10">
        <f t="shared" ca="1" si="0"/>
        <v>-17803.5</v>
      </c>
      <c r="G46" s="12">
        <f t="shared" ca="1" si="1"/>
        <v>-29.844854032035002</v>
      </c>
      <c r="H46" s="1">
        <f t="shared" si="2"/>
        <v>59653.5</v>
      </c>
      <c r="I46" s="164"/>
      <c r="S46" s="164"/>
    </row>
    <row r="47" spans="1:29">
      <c r="A47" s="31" t="s">
        <v>75</v>
      </c>
      <c r="C47" s="126">
        <v>416.48</v>
      </c>
      <c r="D47" s="126">
        <v>360</v>
      </c>
      <c r="E47" s="161">
        <f ca="1">IFERROR(__xludf.DUMMYFUNCTION("GOOGLEFINANCE(A47,""PRICE"")"),531.7)</f>
        <v>531.70000000000005</v>
      </c>
      <c r="F47" s="10">
        <f t="shared" ca="1" si="0"/>
        <v>41479.200000000012</v>
      </c>
      <c r="G47" s="12">
        <f t="shared" ca="1" si="1"/>
        <v>27.665194006915105</v>
      </c>
      <c r="H47" s="1">
        <f t="shared" si="2"/>
        <v>149932.80000000002</v>
      </c>
      <c r="I47" s="164"/>
      <c r="S47" s="164"/>
    </row>
    <row r="48" spans="1:29">
      <c r="A48" s="31" t="s">
        <v>58</v>
      </c>
      <c r="C48" s="126">
        <v>544.74</v>
      </c>
      <c r="D48" s="126">
        <v>250</v>
      </c>
      <c r="E48" s="161">
        <f ca="1">IFERROR(__xludf.DUMMYFUNCTION("GOOGLEFINANCE(A48,""PRICE"")"),612.55)</f>
        <v>612.54999999999995</v>
      </c>
      <c r="F48" s="10">
        <f t="shared" ca="1" si="0"/>
        <v>16952.499999999985</v>
      </c>
      <c r="G48" s="12">
        <f t="shared" ca="1" si="1"/>
        <v>12.448140397253725</v>
      </c>
      <c r="H48" s="1">
        <f t="shared" si="2"/>
        <v>136185</v>
      </c>
      <c r="I48" s="164"/>
      <c r="S48" s="164"/>
    </row>
    <row r="49" spans="1:19">
      <c r="A49" s="31" t="s">
        <v>173</v>
      </c>
      <c r="C49" s="126">
        <v>464.59</v>
      </c>
      <c r="D49" s="126">
        <v>100</v>
      </c>
      <c r="E49" s="161">
        <f ca="1">IFERROR(__xludf.DUMMYFUNCTION("GOOGLEFINANCE(A49,""PRICE"")"),498)</f>
        <v>498</v>
      </c>
      <c r="F49" s="10">
        <f t="shared" ca="1" si="0"/>
        <v>3341.0000000000027</v>
      </c>
      <c r="G49" s="12">
        <f t="shared" ca="1" si="1"/>
        <v>7.1912869411739448</v>
      </c>
      <c r="H49" s="1">
        <f t="shared" si="2"/>
        <v>46459</v>
      </c>
      <c r="I49" s="164"/>
      <c r="S49" s="164"/>
    </row>
    <row r="50" spans="1:19" ht="15" customHeight="1">
      <c r="I50" s="164"/>
      <c r="S50" s="164"/>
    </row>
    <row r="51" spans="1:19" ht="15" customHeight="1">
      <c r="I51" s="164"/>
      <c r="S51" s="164"/>
    </row>
    <row r="52" spans="1:19" ht="15" customHeight="1">
      <c r="I52" s="164"/>
      <c r="S52" s="164"/>
    </row>
    <row r="53" spans="1:19" ht="15" customHeight="1">
      <c r="I53" s="164"/>
      <c r="S53" s="164"/>
    </row>
    <row r="54" spans="1:19" ht="15" customHeight="1">
      <c r="I54" s="164"/>
      <c r="S54" s="164"/>
    </row>
    <row r="55" spans="1:19" ht="15" customHeight="1">
      <c r="I55" s="164"/>
      <c r="S55" s="164"/>
    </row>
    <row r="56" spans="1:19" ht="15" customHeight="1">
      <c r="I56" s="164"/>
      <c r="S56" s="164"/>
    </row>
    <row r="57" spans="1:19" ht="15" customHeight="1">
      <c r="I57" s="164"/>
      <c r="S57" s="164"/>
    </row>
    <row r="58" spans="1:19" ht="15" customHeight="1">
      <c r="I58" s="164"/>
      <c r="S58" s="164"/>
    </row>
    <row r="59" spans="1:19" ht="13">
      <c r="I59" s="164"/>
      <c r="S59" s="164"/>
    </row>
    <row r="60" spans="1:19" ht="13">
      <c r="I60" s="164"/>
      <c r="S60" s="164"/>
    </row>
    <row r="61" spans="1:19" ht="13">
      <c r="I61" s="164"/>
      <c r="S61" s="164"/>
    </row>
    <row r="62" spans="1:19" ht="13">
      <c r="I62" s="164"/>
      <c r="S62" s="164"/>
    </row>
    <row r="63" spans="1:19" ht="13">
      <c r="I63" s="164"/>
      <c r="S63" s="164"/>
    </row>
    <row r="64" spans="1:19" ht="13">
      <c r="I64" s="164"/>
      <c r="S64" s="164"/>
    </row>
    <row r="65" spans="9:19" ht="13">
      <c r="I65" s="164"/>
      <c r="S65" s="164"/>
    </row>
    <row r="66" spans="9:19" ht="13">
      <c r="I66" s="164"/>
      <c r="S66" s="164"/>
    </row>
    <row r="67" spans="9:19" ht="13">
      <c r="I67" s="164"/>
      <c r="S67" s="164"/>
    </row>
    <row r="68" spans="9:19" ht="13">
      <c r="I68" s="164"/>
      <c r="S68" s="164"/>
    </row>
    <row r="69" spans="9:19" ht="13">
      <c r="I69" s="164"/>
      <c r="S69" s="164"/>
    </row>
    <row r="70" spans="9:19" ht="13">
      <c r="I70" s="164"/>
      <c r="S70" s="164"/>
    </row>
    <row r="71" spans="9:19" ht="13">
      <c r="I71" s="164"/>
      <c r="S71" s="164"/>
    </row>
    <row r="72" spans="9:19" ht="13">
      <c r="I72" s="164"/>
      <c r="S72" s="164"/>
    </row>
    <row r="73" spans="9:19" ht="13">
      <c r="I73" s="164"/>
      <c r="S73" s="164"/>
    </row>
    <row r="74" spans="9:19" ht="13">
      <c r="I74" s="164"/>
      <c r="S74" s="164"/>
    </row>
    <row r="75" spans="9:19" ht="13">
      <c r="I75" s="164"/>
      <c r="S75" s="164"/>
    </row>
    <row r="76" spans="9:19" ht="13">
      <c r="I76" s="164"/>
      <c r="S76" s="164"/>
    </row>
    <row r="77" spans="9:19" ht="13">
      <c r="I77" s="164"/>
      <c r="S77" s="164"/>
    </row>
    <row r="78" spans="9:19" ht="13">
      <c r="I78" s="164"/>
      <c r="S78" s="164"/>
    </row>
    <row r="79" spans="9:19" ht="13">
      <c r="I79" s="164"/>
      <c r="S79" s="164"/>
    </row>
    <row r="80" spans="9:19" ht="13">
      <c r="I80" s="164"/>
      <c r="S80" s="164"/>
    </row>
    <row r="81" spans="9:19" ht="13">
      <c r="I81" s="164"/>
      <c r="S81" s="164"/>
    </row>
    <row r="82" spans="9:19" ht="13">
      <c r="I82" s="164"/>
      <c r="S82" s="164"/>
    </row>
    <row r="83" spans="9:19" ht="13">
      <c r="I83" s="164"/>
      <c r="S83" s="164"/>
    </row>
    <row r="84" spans="9:19" ht="13">
      <c r="I84" s="164"/>
      <c r="S84" s="164"/>
    </row>
    <row r="85" spans="9:19" ht="13">
      <c r="I85" s="164"/>
      <c r="S85" s="164"/>
    </row>
    <row r="86" spans="9:19" ht="13">
      <c r="I86" s="164"/>
      <c r="S86" s="164"/>
    </row>
    <row r="87" spans="9:19" ht="13">
      <c r="I87" s="164"/>
      <c r="S87" s="164"/>
    </row>
    <row r="88" spans="9:19" ht="13">
      <c r="I88" s="164"/>
      <c r="S88" s="164"/>
    </row>
    <row r="89" spans="9:19" ht="13">
      <c r="I89" s="164"/>
      <c r="S89" s="164"/>
    </row>
    <row r="90" spans="9:19" ht="13">
      <c r="I90" s="164"/>
      <c r="S90" s="164"/>
    </row>
    <row r="91" spans="9:19" ht="13">
      <c r="I91" s="164"/>
      <c r="S91" s="164"/>
    </row>
    <row r="92" spans="9:19" ht="13">
      <c r="I92" s="164"/>
      <c r="S92" s="164"/>
    </row>
    <row r="93" spans="9:19" ht="13">
      <c r="I93" s="164"/>
      <c r="S93" s="164"/>
    </row>
    <row r="94" spans="9:19" ht="13">
      <c r="I94" s="164"/>
      <c r="S94" s="164"/>
    </row>
    <row r="95" spans="9:19" ht="13">
      <c r="I95" s="164"/>
      <c r="S95" s="164"/>
    </row>
    <row r="96" spans="9:19" ht="13">
      <c r="I96" s="164"/>
      <c r="S96" s="164"/>
    </row>
    <row r="97" spans="9:19" ht="13">
      <c r="I97" s="164"/>
      <c r="S97" s="164"/>
    </row>
    <row r="98" spans="9:19" ht="13">
      <c r="I98" s="164"/>
      <c r="S98" s="164"/>
    </row>
    <row r="99" spans="9:19" ht="13">
      <c r="I99" s="164"/>
      <c r="S99" s="164"/>
    </row>
    <row r="100" spans="9:19" ht="13">
      <c r="I100" s="164"/>
      <c r="S100" s="164"/>
    </row>
    <row r="101" spans="9:19" ht="13">
      <c r="I101" s="164"/>
      <c r="S101" s="164"/>
    </row>
    <row r="102" spans="9:19" ht="13">
      <c r="I102" s="164"/>
      <c r="S102" s="164"/>
    </row>
    <row r="103" spans="9:19" ht="13">
      <c r="I103" s="164"/>
      <c r="S103" s="164"/>
    </row>
    <row r="104" spans="9:19" ht="13">
      <c r="I104" s="164"/>
      <c r="S104" s="164"/>
    </row>
    <row r="105" spans="9:19" ht="13">
      <c r="I105" s="164"/>
      <c r="S105" s="164"/>
    </row>
    <row r="106" spans="9:19" ht="13">
      <c r="I106" s="164"/>
      <c r="S106" s="164"/>
    </row>
    <row r="107" spans="9:19" ht="13">
      <c r="I107" s="164"/>
      <c r="S107" s="164"/>
    </row>
    <row r="108" spans="9:19" ht="13">
      <c r="I108" s="164"/>
      <c r="S108" s="164"/>
    </row>
    <row r="109" spans="9:19" ht="13">
      <c r="I109" s="164"/>
      <c r="S109" s="164"/>
    </row>
    <row r="110" spans="9:19" ht="13">
      <c r="I110" s="164"/>
      <c r="S110" s="164"/>
    </row>
    <row r="111" spans="9:19" ht="13">
      <c r="I111" s="164"/>
      <c r="S111" s="164"/>
    </row>
    <row r="112" spans="9:19" ht="13">
      <c r="I112" s="164"/>
      <c r="S112" s="164"/>
    </row>
    <row r="113" spans="9:19" ht="13">
      <c r="I113" s="164"/>
      <c r="S113" s="164"/>
    </row>
    <row r="114" spans="9:19" ht="13">
      <c r="I114" s="164"/>
      <c r="S114" s="164"/>
    </row>
    <row r="115" spans="9:19" ht="13">
      <c r="I115" s="164"/>
      <c r="S115" s="164"/>
    </row>
    <row r="116" spans="9:19" ht="13">
      <c r="I116" s="164"/>
      <c r="S116" s="164"/>
    </row>
    <row r="117" spans="9:19" ht="13">
      <c r="I117" s="164"/>
      <c r="S117" s="164"/>
    </row>
    <row r="118" spans="9:19" ht="13">
      <c r="I118" s="164"/>
      <c r="S118" s="164"/>
    </row>
    <row r="119" spans="9:19" ht="13">
      <c r="I119" s="164"/>
      <c r="S119" s="164"/>
    </row>
    <row r="120" spans="9:19" ht="13">
      <c r="I120" s="164"/>
      <c r="S120" s="164"/>
    </row>
    <row r="121" spans="9:19" ht="13">
      <c r="I121" s="164"/>
      <c r="S121" s="164"/>
    </row>
    <row r="122" spans="9:19" ht="13">
      <c r="I122" s="164"/>
      <c r="S122" s="164"/>
    </row>
    <row r="123" spans="9:19" ht="13">
      <c r="I123" s="164"/>
      <c r="S123" s="164"/>
    </row>
    <row r="124" spans="9:19" ht="13">
      <c r="I124" s="164"/>
      <c r="S124" s="164"/>
    </row>
    <row r="125" spans="9:19" ht="13">
      <c r="I125" s="164"/>
      <c r="S125" s="164"/>
    </row>
    <row r="126" spans="9:19" ht="13">
      <c r="I126" s="164"/>
      <c r="S126" s="164"/>
    </row>
    <row r="127" spans="9:19" ht="13">
      <c r="I127" s="164"/>
      <c r="S127" s="164"/>
    </row>
    <row r="128" spans="9:19" ht="13">
      <c r="I128" s="164"/>
      <c r="S128" s="164"/>
    </row>
    <row r="129" spans="9:19" ht="13">
      <c r="I129" s="164"/>
      <c r="S129" s="164"/>
    </row>
    <row r="130" spans="9:19" ht="13">
      <c r="I130" s="164"/>
      <c r="S130" s="164"/>
    </row>
    <row r="131" spans="9:19" ht="13">
      <c r="I131" s="164"/>
      <c r="S131" s="164"/>
    </row>
    <row r="132" spans="9:19" ht="13">
      <c r="I132" s="164"/>
      <c r="S132" s="164"/>
    </row>
    <row r="133" spans="9:19" ht="13">
      <c r="I133" s="164"/>
      <c r="S133" s="164"/>
    </row>
    <row r="134" spans="9:19" ht="13">
      <c r="I134" s="164"/>
      <c r="S134" s="164"/>
    </row>
    <row r="135" spans="9:19" ht="13">
      <c r="I135" s="164"/>
      <c r="S135" s="164"/>
    </row>
    <row r="136" spans="9:19" ht="13">
      <c r="I136" s="164"/>
      <c r="S136" s="164"/>
    </row>
    <row r="137" spans="9:19" ht="13">
      <c r="I137" s="164"/>
      <c r="S137" s="164"/>
    </row>
    <row r="138" spans="9:19" ht="13">
      <c r="I138" s="164"/>
      <c r="S138" s="164"/>
    </row>
    <row r="139" spans="9:19" ht="13">
      <c r="I139" s="164"/>
      <c r="S139" s="164"/>
    </row>
    <row r="140" spans="9:19" ht="13">
      <c r="I140" s="164"/>
      <c r="S140" s="164"/>
    </row>
    <row r="141" spans="9:19" ht="13">
      <c r="I141" s="164"/>
      <c r="S141" s="164"/>
    </row>
    <row r="142" spans="9:19" ht="13">
      <c r="I142" s="164"/>
      <c r="S142" s="164"/>
    </row>
    <row r="143" spans="9:19" ht="13">
      <c r="I143" s="164"/>
      <c r="S143" s="164"/>
    </row>
    <row r="144" spans="9:19" ht="13">
      <c r="I144" s="164"/>
      <c r="S144" s="164"/>
    </row>
    <row r="145" spans="9:19" ht="13">
      <c r="I145" s="164"/>
      <c r="S145" s="164"/>
    </row>
    <row r="146" spans="9:19" ht="13">
      <c r="I146" s="164"/>
      <c r="S146" s="164"/>
    </row>
    <row r="147" spans="9:19" ht="13">
      <c r="I147" s="164"/>
      <c r="S147" s="164"/>
    </row>
    <row r="148" spans="9:19" ht="13">
      <c r="I148" s="164"/>
      <c r="S148" s="164"/>
    </row>
    <row r="149" spans="9:19" ht="13">
      <c r="I149" s="164"/>
      <c r="S149" s="164"/>
    </row>
    <row r="150" spans="9:19" ht="13">
      <c r="I150" s="164"/>
      <c r="S150" s="164"/>
    </row>
    <row r="151" spans="9:19" ht="13">
      <c r="I151" s="164"/>
      <c r="S151" s="164"/>
    </row>
    <row r="152" spans="9:19" ht="13">
      <c r="I152" s="164"/>
      <c r="S152" s="164"/>
    </row>
    <row r="153" spans="9:19" ht="13">
      <c r="I153" s="164"/>
      <c r="S153" s="164"/>
    </row>
    <row r="154" spans="9:19" ht="13">
      <c r="I154" s="164"/>
      <c r="S154" s="164"/>
    </row>
    <row r="155" spans="9:19" ht="13">
      <c r="I155" s="164"/>
      <c r="S155" s="164"/>
    </row>
    <row r="156" spans="9:19" ht="13">
      <c r="I156" s="164"/>
      <c r="S156" s="164"/>
    </row>
    <row r="157" spans="9:19" ht="13">
      <c r="I157" s="164"/>
      <c r="S157" s="164"/>
    </row>
    <row r="158" spans="9:19" ht="13">
      <c r="I158" s="164"/>
      <c r="S158" s="164"/>
    </row>
    <row r="159" spans="9:19" ht="13">
      <c r="I159" s="164"/>
      <c r="S159" s="164"/>
    </row>
    <row r="160" spans="9:19" ht="13">
      <c r="I160" s="164"/>
      <c r="S160" s="164"/>
    </row>
    <row r="161" spans="9:19" ht="13">
      <c r="I161" s="164"/>
      <c r="S161" s="164"/>
    </row>
    <row r="162" spans="9:19" ht="13">
      <c r="I162" s="164"/>
      <c r="S162" s="164"/>
    </row>
    <row r="163" spans="9:19" ht="13">
      <c r="I163" s="164"/>
      <c r="S163" s="164"/>
    </row>
    <row r="164" spans="9:19" ht="13">
      <c r="I164" s="164"/>
      <c r="S164" s="164"/>
    </row>
    <row r="165" spans="9:19" ht="13">
      <c r="I165" s="164"/>
      <c r="S165" s="164"/>
    </row>
    <row r="166" spans="9:19" ht="13">
      <c r="I166" s="164"/>
      <c r="S166" s="164"/>
    </row>
    <row r="167" spans="9:19" ht="13">
      <c r="I167" s="164"/>
      <c r="S167" s="164"/>
    </row>
    <row r="168" spans="9:19" ht="13">
      <c r="I168" s="164"/>
      <c r="S168" s="164"/>
    </row>
    <row r="169" spans="9:19" ht="13">
      <c r="I169" s="164"/>
      <c r="S169" s="164"/>
    </row>
    <row r="170" spans="9:19" ht="13">
      <c r="I170" s="164"/>
      <c r="S170" s="164"/>
    </row>
    <row r="171" spans="9:19" ht="13">
      <c r="I171" s="164"/>
      <c r="S171" s="164"/>
    </row>
    <row r="172" spans="9:19" ht="13">
      <c r="I172" s="164"/>
      <c r="S172" s="164"/>
    </row>
    <row r="173" spans="9:19" ht="13">
      <c r="I173" s="164"/>
      <c r="S173" s="164"/>
    </row>
    <row r="174" spans="9:19" ht="13">
      <c r="I174" s="164"/>
      <c r="S174" s="164"/>
    </row>
    <row r="175" spans="9:19" ht="13">
      <c r="I175" s="164"/>
      <c r="S175" s="164"/>
    </row>
    <row r="176" spans="9:19" ht="13">
      <c r="I176" s="164"/>
      <c r="S176" s="164"/>
    </row>
    <row r="177" spans="9:19" ht="13">
      <c r="I177" s="164"/>
      <c r="S177" s="164"/>
    </row>
    <row r="178" spans="9:19" ht="13">
      <c r="I178" s="164"/>
      <c r="S178" s="164"/>
    </row>
    <row r="179" spans="9:19" ht="13">
      <c r="I179" s="164"/>
      <c r="S179" s="164"/>
    </row>
    <row r="180" spans="9:19" ht="13">
      <c r="I180" s="164"/>
      <c r="S180" s="164"/>
    </row>
    <row r="181" spans="9:19" ht="13">
      <c r="I181" s="164"/>
      <c r="S181" s="164"/>
    </row>
    <row r="182" spans="9:19" ht="13">
      <c r="I182" s="164"/>
      <c r="S182" s="164"/>
    </row>
    <row r="183" spans="9:19" ht="13">
      <c r="I183" s="164"/>
      <c r="S183" s="164"/>
    </row>
    <row r="184" spans="9:19" ht="13">
      <c r="I184" s="164"/>
      <c r="S184" s="164"/>
    </row>
    <row r="185" spans="9:19" ht="13">
      <c r="I185" s="164"/>
      <c r="S185" s="164"/>
    </row>
    <row r="186" spans="9:19" ht="13">
      <c r="I186" s="164"/>
      <c r="S186" s="164"/>
    </row>
    <row r="187" spans="9:19" ht="13">
      <c r="I187" s="164"/>
      <c r="S187" s="164"/>
    </row>
    <row r="188" spans="9:19" ht="13">
      <c r="I188" s="164"/>
      <c r="S188" s="164"/>
    </row>
    <row r="189" spans="9:19" ht="13">
      <c r="I189" s="164"/>
      <c r="S189" s="164"/>
    </row>
    <row r="190" spans="9:19" ht="13">
      <c r="I190" s="164"/>
      <c r="S190" s="164"/>
    </row>
    <row r="191" spans="9:19" ht="13">
      <c r="I191" s="164"/>
      <c r="S191" s="164"/>
    </row>
    <row r="192" spans="9:19" ht="13">
      <c r="I192" s="164"/>
      <c r="S192" s="164"/>
    </row>
    <row r="193" spans="9:19" ht="13">
      <c r="I193" s="164"/>
      <c r="S193" s="164"/>
    </row>
    <row r="194" spans="9:19" ht="13">
      <c r="I194" s="164"/>
      <c r="S194" s="164"/>
    </row>
    <row r="195" spans="9:19" ht="13">
      <c r="I195" s="164"/>
      <c r="S195" s="164"/>
    </row>
    <row r="196" spans="9:19" ht="13">
      <c r="I196" s="164"/>
      <c r="S196" s="164"/>
    </row>
    <row r="197" spans="9:19" ht="13">
      <c r="I197" s="164"/>
      <c r="S197" s="164"/>
    </row>
    <row r="198" spans="9:19" ht="13">
      <c r="I198" s="164"/>
      <c r="S198" s="164"/>
    </row>
    <row r="199" spans="9:19" ht="13">
      <c r="I199" s="164"/>
      <c r="S199" s="164"/>
    </row>
    <row r="200" spans="9:19" ht="13">
      <c r="I200" s="164"/>
      <c r="S200" s="164"/>
    </row>
    <row r="201" spans="9:19" ht="13">
      <c r="I201" s="164"/>
      <c r="S201" s="164"/>
    </row>
    <row r="202" spans="9:19" ht="13">
      <c r="I202" s="164"/>
      <c r="S202" s="164"/>
    </row>
    <row r="203" spans="9:19" ht="13">
      <c r="I203" s="164"/>
      <c r="S203" s="164"/>
    </row>
    <row r="204" spans="9:19" ht="13">
      <c r="I204" s="164"/>
      <c r="S204" s="164"/>
    </row>
    <row r="205" spans="9:19" ht="13">
      <c r="I205" s="164"/>
      <c r="S205" s="164"/>
    </row>
    <row r="206" spans="9:19" ht="13">
      <c r="I206" s="164"/>
      <c r="S206" s="164"/>
    </row>
    <row r="207" spans="9:19" ht="13">
      <c r="I207" s="164"/>
      <c r="S207" s="164"/>
    </row>
    <row r="208" spans="9:19" ht="13">
      <c r="I208" s="164"/>
      <c r="S208" s="164"/>
    </row>
    <row r="209" spans="9:19" ht="13">
      <c r="I209" s="164"/>
      <c r="S209" s="164"/>
    </row>
    <row r="210" spans="9:19" ht="13">
      <c r="I210" s="164"/>
      <c r="S210" s="164"/>
    </row>
    <row r="211" spans="9:19" ht="13">
      <c r="I211" s="164"/>
      <c r="S211" s="164"/>
    </row>
    <row r="212" spans="9:19" ht="13">
      <c r="I212" s="164"/>
      <c r="S212" s="164"/>
    </row>
    <row r="213" spans="9:19" ht="13">
      <c r="I213" s="164"/>
      <c r="S213" s="164"/>
    </row>
    <row r="214" spans="9:19" ht="13">
      <c r="I214" s="164"/>
      <c r="S214" s="164"/>
    </row>
    <row r="215" spans="9:19" ht="13">
      <c r="I215" s="164"/>
      <c r="S215" s="164"/>
    </row>
    <row r="216" spans="9:19" ht="13">
      <c r="I216" s="164"/>
      <c r="S216" s="164"/>
    </row>
    <row r="217" spans="9:19" ht="13">
      <c r="I217" s="164"/>
      <c r="S217" s="164"/>
    </row>
    <row r="218" spans="9:19" ht="13">
      <c r="I218" s="164"/>
      <c r="S218" s="164"/>
    </row>
    <row r="219" spans="9:19" ht="13">
      <c r="I219" s="164"/>
      <c r="S219" s="164"/>
    </row>
    <row r="220" spans="9:19" ht="13">
      <c r="I220" s="164"/>
      <c r="S220" s="164"/>
    </row>
    <row r="221" spans="9:19" ht="13">
      <c r="I221" s="164"/>
      <c r="S221" s="164"/>
    </row>
    <row r="222" spans="9:19" ht="13">
      <c r="I222" s="164"/>
      <c r="S222" s="164"/>
    </row>
    <row r="223" spans="9:19" ht="13">
      <c r="I223" s="164"/>
      <c r="S223" s="164"/>
    </row>
    <row r="224" spans="9:19" ht="13">
      <c r="I224" s="164"/>
      <c r="S224" s="164"/>
    </row>
    <row r="225" spans="9:19" ht="13">
      <c r="I225" s="164"/>
      <c r="S225" s="164"/>
    </row>
    <row r="226" spans="9:19" ht="13">
      <c r="I226" s="164"/>
      <c r="S226" s="164"/>
    </row>
    <row r="227" spans="9:19" ht="13">
      <c r="I227" s="164"/>
      <c r="S227" s="164"/>
    </row>
    <row r="228" spans="9:19" ht="13">
      <c r="I228" s="164"/>
      <c r="S228" s="164"/>
    </row>
    <row r="229" spans="9:19" ht="13">
      <c r="I229" s="164"/>
      <c r="S229" s="164"/>
    </row>
    <row r="230" spans="9:19" ht="13">
      <c r="I230" s="164"/>
      <c r="S230" s="164"/>
    </row>
    <row r="231" spans="9:19" ht="13">
      <c r="I231" s="164"/>
      <c r="S231" s="164"/>
    </row>
    <row r="232" spans="9:19" ht="13">
      <c r="I232" s="164"/>
      <c r="S232" s="164"/>
    </row>
    <row r="233" spans="9:19" ht="13">
      <c r="I233" s="164"/>
      <c r="S233" s="164"/>
    </row>
    <row r="234" spans="9:19" ht="13">
      <c r="I234" s="164"/>
      <c r="S234" s="164"/>
    </row>
    <row r="235" spans="9:19" ht="13">
      <c r="I235" s="164"/>
      <c r="S235" s="164"/>
    </row>
    <row r="236" spans="9:19" ht="13">
      <c r="I236" s="164"/>
      <c r="S236" s="164"/>
    </row>
    <row r="237" spans="9:19" ht="13">
      <c r="I237" s="164"/>
      <c r="S237" s="164"/>
    </row>
    <row r="238" spans="9:19" ht="13">
      <c r="I238" s="164"/>
      <c r="S238" s="164"/>
    </row>
    <row r="239" spans="9:19" ht="13">
      <c r="I239" s="164"/>
      <c r="S239" s="164"/>
    </row>
    <row r="240" spans="9:19" ht="13">
      <c r="I240" s="164"/>
      <c r="S240" s="164"/>
    </row>
    <row r="241" spans="9:19" ht="13">
      <c r="I241" s="164"/>
      <c r="S241" s="164"/>
    </row>
    <row r="242" spans="9:19" ht="13">
      <c r="I242" s="164"/>
      <c r="S242" s="164"/>
    </row>
    <row r="243" spans="9:19" ht="13">
      <c r="I243" s="164"/>
      <c r="S243" s="164"/>
    </row>
    <row r="244" spans="9:19" ht="13">
      <c r="I244" s="164"/>
      <c r="S244" s="164"/>
    </row>
    <row r="245" spans="9:19" ht="13">
      <c r="I245" s="164"/>
      <c r="S245" s="164"/>
    </row>
    <row r="246" spans="9:19" ht="13">
      <c r="I246" s="164"/>
      <c r="S246" s="164"/>
    </row>
    <row r="247" spans="9:19" ht="13">
      <c r="I247" s="164"/>
      <c r="S247" s="164"/>
    </row>
    <row r="248" spans="9:19" ht="13">
      <c r="I248" s="164"/>
      <c r="S248" s="164"/>
    </row>
    <row r="249" spans="9:19" ht="13">
      <c r="I249" s="164"/>
      <c r="S249" s="164"/>
    </row>
    <row r="250" spans="9:19" ht="13">
      <c r="I250" s="164"/>
      <c r="S250" s="164"/>
    </row>
    <row r="251" spans="9:19" ht="13">
      <c r="I251" s="164"/>
      <c r="S251" s="164"/>
    </row>
    <row r="252" spans="9:19" ht="13">
      <c r="I252" s="164"/>
      <c r="S252" s="164"/>
    </row>
    <row r="253" spans="9:19" ht="13">
      <c r="I253" s="164"/>
      <c r="S253" s="164"/>
    </row>
    <row r="254" spans="9:19" ht="13">
      <c r="I254" s="164"/>
      <c r="S254" s="164"/>
    </row>
    <row r="255" spans="9:19" ht="13">
      <c r="I255" s="164"/>
      <c r="S255" s="164"/>
    </row>
    <row r="256" spans="9:19" ht="13">
      <c r="I256" s="164"/>
      <c r="S256" s="164"/>
    </row>
    <row r="257" spans="9:19" ht="13">
      <c r="I257" s="164"/>
      <c r="S257" s="164"/>
    </row>
    <row r="258" spans="9:19" ht="13">
      <c r="I258" s="164"/>
      <c r="S258" s="164"/>
    </row>
    <row r="259" spans="9:19" ht="13">
      <c r="I259" s="164"/>
      <c r="S259" s="164"/>
    </row>
    <row r="260" spans="9:19" ht="13">
      <c r="I260" s="164"/>
      <c r="S260" s="164"/>
    </row>
    <row r="261" spans="9:19" ht="13">
      <c r="I261" s="164"/>
      <c r="S261" s="164"/>
    </row>
    <row r="262" spans="9:19" ht="13">
      <c r="I262" s="164"/>
      <c r="S262" s="164"/>
    </row>
    <row r="263" spans="9:19" ht="13">
      <c r="I263" s="164"/>
      <c r="S263" s="164"/>
    </row>
    <row r="264" spans="9:19" ht="13">
      <c r="I264" s="164"/>
      <c r="S264" s="164"/>
    </row>
    <row r="265" spans="9:19" ht="13">
      <c r="I265" s="164"/>
      <c r="S265" s="164"/>
    </row>
    <row r="266" spans="9:19" ht="13">
      <c r="I266" s="164"/>
      <c r="S266" s="164"/>
    </row>
    <row r="267" spans="9:19" ht="13">
      <c r="I267" s="164"/>
      <c r="S267" s="164"/>
    </row>
    <row r="268" spans="9:19" ht="13">
      <c r="I268" s="164"/>
      <c r="S268" s="164"/>
    </row>
    <row r="269" spans="9:19" ht="13">
      <c r="I269" s="164"/>
      <c r="S269" s="164"/>
    </row>
    <row r="270" spans="9:19" ht="13">
      <c r="I270" s="164"/>
      <c r="S270" s="164"/>
    </row>
    <row r="271" spans="9:19" ht="13">
      <c r="I271" s="164"/>
      <c r="S271" s="164"/>
    </row>
    <row r="272" spans="9:19" ht="13">
      <c r="I272" s="164"/>
      <c r="S272" s="164"/>
    </row>
    <row r="273" spans="9:19" ht="13">
      <c r="I273" s="164"/>
      <c r="S273" s="164"/>
    </row>
    <row r="274" spans="9:19" ht="13">
      <c r="I274" s="164"/>
      <c r="S274" s="164"/>
    </row>
    <row r="275" spans="9:19" ht="13">
      <c r="I275" s="164"/>
      <c r="S275" s="164"/>
    </row>
    <row r="276" spans="9:19" ht="13">
      <c r="I276" s="164"/>
      <c r="S276" s="164"/>
    </row>
    <row r="277" spans="9:19" ht="13">
      <c r="I277" s="164"/>
      <c r="S277" s="164"/>
    </row>
    <row r="278" spans="9:19" ht="13">
      <c r="I278" s="164"/>
      <c r="S278" s="164"/>
    </row>
    <row r="279" spans="9:19" ht="13">
      <c r="I279" s="164"/>
      <c r="S279" s="164"/>
    </row>
    <row r="280" spans="9:19" ht="13">
      <c r="I280" s="164"/>
      <c r="S280" s="164"/>
    </row>
    <row r="281" spans="9:19" ht="13">
      <c r="I281" s="164"/>
      <c r="S281" s="164"/>
    </row>
    <row r="282" spans="9:19" ht="13">
      <c r="I282" s="164"/>
      <c r="S282" s="164"/>
    </row>
    <row r="283" spans="9:19" ht="13">
      <c r="I283" s="164"/>
      <c r="S283" s="164"/>
    </row>
    <row r="284" spans="9:19" ht="13">
      <c r="I284" s="164"/>
      <c r="S284" s="164"/>
    </row>
    <row r="285" spans="9:19" ht="13">
      <c r="I285" s="164"/>
      <c r="S285" s="164"/>
    </row>
    <row r="286" spans="9:19" ht="13">
      <c r="I286" s="164"/>
      <c r="S286" s="164"/>
    </row>
    <row r="287" spans="9:19" ht="13">
      <c r="I287" s="164"/>
      <c r="S287" s="164"/>
    </row>
    <row r="288" spans="9:19" ht="13">
      <c r="I288" s="164"/>
      <c r="S288" s="164"/>
    </row>
    <row r="289" spans="9:19" ht="13">
      <c r="I289" s="164"/>
      <c r="S289" s="164"/>
    </row>
    <row r="290" spans="9:19" ht="13">
      <c r="I290" s="164"/>
      <c r="S290" s="164"/>
    </row>
    <row r="291" spans="9:19" ht="13">
      <c r="I291" s="164"/>
      <c r="S291" s="164"/>
    </row>
    <row r="292" spans="9:19" ht="13">
      <c r="I292" s="164"/>
      <c r="S292" s="164"/>
    </row>
    <row r="293" spans="9:19" ht="13">
      <c r="I293" s="164"/>
      <c r="S293" s="164"/>
    </row>
    <row r="294" spans="9:19" ht="13">
      <c r="I294" s="164"/>
      <c r="S294" s="164"/>
    </row>
    <row r="295" spans="9:19" ht="13">
      <c r="I295" s="164"/>
      <c r="S295" s="164"/>
    </row>
    <row r="296" spans="9:19" ht="13">
      <c r="I296" s="164"/>
      <c r="S296" s="164"/>
    </row>
    <row r="297" spans="9:19" ht="13">
      <c r="I297" s="164"/>
      <c r="S297" s="164"/>
    </row>
    <row r="298" spans="9:19" ht="13">
      <c r="I298" s="164"/>
      <c r="S298" s="164"/>
    </row>
    <row r="299" spans="9:19" ht="13">
      <c r="I299" s="164"/>
      <c r="S299" s="164"/>
    </row>
    <row r="300" spans="9:19" ht="13">
      <c r="I300" s="164"/>
      <c r="S300" s="164"/>
    </row>
    <row r="301" spans="9:19" ht="13">
      <c r="I301" s="164"/>
      <c r="S301" s="164"/>
    </row>
    <row r="302" spans="9:19" ht="13">
      <c r="I302" s="164"/>
      <c r="S302" s="164"/>
    </row>
    <row r="303" spans="9:19" ht="13">
      <c r="I303" s="164"/>
      <c r="S303" s="164"/>
    </row>
    <row r="304" spans="9:19" ht="13">
      <c r="I304" s="164"/>
      <c r="S304" s="164"/>
    </row>
    <row r="305" spans="9:19" ht="13">
      <c r="I305" s="164"/>
      <c r="S305" s="164"/>
    </row>
    <row r="306" spans="9:19" ht="13">
      <c r="I306" s="164"/>
      <c r="S306" s="164"/>
    </row>
    <row r="307" spans="9:19" ht="13">
      <c r="I307" s="164"/>
      <c r="S307" s="164"/>
    </row>
    <row r="308" spans="9:19" ht="13">
      <c r="I308" s="164"/>
      <c r="S308" s="164"/>
    </row>
    <row r="309" spans="9:19" ht="13">
      <c r="I309" s="164"/>
      <c r="S309" s="164"/>
    </row>
    <row r="310" spans="9:19" ht="13">
      <c r="I310" s="164"/>
      <c r="S310" s="164"/>
    </row>
    <row r="311" spans="9:19" ht="13">
      <c r="I311" s="164"/>
      <c r="S311" s="164"/>
    </row>
    <row r="312" spans="9:19" ht="13">
      <c r="I312" s="164"/>
      <c r="S312" s="164"/>
    </row>
    <row r="313" spans="9:19" ht="13">
      <c r="I313" s="164"/>
      <c r="S313" s="164"/>
    </row>
    <row r="314" spans="9:19" ht="13">
      <c r="I314" s="164"/>
      <c r="S314" s="164"/>
    </row>
    <row r="315" spans="9:19" ht="13">
      <c r="I315" s="164"/>
      <c r="S315" s="164"/>
    </row>
    <row r="316" spans="9:19" ht="13">
      <c r="I316" s="164"/>
      <c r="S316" s="164"/>
    </row>
    <row r="317" spans="9:19" ht="13">
      <c r="I317" s="164"/>
      <c r="S317" s="164"/>
    </row>
    <row r="318" spans="9:19" ht="13">
      <c r="I318" s="164"/>
      <c r="S318" s="164"/>
    </row>
    <row r="319" spans="9:19" ht="13">
      <c r="I319" s="164"/>
      <c r="S319" s="164"/>
    </row>
    <row r="320" spans="9:19" ht="13">
      <c r="I320" s="164"/>
      <c r="S320" s="164"/>
    </row>
    <row r="321" spans="9:19" ht="13">
      <c r="I321" s="164"/>
      <c r="S321" s="164"/>
    </row>
    <row r="322" spans="9:19" ht="13">
      <c r="I322" s="164"/>
      <c r="S322" s="164"/>
    </row>
    <row r="323" spans="9:19" ht="13">
      <c r="I323" s="164"/>
      <c r="S323" s="164"/>
    </row>
    <row r="324" spans="9:19" ht="13">
      <c r="I324" s="164"/>
      <c r="S324" s="164"/>
    </row>
    <row r="325" spans="9:19" ht="13">
      <c r="I325" s="164"/>
      <c r="S325" s="164"/>
    </row>
    <row r="326" spans="9:19" ht="13">
      <c r="I326" s="164"/>
      <c r="S326" s="164"/>
    </row>
    <row r="327" spans="9:19" ht="13">
      <c r="I327" s="164"/>
      <c r="S327" s="164"/>
    </row>
    <row r="328" spans="9:19" ht="13">
      <c r="I328" s="164"/>
      <c r="S328" s="164"/>
    </row>
    <row r="329" spans="9:19" ht="13">
      <c r="I329" s="164"/>
      <c r="S329" s="164"/>
    </row>
    <row r="330" spans="9:19" ht="13">
      <c r="I330" s="164"/>
      <c r="S330" s="164"/>
    </row>
    <row r="331" spans="9:19" ht="13">
      <c r="I331" s="164"/>
      <c r="S331" s="164"/>
    </row>
    <row r="332" spans="9:19" ht="13">
      <c r="I332" s="164"/>
      <c r="S332" s="164"/>
    </row>
    <row r="333" spans="9:19" ht="13">
      <c r="I333" s="164"/>
      <c r="S333" s="164"/>
    </row>
    <row r="334" spans="9:19" ht="13">
      <c r="I334" s="164"/>
      <c r="S334" s="164"/>
    </row>
    <row r="335" spans="9:19" ht="13">
      <c r="I335" s="164"/>
      <c r="S335" s="164"/>
    </row>
    <row r="336" spans="9:19" ht="13">
      <c r="I336" s="164"/>
      <c r="S336" s="164"/>
    </row>
    <row r="337" spans="9:19" ht="13">
      <c r="I337" s="164"/>
      <c r="S337" s="164"/>
    </row>
    <row r="338" spans="9:19" ht="13">
      <c r="I338" s="164"/>
      <c r="S338" s="164"/>
    </row>
    <row r="339" spans="9:19" ht="13">
      <c r="I339" s="164"/>
      <c r="S339" s="164"/>
    </row>
    <row r="340" spans="9:19" ht="13">
      <c r="I340" s="164"/>
      <c r="S340" s="164"/>
    </row>
    <row r="341" spans="9:19" ht="13">
      <c r="I341" s="164"/>
      <c r="S341" s="164"/>
    </row>
    <row r="342" spans="9:19" ht="13">
      <c r="I342" s="164"/>
      <c r="S342" s="164"/>
    </row>
    <row r="343" spans="9:19" ht="13">
      <c r="I343" s="164"/>
      <c r="S343" s="164"/>
    </row>
    <row r="344" spans="9:19" ht="13">
      <c r="I344" s="164"/>
      <c r="S344" s="164"/>
    </row>
    <row r="345" spans="9:19" ht="13">
      <c r="I345" s="164"/>
      <c r="S345" s="164"/>
    </row>
    <row r="346" spans="9:19" ht="13">
      <c r="I346" s="164"/>
      <c r="S346" s="164"/>
    </row>
    <row r="347" spans="9:19" ht="13">
      <c r="I347" s="164"/>
      <c r="S347" s="164"/>
    </row>
    <row r="348" spans="9:19" ht="13">
      <c r="I348" s="164"/>
      <c r="S348" s="164"/>
    </row>
    <row r="349" spans="9:19" ht="13">
      <c r="I349" s="164"/>
      <c r="S349" s="164"/>
    </row>
    <row r="350" spans="9:19" ht="13">
      <c r="I350" s="164"/>
      <c r="S350" s="164"/>
    </row>
    <row r="351" spans="9:19" ht="13">
      <c r="I351" s="164"/>
      <c r="S351" s="164"/>
    </row>
    <row r="352" spans="9:19" ht="13">
      <c r="I352" s="164"/>
      <c r="S352" s="164"/>
    </row>
    <row r="353" spans="9:19" ht="13">
      <c r="I353" s="164"/>
      <c r="S353" s="164"/>
    </row>
    <row r="354" spans="9:19" ht="13">
      <c r="I354" s="164"/>
      <c r="S354" s="164"/>
    </row>
    <row r="355" spans="9:19" ht="13">
      <c r="I355" s="164"/>
      <c r="S355" s="164"/>
    </row>
    <row r="356" spans="9:19" ht="13">
      <c r="I356" s="164"/>
      <c r="S356" s="164"/>
    </row>
    <row r="357" spans="9:19" ht="13">
      <c r="I357" s="164"/>
      <c r="S357" s="164"/>
    </row>
    <row r="358" spans="9:19" ht="13">
      <c r="I358" s="164"/>
      <c r="S358" s="164"/>
    </row>
    <row r="359" spans="9:19" ht="13">
      <c r="I359" s="164"/>
      <c r="S359" s="164"/>
    </row>
    <row r="360" spans="9:19" ht="13">
      <c r="I360" s="164"/>
      <c r="S360" s="164"/>
    </row>
    <row r="361" spans="9:19" ht="13">
      <c r="I361" s="164"/>
      <c r="S361" s="164"/>
    </row>
    <row r="362" spans="9:19" ht="13">
      <c r="I362" s="164"/>
      <c r="S362" s="164"/>
    </row>
    <row r="363" spans="9:19" ht="13">
      <c r="I363" s="164"/>
      <c r="S363" s="164"/>
    </row>
    <row r="364" spans="9:19" ht="13">
      <c r="I364" s="164"/>
      <c r="S364" s="164"/>
    </row>
    <row r="365" spans="9:19" ht="13">
      <c r="I365" s="164"/>
      <c r="S365" s="164"/>
    </row>
    <row r="366" spans="9:19" ht="13">
      <c r="I366" s="164"/>
      <c r="S366" s="164"/>
    </row>
    <row r="367" spans="9:19" ht="13">
      <c r="I367" s="164"/>
      <c r="S367" s="164"/>
    </row>
    <row r="368" spans="9:19" ht="13">
      <c r="I368" s="164"/>
      <c r="S368" s="164"/>
    </row>
    <row r="369" spans="9:19" ht="13">
      <c r="I369" s="164"/>
      <c r="S369" s="164"/>
    </row>
    <row r="370" spans="9:19" ht="13">
      <c r="I370" s="164"/>
      <c r="S370" s="164"/>
    </row>
    <row r="371" spans="9:19" ht="13">
      <c r="I371" s="164"/>
      <c r="S371" s="164"/>
    </row>
    <row r="372" spans="9:19" ht="13">
      <c r="I372" s="164"/>
      <c r="S372" s="164"/>
    </row>
    <row r="373" spans="9:19" ht="13">
      <c r="I373" s="164"/>
      <c r="S373" s="164"/>
    </row>
    <row r="374" spans="9:19" ht="13">
      <c r="I374" s="164"/>
      <c r="S374" s="164"/>
    </row>
    <row r="375" spans="9:19" ht="13">
      <c r="I375" s="164"/>
      <c r="S375" s="164"/>
    </row>
    <row r="376" spans="9:19" ht="13">
      <c r="I376" s="164"/>
      <c r="S376" s="164"/>
    </row>
    <row r="377" spans="9:19" ht="13">
      <c r="I377" s="164"/>
      <c r="S377" s="164"/>
    </row>
    <row r="378" spans="9:19" ht="13">
      <c r="I378" s="164"/>
      <c r="S378" s="164"/>
    </row>
    <row r="379" spans="9:19" ht="13">
      <c r="I379" s="164"/>
      <c r="S379" s="164"/>
    </row>
    <row r="380" spans="9:19" ht="13">
      <c r="I380" s="164"/>
      <c r="S380" s="164"/>
    </row>
    <row r="381" spans="9:19" ht="13">
      <c r="I381" s="164"/>
      <c r="S381" s="164"/>
    </row>
    <row r="382" spans="9:19" ht="13">
      <c r="I382" s="164"/>
      <c r="S382" s="164"/>
    </row>
    <row r="383" spans="9:19" ht="13">
      <c r="I383" s="164"/>
      <c r="S383" s="164"/>
    </row>
    <row r="384" spans="9:19" ht="13">
      <c r="I384" s="164"/>
      <c r="S384" s="164"/>
    </row>
    <row r="385" spans="9:19" ht="13">
      <c r="I385" s="164"/>
      <c r="S385" s="164"/>
    </row>
    <row r="386" spans="9:19" ht="13">
      <c r="I386" s="164"/>
      <c r="S386" s="164"/>
    </row>
    <row r="387" spans="9:19" ht="13">
      <c r="I387" s="164"/>
      <c r="S387" s="164"/>
    </row>
    <row r="388" spans="9:19" ht="13">
      <c r="I388" s="164"/>
      <c r="S388" s="164"/>
    </row>
    <row r="389" spans="9:19" ht="13">
      <c r="I389" s="164"/>
      <c r="S389" s="164"/>
    </row>
    <row r="390" spans="9:19" ht="13">
      <c r="I390" s="164"/>
      <c r="S390" s="164"/>
    </row>
    <row r="391" spans="9:19" ht="13">
      <c r="I391" s="164"/>
      <c r="S391" s="164"/>
    </row>
    <row r="392" spans="9:19" ht="13">
      <c r="I392" s="164"/>
      <c r="S392" s="164"/>
    </row>
    <row r="393" spans="9:19" ht="13">
      <c r="I393" s="164"/>
      <c r="S393" s="164"/>
    </row>
    <row r="394" spans="9:19" ht="13">
      <c r="I394" s="164"/>
      <c r="S394" s="164"/>
    </row>
    <row r="395" spans="9:19" ht="13">
      <c r="I395" s="164"/>
      <c r="S395" s="164"/>
    </row>
    <row r="396" spans="9:19" ht="13">
      <c r="I396" s="164"/>
      <c r="S396" s="164"/>
    </row>
    <row r="397" spans="9:19" ht="13">
      <c r="I397" s="164"/>
      <c r="S397" s="164"/>
    </row>
    <row r="398" spans="9:19" ht="13">
      <c r="I398" s="164"/>
      <c r="S398" s="164"/>
    </row>
    <row r="399" spans="9:19" ht="13">
      <c r="I399" s="164"/>
      <c r="S399" s="164"/>
    </row>
    <row r="400" spans="9:19" ht="13">
      <c r="I400" s="164"/>
      <c r="S400" s="164"/>
    </row>
    <row r="401" spans="9:19" ht="13">
      <c r="I401" s="164"/>
      <c r="S401" s="164"/>
    </row>
    <row r="402" spans="9:19" ht="13">
      <c r="I402" s="164"/>
      <c r="S402" s="164"/>
    </row>
    <row r="403" spans="9:19" ht="13">
      <c r="I403" s="164"/>
      <c r="S403" s="164"/>
    </row>
    <row r="404" spans="9:19" ht="13">
      <c r="I404" s="164"/>
      <c r="S404" s="164"/>
    </row>
    <row r="405" spans="9:19" ht="13">
      <c r="I405" s="164"/>
      <c r="S405" s="164"/>
    </row>
    <row r="406" spans="9:19" ht="13">
      <c r="I406" s="164"/>
      <c r="S406" s="164"/>
    </row>
    <row r="407" spans="9:19" ht="13">
      <c r="I407" s="164"/>
      <c r="S407" s="164"/>
    </row>
    <row r="408" spans="9:19" ht="13">
      <c r="I408" s="164"/>
      <c r="S408" s="164"/>
    </row>
    <row r="409" spans="9:19" ht="13">
      <c r="I409" s="164"/>
      <c r="S409" s="164"/>
    </row>
    <row r="410" spans="9:19" ht="13">
      <c r="I410" s="164"/>
      <c r="S410" s="164"/>
    </row>
    <row r="411" spans="9:19" ht="13">
      <c r="I411" s="164"/>
      <c r="S411" s="164"/>
    </row>
    <row r="412" spans="9:19" ht="13">
      <c r="I412" s="164"/>
      <c r="S412" s="164"/>
    </row>
    <row r="413" spans="9:19" ht="13">
      <c r="I413" s="164"/>
      <c r="S413" s="164"/>
    </row>
    <row r="414" spans="9:19" ht="13">
      <c r="I414" s="164"/>
      <c r="S414" s="164"/>
    </row>
    <row r="415" spans="9:19" ht="13">
      <c r="I415" s="164"/>
      <c r="S415" s="164"/>
    </row>
    <row r="416" spans="9:19" ht="13">
      <c r="I416" s="164"/>
      <c r="S416" s="164"/>
    </row>
    <row r="417" spans="9:19" ht="13">
      <c r="I417" s="164"/>
      <c r="S417" s="164"/>
    </row>
    <row r="418" spans="9:19" ht="13">
      <c r="I418" s="164"/>
      <c r="S418" s="164"/>
    </row>
    <row r="419" spans="9:19" ht="13">
      <c r="I419" s="164"/>
      <c r="S419" s="164"/>
    </row>
    <row r="420" spans="9:19" ht="13">
      <c r="I420" s="164"/>
      <c r="S420" s="164"/>
    </row>
    <row r="421" spans="9:19" ht="13">
      <c r="I421" s="164"/>
      <c r="S421" s="164"/>
    </row>
    <row r="422" spans="9:19" ht="13">
      <c r="I422" s="164"/>
      <c r="S422" s="164"/>
    </row>
    <row r="423" spans="9:19" ht="13">
      <c r="I423" s="164"/>
      <c r="S423" s="164"/>
    </row>
    <row r="424" spans="9:19" ht="13">
      <c r="I424" s="164"/>
      <c r="S424" s="164"/>
    </row>
    <row r="425" spans="9:19" ht="13">
      <c r="I425" s="164"/>
      <c r="S425" s="164"/>
    </row>
    <row r="426" spans="9:19" ht="13">
      <c r="I426" s="164"/>
      <c r="S426" s="164"/>
    </row>
    <row r="427" spans="9:19" ht="13">
      <c r="I427" s="164"/>
      <c r="S427" s="164"/>
    </row>
    <row r="428" spans="9:19" ht="13">
      <c r="I428" s="164"/>
      <c r="S428" s="164"/>
    </row>
    <row r="429" spans="9:19" ht="13">
      <c r="I429" s="164"/>
      <c r="S429" s="164"/>
    </row>
    <row r="430" spans="9:19" ht="13">
      <c r="I430" s="164"/>
      <c r="S430" s="164"/>
    </row>
    <row r="431" spans="9:19" ht="13">
      <c r="I431" s="164"/>
      <c r="S431" s="164"/>
    </row>
    <row r="432" spans="9:19" ht="13">
      <c r="I432" s="164"/>
      <c r="S432" s="164"/>
    </row>
    <row r="433" spans="9:19" ht="13">
      <c r="I433" s="164"/>
      <c r="S433" s="164"/>
    </row>
    <row r="434" spans="9:19" ht="13">
      <c r="I434" s="164"/>
      <c r="S434" s="164"/>
    </row>
    <row r="435" spans="9:19" ht="13">
      <c r="I435" s="164"/>
      <c r="S435" s="164"/>
    </row>
    <row r="436" spans="9:19" ht="13">
      <c r="I436" s="164"/>
      <c r="S436" s="164"/>
    </row>
    <row r="437" spans="9:19" ht="13">
      <c r="I437" s="164"/>
      <c r="S437" s="164"/>
    </row>
    <row r="438" spans="9:19" ht="13">
      <c r="I438" s="164"/>
      <c r="S438" s="164"/>
    </row>
    <row r="439" spans="9:19" ht="13">
      <c r="I439" s="164"/>
      <c r="S439" s="164"/>
    </row>
    <row r="440" spans="9:19" ht="13">
      <c r="I440" s="164"/>
      <c r="S440" s="164"/>
    </row>
    <row r="441" spans="9:19" ht="13">
      <c r="I441" s="164"/>
      <c r="S441" s="164"/>
    </row>
    <row r="442" spans="9:19" ht="13">
      <c r="I442" s="164"/>
      <c r="S442" s="164"/>
    </row>
    <row r="443" spans="9:19" ht="13">
      <c r="I443" s="164"/>
      <c r="S443" s="164"/>
    </row>
    <row r="444" spans="9:19" ht="13">
      <c r="I444" s="164"/>
      <c r="S444" s="164"/>
    </row>
    <row r="445" spans="9:19" ht="13">
      <c r="I445" s="164"/>
      <c r="S445" s="164"/>
    </row>
    <row r="446" spans="9:19" ht="13">
      <c r="I446" s="164"/>
      <c r="S446" s="164"/>
    </row>
    <row r="447" spans="9:19" ht="13">
      <c r="I447" s="164"/>
      <c r="S447" s="164"/>
    </row>
    <row r="448" spans="9:19" ht="13">
      <c r="I448" s="164"/>
      <c r="S448" s="164"/>
    </row>
    <row r="449" spans="9:19" ht="13">
      <c r="I449" s="164"/>
      <c r="S449" s="164"/>
    </row>
    <row r="450" spans="9:19" ht="13">
      <c r="I450" s="164"/>
      <c r="S450" s="164"/>
    </row>
    <row r="451" spans="9:19" ht="13">
      <c r="I451" s="164"/>
      <c r="S451" s="164"/>
    </row>
    <row r="452" spans="9:19" ht="13">
      <c r="I452" s="164"/>
      <c r="S452" s="164"/>
    </row>
    <row r="453" spans="9:19" ht="13">
      <c r="I453" s="164"/>
      <c r="S453" s="164"/>
    </row>
    <row r="454" spans="9:19" ht="13">
      <c r="I454" s="164"/>
      <c r="S454" s="164"/>
    </row>
    <row r="455" spans="9:19" ht="13">
      <c r="I455" s="164"/>
      <c r="S455" s="164"/>
    </row>
    <row r="456" spans="9:19" ht="13">
      <c r="I456" s="164"/>
      <c r="S456" s="164"/>
    </row>
    <row r="457" spans="9:19" ht="13">
      <c r="I457" s="164"/>
      <c r="S457" s="164"/>
    </row>
    <row r="458" spans="9:19" ht="13">
      <c r="I458" s="164"/>
      <c r="S458" s="164"/>
    </row>
    <row r="459" spans="9:19" ht="13">
      <c r="I459" s="164"/>
      <c r="S459" s="164"/>
    </row>
    <row r="460" spans="9:19" ht="13">
      <c r="I460" s="164"/>
      <c r="S460" s="164"/>
    </row>
    <row r="461" spans="9:19" ht="13">
      <c r="I461" s="164"/>
      <c r="S461" s="164"/>
    </row>
    <row r="462" spans="9:19" ht="13">
      <c r="I462" s="164"/>
      <c r="S462" s="164"/>
    </row>
    <row r="463" spans="9:19" ht="13">
      <c r="I463" s="164"/>
      <c r="S463" s="164"/>
    </row>
    <row r="464" spans="9:19" ht="13">
      <c r="I464" s="164"/>
      <c r="S464" s="164"/>
    </row>
    <row r="465" spans="9:19" ht="13">
      <c r="I465" s="164"/>
      <c r="S465" s="164"/>
    </row>
    <row r="466" spans="9:19" ht="13">
      <c r="I466" s="164"/>
      <c r="S466" s="164"/>
    </row>
    <row r="467" spans="9:19" ht="13">
      <c r="I467" s="164"/>
      <c r="S467" s="164"/>
    </row>
    <row r="468" spans="9:19" ht="13">
      <c r="I468" s="164"/>
      <c r="S468" s="164"/>
    </row>
    <row r="469" spans="9:19" ht="13">
      <c r="I469" s="164"/>
      <c r="S469" s="164"/>
    </row>
    <row r="470" spans="9:19" ht="13">
      <c r="I470" s="164"/>
      <c r="S470" s="164"/>
    </row>
    <row r="471" spans="9:19" ht="13">
      <c r="I471" s="164"/>
      <c r="S471" s="164"/>
    </row>
    <row r="472" spans="9:19" ht="13">
      <c r="I472" s="164"/>
      <c r="S472" s="164"/>
    </row>
    <row r="473" spans="9:19" ht="13">
      <c r="I473" s="164"/>
      <c r="S473" s="164"/>
    </row>
    <row r="474" spans="9:19" ht="13">
      <c r="I474" s="164"/>
      <c r="S474" s="164"/>
    </row>
    <row r="475" spans="9:19" ht="13">
      <c r="I475" s="164"/>
      <c r="S475" s="164"/>
    </row>
    <row r="476" spans="9:19" ht="13">
      <c r="I476" s="164"/>
      <c r="S476" s="164"/>
    </row>
    <row r="477" spans="9:19" ht="13">
      <c r="I477" s="164"/>
      <c r="S477" s="164"/>
    </row>
    <row r="478" spans="9:19" ht="13">
      <c r="I478" s="164"/>
      <c r="S478" s="164"/>
    </row>
    <row r="479" spans="9:19" ht="13">
      <c r="I479" s="164"/>
      <c r="S479" s="164"/>
    </row>
    <row r="480" spans="9:19" ht="13">
      <c r="I480" s="164"/>
      <c r="S480" s="164"/>
    </row>
    <row r="481" spans="9:19" ht="13">
      <c r="I481" s="164"/>
      <c r="S481" s="164"/>
    </row>
    <row r="482" spans="9:19" ht="13">
      <c r="I482" s="164"/>
      <c r="S482" s="164"/>
    </row>
    <row r="483" spans="9:19" ht="13">
      <c r="I483" s="164"/>
      <c r="S483" s="164"/>
    </row>
    <row r="484" spans="9:19" ht="13">
      <c r="I484" s="164"/>
      <c r="S484" s="164"/>
    </row>
    <row r="485" spans="9:19" ht="13">
      <c r="I485" s="164"/>
      <c r="S485" s="164"/>
    </row>
    <row r="486" spans="9:19" ht="13">
      <c r="I486" s="164"/>
      <c r="S486" s="164"/>
    </row>
    <row r="487" spans="9:19" ht="13">
      <c r="I487" s="164"/>
      <c r="S487" s="164"/>
    </row>
    <row r="488" spans="9:19" ht="13">
      <c r="I488" s="164"/>
      <c r="S488" s="164"/>
    </row>
    <row r="489" spans="9:19" ht="13">
      <c r="I489" s="164"/>
      <c r="S489" s="164"/>
    </row>
    <row r="490" spans="9:19" ht="13">
      <c r="I490" s="164"/>
      <c r="S490" s="164"/>
    </row>
    <row r="491" spans="9:19" ht="13">
      <c r="I491" s="164"/>
      <c r="S491" s="164"/>
    </row>
    <row r="492" spans="9:19" ht="13">
      <c r="I492" s="164"/>
      <c r="S492" s="164"/>
    </row>
    <row r="493" spans="9:19" ht="13">
      <c r="I493" s="164"/>
      <c r="S493" s="164"/>
    </row>
    <row r="494" spans="9:19" ht="13">
      <c r="I494" s="164"/>
      <c r="S494" s="164"/>
    </row>
    <row r="495" spans="9:19" ht="13">
      <c r="I495" s="164"/>
      <c r="S495" s="164"/>
    </row>
    <row r="496" spans="9:19" ht="13">
      <c r="I496" s="164"/>
      <c r="S496" s="164"/>
    </row>
    <row r="497" spans="9:19" ht="13">
      <c r="I497" s="164"/>
      <c r="S497" s="164"/>
    </row>
    <row r="498" spans="9:19" ht="13">
      <c r="I498" s="164"/>
      <c r="S498" s="164"/>
    </row>
    <row r="499" spans="9:19" ht="13">
      <c r="I499" s="164"/>
      <c r="S499" s="164"/>
    </row>
    <row r="500" spans="9:19" ht="13">
      <c r="I500" s="164"/>
      <c r="S500" s="164"/>
    </row>
    <row r="501" spans="9:19" ht="13">
      <c r="I501" s="164"/>
      <c r="S501" s="164"/>
    </row>
    <row r="502" spans="9:19" ht="13">
      <c r="I502" s="164"/>
      <c r="S502" s="164"/>
    </row>
    <row r="503" spans="9:19" ht="13">
      <c r="I503" s="164"/>
      <c r="S503" s="164"/>
    </row>
    <row r="504" spans="9:19" ht="13">
      <c r="I504" s="164"/>
      <c r="S504" s="164"/>
    </row>
    <row r="505" spans="9:19" ht="13">
      <c r="I505" s="164"/>
      <c r="S505" s="164"/>
    </row>
    <row r="506" spans="9:19" ht="13">
      <c r="I506" s="164"/>
      <c r="S506" s="164"/>
    </row>
    <row r="507" spans="9:19" ht="13">
      <c r="I507" s="164"/>
      <c r="S507" s="164"/>
    </row>
    <row r="508" spans="9:19" ht="13">
      <c r="I508" s="164"/>
      <c r="S508" s="164"/>
    </row>
    <row r="509" spans="9:19" ht="13">
      <c r="I509" s="164"/>
      <c r="S509" s="164"/>
    </row>
    <row r="510" spans="9:19" ht="13">
      <c r="I510" s="164"/>
      <c r="S510" s="164"/>
    </row>
    <row r="511" spans="9:19" ht="13">
      <c r="I511" s="164"/>
      <c r="S511" s="164"/>
    </row>
    <row r="512" spans="9:19" ht="13">
      <c r="I512" s="164"/>
      <c r="S512" s="164"/>
    </row>
    <row r="513" spans="9:19" ht="13">
      <c r="I513" s="164"/>
      <c r="S513" s="164"/>
    </row>
    <row r="514" spans="9:19" ht="13">
      <c r="I514" s="164"/>
      <c r="S514" s="164"/>
    </row>
    <row r="515" spans="9:19" ht="13">
      <c r="I515" s="164"/>
      <c r="S515" s="164"/>
    </row>
    <row r="516" spans="9:19" ht="13">
      <c r="I516" s="164"/>
      <c r="S516" s="164"/>
    </row>
    <row r="517" spans="9:19" ht="13">
      <c r="I517" s="164"/>
      <c r="S517" s="164"/>
    </row>
    <row r="518" spans="9:19" ht="13">
      <c r="I518" s="164"/>
      <c r="S518" s="164"/>
    </row>
    <row r="519" spans="9:19" ht="13">
      <c r="I519" s="164"/>
      <c r="S519" s="164"/>
    </row>
    <row r="520" spans="9:19" ht="13">
      <c r="I520" s="164"/>
      <c r="S520" s="164"/>
    </row>
    <row r="521" spans="9:19" ht="13">
      <c r="I521" s="164"/>
      <c r="S521" s="164"/>
    </row>
    <row r="522" spans="9:19" ht="13">
      <c r="I522" s="164"/>
      <c r="S522" s="164"/>
    </row>
    <row r="523" spans="9:19" ht="13">
      <c r="I523" s="164"/>
      <c r="S523" s="164"/>
    </row>
    <row r="524" spans="9:19" ht="13">
      <c r="I524" s="164"/>
      <c r="S524" s="164"/>
    </row>
    <row r="525" spans="9:19" ht="13">
      <c r="I525" s="164"/>
      <c r="S525" s="164"/>
    </row>
    <row r="526" spans="9:19" ht="13">
      <c r="I526" s="164"/>
      <c r="S526" s="164"/>
    </row>
    <row r="527" spans="9:19" ht="13">
      <c r="I527" s="164"/>
      <c r="S527" s="164"/>
    </row>
    <row r="528" spans="9:19" ht="13">
      <c r="I528" s="164"/>
      <c r="S528" s="164"/>
    </row>
    <row r="529" spans="9:19" ht="13">
      <c r="I529" s="164"/>
      <c r="S529" s="164"/>
    </row>
    <row r="530" spans="9:19" ht="13">
      <c r="I530" s="164"/>
      <c r="S530" s="164"/>
    </row>
    <row r="531" spans="9:19" ht="13">
      <c r="I531" s="164"/>
      <c r="S531" s="164"/>
    </row>
    <row r="532" spans="9:19" ht="13">
      <c r="I532" s="164"/>
      <c r="S532" s="164"/>
    </row>
    <row r="533" spans="9:19" ht="13">
      <c r="I533" s="164"/>
      <c r="S533" s="164"/>
    </row>
    <row r="534" spans="9:19" ht="13">
      <c r="I534" s="164"/>
      <c r="S534" s="164"/>
    </row>
    <row r="535" spans="9:19" ht="13">
      <c r="I535" s="164"/>
      <c r="S535" s="164"/>
    </row>
    <row r="536" spans="9:19" ht="13">
      <c r="I536" s="164"/>
      <c r="S536" s="164"/>
    </row>
    <row r="537" spans="9:19" ht="13">
      <c r="I537" s="164"/>
      <c r="S537" s="164"/>
    </row>
    <row r="538" spans="9:19" ht="13">
      <c r="I538" s="164"/>
      <c r="S538" s="164"/>
    </row>
    <row r="539" spans="9:19" ht="13">
      <c r="I539" s="164"/>
      <c r="S539" s="164"/>
    </row>
    <row r="540" spans="9:19" ht="13">
      <c r="I540" s="164"/>
      <c r="S540" s="164"/>
    </row>
    <row r="541" spans="9:19" ht="13">
      <c r="I541" s="164"/>
      <c r="S541" s="164"/>
    </row>
    <row r="542" spans="9:19" ht="13">
      <c r="I542" s="164"/>
      <c r="S542" s="164"/>
    </row>
    <row r="543" spans="9:19" ht="13">
      <c r="I543" s="164"/>
      <c r="S543" s="164"/>
    </row>
    <row r="544" spans="9:19" ht="13">
      <c r="I544" s="164"/>
      <c r="S544" s="164"/>
    </row>
    <row r="545" spans="9:19" ht="13">
      <c r="I545" s="164"/>
      <c r="S545" s="164"/>
    </row>
    <row r="546" spans="9:19" ht="13">
      <c r="I546" s="164"/>
      <c r="S546" s="164"/>
    </row>
    <row r="547" spans="9:19" ht="13">
      <c r="I547" s="164"/>
      <c r="S547" s="164"/>
    </row>
    <row r="548" spans="9:19" ht="13">
      <c r="I548" s="164"/>
      <c r="S548" s="164"/>
    </row>
    <row r="549" spans="9:19" ht="13">
      <c r="I549" s="164"/>
      <c r="S549" s="164"/>
    </row>
    <row r="550" spans="9:19" ht="13">
      <c r="I550" s="164"/>
      <c r="S550" s="164"/>
    </row>
    <row r="551" spans="9:19" ht="13">
      <c r="I551" s="164"/>
      <c r="S551" s="164"/>
    </row>
    <row r="552" spans="9:19" ht="13">
      <c r="I552" s="164"/>
      <c r="S552" s="164"/>
    </row>
    <row r="553" spans="9:19" ht="13">
      <c r="I553" s="164"/>
      <c r="S553" s="164"/>
    </row>
    <row r="554" spans="9:19" ht="13">
      <c r="I554" s="164"/>
      <c r="S554" s="164"/>
    </row>
    <row r="555" spans="9:19" ht="13">
      <c r="I555" s="164"/>
      <c r="S555" s="164"/>
    </row>
    <row r="556" spans="9:19" ht="13">
      <c r="I556" s="164"/>
      <c r="S556" s="164"/>
    </row>
    <row r="557" spans="9:19" ht="13">
      <c r="I557" s="164"/>
      <c r="S557" s="164"/>
    </row>
    <row r="558" spans="9:19" ht="13">
      <c r="I558" s="164"/>
      <c r="S558" s="164"/>
    </row>
    <row r="559" spans="9:19" ht="13">
      <c r="I559" s="164"/>
      <c r="S559" s="164"/>
    </row>
    <row r="560" spans="9:19" ht="13">
      <c r="I560" s="164"/>
      <c r="S560" s="164"/>
    </row>
    <row r="561" spans="9:19" ht="13">
      <c r="I561" s="164"/>
      <c r="S561" s="164"/>
    </row>
    <row r="562" spans="9:19" ht="13">
      <c r="I562" s="164"/>
      <c r="S562" s="164"/>
    </row>
    <row r="563" spans="9:19" ht="13">
      <c r="I563" s="164"/>
      <c r="S563" s="164"/>
    </row>
    <row r="564" spans="9:19" ht="13">
      <c r="I564" s="164"/>
      <c r="S564" s="164"/>
    </row>
    <row r="565" spans="9:19" ht="13">
      <c r="I565" s="164"/>
      <c r="S565" s="164"/>
    </row>
    <row r="566" spans="9:19" ht="13">
      <c r="I566" s="164"/>
      <c r="S566" s="164"/>
    </row>
    <row r="567" spans="9:19" ht="13">
      <c r="I567" s="164"/>
      <c r="S567" s="164"/>
    </row>
    <row r="568" spans="9:19" ht="13">
      <c r="I568" s="164"/>
      <c r="S568" s="164"/>
    </row>
    <row r="569" spans="9:19" ht="13">
      <c r="I569" s="164"/>
      <c r="S569" s="164"/>
    </row>
    <row r="570" spans="9:19" ht="13">
      <c r="I570" s="164"/>
      <c r="S570" s="164"/>
    </row>
    <row r="571" spans="9:19" ht="13">
      <c r="I571" s="164"/>
      <c r="S571" s="164"/>
    </row>
    <row r="572" spans="9:19" ht="13">
      <c r="I572" s="164"/>
      <c r="S572" s="164"/>
    </row>
    <row r="573" spans="9:19" ht="13">
      <c r="I573" s="164"/>
      <c r="S573" s="164"/>
    </row>
    <row r="574" spans="9:19" ht="13">
      <c r="I574" s="164"/>
      <c r="S574" s="164"/>
    </row>
    <row r="575" spans="9:19" ht="13">
      <c r="I575" s="164"/>
      <c r="S575" s="164"/>
    </row>
    <row r="576" spans="9:19" ht="13">
      <c r="I576" s="164"/>
      <c r="S576" s="164"/>
    </row>
    <row r="577" spans="9:19" ht="13">
      <c r="I577" s="164"/>
      <c r="S577" s="164"/>
    </row>
    <row r="578" spans="9:19" ht="13">
      <c r="I578" s="164"/>
      <c r="S578" s="164"/>
    </row>
    <row r="579" spans="9:19" ht="13">
      <c r="I579" s="164"/>
      <c r="S579" s="164"/>
    </row>
    <row r="580" spans="9:19" ht="13">
      <c r="I580" s="164"/>
      <c r="S580" s="164"/>
    </row>
    <row r="581" spans="9:19" ht="13">
      <c r="I581" s="164"/>
      <c r="S581" s="164"/>
    </row>
    <row r="582" spans="9:19" ht="13">
      <c r="I582" s="164"/>
      <c r="S582" s="164"/>
    </row>
    <row r="583" spans="9:19" ht="13">
      <c r="I583" s="164"/>
      <c r="S583" s="164"/>
    </row>
    <row r="584" spans="9:19" ht="13">
      <c r="I584" s="164"/>
      <c r="S584" s="164"/>
    </row>
    <row r="585" spans="9:19" ht="13">
      <c r="I585" s="164"/>
      <c r="S585" s="164"/>
    </row>
    <row r="586" spans="9:19" ht="13">
      <c r="I586" s="164"/>
      <c r="S586" s="164"/>
    </row>
    <row r="587" spans="9:19" ht="13">
      <c r="I587" s="164"/>
      <c r="S587" s="164"/>
    </row>
    <row r="588" spans="9:19" ht="13">
      <c r="I588" s="164"/>
      <c r="S588" s="164"/>
    </row>
    <row r="589" spans="9:19" ht="13">
      <c r="I589" s="164"/>
      <c r="S589" s="164"/>
    </row>
    <row r="590" spans="9:19" ht="13">
      <c r="I590" s="164"/>
      <c r="S590" s="164"/>
    </row>
    <row r="591" spans="9:19" ht="13">
      <c r="I591" s="164"/>
      <c r="S591" s="164"/>
    </row>
    <row r="592" spans="9:19" ht="13">
      <c r="I592" s="164"/>
      <c r="S592" s="164"/>
    </row>
    <row r="593" spans="9:19" ht="13">
      <c r="I593" s="164"/>
      <c r="S593" s="164"/>
    </row>
    <row r="594" spans="9:19" ht="13">
      <c r="I594" s="164"/>
      <c r="S594" s="164"/>
    </row>
    <row r="595" spans="9:19" ht="13">
      <c r="I595" s="164"/>
      <c r="S595" s="164"/>
    </row>
    <row r="596" spans="9:19" ht="13">
      <c r="I596" s="164"/>
      <c r="S596" s="164"/>
    </row>
    <row r="597" spans="9:19" ht="13">
      <c r="I597" s="164"/>
      <c r="S597" s="164"/>
    </row>
    <row r="598" spans="9:19" ht="13">
      <c r="I598" s="164"/>
      <c r="S598" s="164"/>
    </row>
    <row r="599" spans="9:19" ht="13">
      <c r="I599" s="164"/>
      <c r="S599" s="164"/>
    </row>
    <row r="600" spans="9:19" ht="13">
      <c r="I600" s="164"/>
      <c r="S600" s="164"/>
    </row>
    <row r="601" spans="9:19" ht="13">
      <c r="I601" s="164"/>
      <c r="S601" s="164"/>
    </row>
    <row r="602" spans="9:19" ht="13">
      <c r="I602" s="164"/>
      <c r="S602" s="164"/>
    </row>
    <row r="603" spans="9:19" ht="13">
      <c r="I603" s="164"/>
      <c r="S603" s="164"/>
    </row>
    <row r="604" spans="9:19" ht="13">
      <c r="I604" s="164"/>
      <c r="S604" s="164"/>
    </row>
    <row r="605" spans="9:19" ht="13">
      <c r="I605" s="164"/>
      <c r="S605" s="164"/>
    </row>
    <row r="606" spans="9:19" ht="13">
      <c r="I606" s="164"/>
      <c r="S606" s="164"/>
    </row>
    <row r="607" spans="9:19" ht="13">
      <c r="I607" s="164"/>
      <c r="S607" s="164"/>
    </row>
    <row r="608" spans="9:19" ht="13">
      <c r="I608" s="164"/>
      <c r="S608" s="164"/>
    </row>
    <row r="609" spans="9:19" ht="13">
      <c r="I609" s="164"/>
      <c r="S609" s="164"/>
    </row>
    <row r="610" spans="9:19" ht="13">
      <c r="I610" s="164"/>
      <c r="S610" s="164"/>
    </row>
    <row r="611" spans="9:19" ht="13">
      <c r="I611" s="164"/>
      <c r="S611" s="164"/>
    </row>
    <row r="612" spans="9:19" ht="13">
      <c r="I612" s="164"/>
      <c r="S612" s="164"/>
    </row>
    <row r="613" spans="9:19" ht="13">
      <c r="I613" s="164"/>
      <c r="S613" s="164"/>
    </row>
    <row r="614" spans="9:19" ht="13">
      <c r="I614" s="164"/>
      <c r="S614" s="164"/>
    </row>
    <row r="615" spans="9:19" ht="13">
      <c r="I615" s="164"/>
      <c r="S615" s="164"/>
    </row>
    <row r="616" spans="9:19" ht="13">
      <c r="I616" s="164"/>
      <c r="S616" s="164"/>
    </row>
    <row r="617" spans="9:19" ht="13">
      <c r="I617" s="164"/>
      <c r="S617" s="164"/>
    </row>
    <row r="618" spans="9:19" ht="13">
      <c r="I618" s="164"/>
      <c r="S618" s="164"/>
    </row>
    <row r="619" spans="9:19" ht="13">
      <c r="I619" s="164"/>
      <c r="S619" s="164"/>
    </row>
    <row r="620" spans="9:19" ht="13">
      <c r="I620" s="164"/>
      <c r="S620" s="164"/>
    </row>
    <row r="621" spans="9:19" ht="13">
      <c r="I621" s="164"/>
      <c r="S621" s="164"/>
    </row>
    <row r="622" spans="9:19" ht="13">
      <c r="I622" s="164"/>
      <c r="S622" s="164"/>
    </row>
    <row r="623" spans="9:19" ht="13">
      <c r="I623" s="164"/>
      <c r="S623" s="164"/>
    </row>
    <row r="624" spans="9:19" ht="13">
      <c r="I624" s="164"/>
      <c r="S624" s="164"/>
    </row>
    <row r="625" spans="9:19" ht="13">
      <c r="I625" s="164"/>
      <c r="S625" s="164"/>
    </row>
    <row r="626" spans="9:19" ht="13">
      <c r="I626" s="164"/>
      <c r="S626" s="164"/>
    </row>
    <row r="627" spans="9:19" ht="13">
      <c r="I627" s="164"/>
      <c r="S627" s="164"/>
    </row>
    <row r="628" spans="9:19" ht="13">
      <c r="I628" s="164"/>
      <c r="S628" s="164"/>
    </row>
    <row r="629" spans="9:19" ht="13">
      <c r="I629" s="164"/>
      <c r="S629" s="164"/>
    </row>
    <row r="630" spans="9:19" ht="13">
      <c r="I630" s="164"/>
      <c r="S630" s="164"/>
    </row>
    <row r="631" spans="9:19" ht="13">
      <c r="I631" s="164"/>
      <c r="S631" s="164"/>
    </row>
    <row r="632" spans="9:19" ht="13">
      <c r="I632" s="164"/>
      <c r="S632" s="164"/>
    </row>
    <row r="633" spans="9:19" ht="13">
      <c r="I633" s="164"/>
      <c r="S633" s="164"/>
    </row>
    <row r="634" spans="9:19" ht="13">
      <c r="I634" s="164"/>
      <c r="S634" s="164"/>
    </row>
    <row r="635" spans="9:19" ht="13">
      <c r="I635" s="164"/>
      <c r="S635" s="164"/>
    </row>
    <row r="636" spans="9:19" ht="13">
      <c r="I636" s="164"/>
      <c r="S636" s="164"/>
    </row>
    <row r="637" spans="9:19" ht="13">
      <c r="I637" s="164"/>
      <c r="S637" s="164"/>
    </row>
    <row r="638" spans="9:19" ht="13">
      <c r="I638" s="164"/>
      <c r="S638" s="164"/>
    </row>
    <row r="639" spans="9:19" ht="13">
      <c r="I639" s="164"/>
      <c r="S639" s="164"/>
    </row>
    <row r="640" spans="9:19" ht="13">
      <c r="I640" s="164"/>
      <c r="S640" s="164"/>
    </row>
    <row r="641" spans="9:19" ht="13">
      <c r="I641" s="164"/>
      <c r="S641" s="164"/>
    </row>
    <row r="642" spans="9:19" ht="13">
      <c r="I642" s="164"/>
      <c r="S642" s="164"/>
    </row>
    <row r="643" spans="9:19" ht="13">
      <c r="I643" s="164"/>
      <c r="S643" s="164"/>
    </row>
    <row r="644" spans="9:19" ht="13">
      <c r="I644" s="164"/>
      <c r="S644" s="164"/>
    </row>
    <row r="645" spans="9:19" ht="13">
      <c r="I645" s="164"/>
      <c r="S645" s="164"/>
    </row>
    <row r="646" spans="9:19" ht="13">
      <c r="I646" s="164"/>
      <c r="S646" s="164"/>
    </row>
    <row r="647" spans="9:19" ht="13">
      <c r="I647" s="164"/>
      <c r="S647" s="164"/>
    </row>
    <row r="648" spans="9:19" ht="13">
      <c r="I648" s="164"/>
      <c r="S648" s="164"/>
    </row>
    <row r="649" spans="9:19" ht="13">
      <c r="I649" s="164"/>
      <c r="S649" s="164"/>
    </row>
    <row r="650" spans="9:19" ht="13">
      <c r="I650" s="164"/>
      <c r="S650" s="164"/>
    </row>
    <row r="651" spans="9:19" ht="13">
      <c r="I651" s="164"/>
      <c r="S651" s="164"/>
    </row>
    <row r="652" spans="9:19" ht="13">
      <c r="I652" s="164"/>
      <c r="S652" s="164"/>
    </row>
    <row r="653" spans="9:19" ht="13">
      <c r="I653" s="164"/>
      <c r="S653" s="164"/>
    </row>
    <row r="654" spans="9:19" ht="13">
      <c r="I654" s="164"/>
      <c r="S654" s="164"/>
    </row>
    <row r="655" spans="9:19" ht="13">
      <c r="I655" s="164"/>
      <c r="S655" s="164"/>
    </row>
    <row r="656" spans="9:19" ht="13">
      <c r="I656" s="164"/>
      <c r="S656" s="164"/>
    </row>
    <row r="657" spans="9:19" ht="13">
      <c r="I657" s="164"/>
      <c r="S657" s="164"/>
    </row>
    <row r="658" spans="9:19" ht="13">
      <c r="I658" s="164"/>
      <c r="S658" s="164"/>
    </row>
    <row r="659" spans="9:19" ht="13">
      <c r="I659" s="164"/>
      <c r="S659" s="164"/>
    </row>
    <row r="660" spans="9:19" ht="13">
      <c r="I660" s="164"/>
      <c r="S660" s="164"/>
    </row>
    <row r="661" spans="9:19" ht="13">
      <c r="I661" s="164"/>
      <c r="S661" s="164"/>
    </row>
    <row r="662" spans="9:19" ht="13">
      <c r="I662" s="164"/>
      <c r="S662" s="164"/>
    </row>
    <row r="663" spans="9:19" ht="13">
      <c r="I663" s="164"/>
      <c r="S663" s="164"/>
    </row>
    <row r="664" spans="9:19" ht="13">
      <c r="I664" s="164"/>
      <c r="S664" s="164"/>
    </row>
    <row r="665" spans="9:19" ht="13">
      <c r="I665" s="164"/>
      <c r="S665" s="164"/>
    </row>
    <row r="666" spans="9:19" ht="13">
      <c r="I666" s="164"/>
      <c r="S666" s="164"/>
    </row>
    <row r="667" spans="9:19" ht="13">
      <c r="I667" s="164"/>
      <c r="S667" s="164"/>
    </row>
    <row r="668" spans="9:19" ht="13">
      <c r="I668" s="164"/>
      <c r="S668" s="164"/>
    </row>
    <row r="669" spans="9:19" ht="13">
      <c r="I669" s="164"/>
      <c r="S669" s="164"/>
    </row>
    <row r="670" spans="9:19" ht="13">
      <c r="I670" s="164"/>
      <c r="S670" s="164"/>
    </row>
    <row r="671" spans="9:19" ht="13">
      <c r="I671" s="164"/>
      <c r="S671" s="164"/>
    </row>
    <row r="672" spans="9:19" ht="13">
      <c r="I672" s="164"/>
      <c r="S672" s="164"/>
    </row>
    <row r="673" spans="9:19" ht="13">
      <c r="I673" s="164"/>
      <c r="S673" s="164"/>
    </row>
    <row r="674" spans="9:19" ht="13">
      <c r="I674" s="164"/>
      <c r="S674" s="164"/>
    </row>
    <row r="675" spans="9:19" ht="13">
      <c r="I675" s="164"/>
      <c r="S675" s="164"/>
    </row>
    <row r="676" spans="9:19" ht="13">
      <c r="I676" s="164"/>
      <c r="S676" s="164"/>
    </row>
    <row r="677" spans="9:19" ht="13">
      <c r="I677" s="164"/>
      <c r="S677" s="164"/>
    </row>
    <row r="678" spans="9:19" ht="13">
      <c r="I678" s="164"/>
      <c r="S678" s="164"/>
    </row>
    <row r="679" spans="9:19" ht="13">
      <c r="I679" s="164"/>
      <c r="S679" s="164"/>
    </row>
    <row r="680" spans="9:19" ht="13">
      <c r="I680" s="164"/>
      <c r="S680" s="164"/>
    </row>
    <row r="681" spans="9:19" ht="13">
      <c r="I681" s="164"/>
      <c r="S681" s="164"/>
    </row>
    <row r="682" spans="9:19" ht="13">
      <c r="I682" s="164"/>
      <c r="S682" s="164"/>
    </row>
    <row r="683" spans="9:19" ht="13">
      <c r="I683" s="164"/>
      <c r="S683" s="164"/>
    </row>
    <row r="684" spans="9:19" ht="13">
      <c r="I684" s="164"/>
      <c r="S684" s="164"/>
    </row>
    <row r="685" spans="9:19" ht="13">
      <c r="I685" s="164"/>
      <c r="S685" s="164"/>
    </row>
    <row r="686" spans="9:19" ht="13">
      <c r="I686" s="164"/>
      <c r="S686" s="164"/>
    </row>
    <row r="687" spans="9:19" ht="13">
      <c r="I687" s="164"/>
      <c r="S687" s="164"/>
    </row>
    <row r="688" spans="9:19" ht="13">
      <c r="I688" s="164"/>
      <c r="S688" s="164"/>
    </row>
    <row r="689" spans="9:19" ht="13">
      <c r="I689" s="164"/>
      <c r="S689" s="164"/>
    </row>
    <row r="690" spans="9:19" ht="13">
      <c r="I690" s="164"/>
      <c r="S690" s="164"/>
    </row>
    <row r="691" spans="9:19" ht="13">
      <c r="I691" s="164"/>
      <c r="S691" s="164"/>
    </row>
    <row r="692" spans="9:19" ht="13">
      <c r="I692" s="164"/>
      <c r="S692" s="164"/>
    </row>
    <row r="693" spans="9:19" ht="13">
      <c r="I693" s="164"/>
      <c r="S693" s="164"/>
    </row>
    <row r="694" spans="9:19" ht="13">
      <c r="I694" s="164"/>
      <c r="S694" s="164"/>
    </row>
    <row r="695" spans="9:19" ht="13">
      <c r="I695" s="164"/>
      <c r="S695" s="164"/>
    </row>
    <row r="696" spans="9:19" ht="13">
      <c r="I696" s="164"/>
      <c r="S696" s="164"/>
    </row>
    <row r="697" spans="9:19" ht="13">
      <c r="I697" s="164"/>
      <c r="S697" s="164"/>
    </row>
    <row r="698" spans="9:19" ht="13">
      <c r="I698" s="164"/>
      <c r="S698" s="164"/>
    </row>
    <row r="699" spans="9:19" ht="13">
      <c r="I699" s="164"/>
      <c r="S699" s="164"/>
    </row>
    <row r="700" spans="9:19" ht="13">
      <c r="I700" s="164"/>
      <c r="S700" s="164"/>
    </row>
    <row r="701" spans="9:19" ht="13">
      <c r="I701" s="164"/>
      <c r="S701" s="164"/>
    </row>
    <row r="702" spans="9:19" ht="13">
      <c r="I702" s="164"/>
      <c r="S702" s="164"/>
    </row>
    <row r="703" spans="9:19" ht="13">
      <c r="I703" s="164"/>
      <c r="S703" s="164"/>
    </row>
    <row r="704" spans="9:19" ht="13">
      <c r="I704" s="164"/>
      <c r="S704" s="164"/>
    </row>
    <row r="705" spans="9:19" ht="13">
      <c r="I705" s="164"/>
      <c r="S705" s="164"/>
    </row>
    <row r="706" spans="9:19" ht="13">
      <c r="I706" s="164"/>
      <c r="S706" s="164"/>
    </row>
    <row r="707" spans="9:19" ht="13">
      <c r="I707" s="164"/>
      <c r="S707" s="164"/>
    </row>
    <row r="708" spans="9:19" ht="13">
      <c r="I708" s="164"/>
      <c r="S708" s="164"/>
    </row>
    <row r="709" spans="9:19" ht="13">
      <c r="I709" s="164"/>
      <c r="S709" s="164"/>
    </row>
    <row r="710" spans="9:19" ht="13">
      <c r="I710" s="164"/>
      <c r="S710" s="164"/>
    </row>
    <row r="711" spans="9:19" ht="13">
      <c r="I711" s="164"/>
      <c r="S711" s="164"/>
    </row>
    <row r="712" spans="9:19" ht="13">
      <c r="I712" s="164"/>
      <c r="S712" s="164"/>
    </row>
    <row r="713" spans="9:19" ht="13">
      <c r="I713" s="164"/>
      <c r="S713" s="164"/>
    </row>
    <row r="714" spans="9:19" ht="13">
      <c r="I714" s="164"/>
      <c r="S714" s="164"/>
    </row>
    <row r="715" spans="9:19" ht="13">
      <c r="I715" s="164"/>
      <c r="S715" s="164"/>
    </row>
    <row r="716" spans="9:19" ht="13">
      <c r="I716" s="164"/>
      <c r="S716" s="164"/>
    </row>
    <row r="717" spans="9:19" ht="13">
      <c r="I717" s="164"/>
      <c r="S717" s="164"/>
    </row>
    <row r="718" spans="9:19" ht="13">
      <c r="I718" s="164"/>
      <c r="S718" s="164"/>
    </row>
    <row r="719" spans="9:19" ht="13">
      <c r="I719" s="164"/>
      <c r="S719" s="164"/>
    </row>
    <row r="720" spans="9:19" ht="13">
      <c r="I720" s="164"/>
      <c r="S720" s="164"/>
    </row>
    <row r="721" spans="9:19" ht="13">
      <c r="I721" s="164"/>
      <c r="S721" s="164"/>
    </row>
    <row r="722" spans="9:19" ht="13">
      <c r="I722" s="164"/>
      <c r="S722" s="164"/>
    </row>
    <row r="723" spans="9:19" ht="13">
      <c r="I723" s="164"/>
      <c r="S723" s="164"/>
    </row>
    <row r="724" spans="9:19" ht="13">
      <c r="I724" s="164"/>
      <c r="S724" s="164"/>
    </row>
    <row r="725" spans="9:19" ht="13">
      <c r="I725" s="164"/>
      <c r="S725" s="164"/>
    </row>
    <row r="726" spans="9:19" ht="13">
      <c r="I726" s="164"/>
      <c r="S726" s="164"/>
    </row>
    <row r="727" spans="9:19" ht="13">
      <c r="I727" s="164"/>
      <c r="S727" s="164"/>
    </row>
    <row r="728" spans="9:19" ht="13">
      <c r="I728" s="164"/>
      <c r="S728" s="164"/>
    </row>
    <row r="729" spans="9:19" ht="13">
      <c r="I729" s="164"/>
      <c r="S729" s="164"/>
    </row>
    <row r="730" spans="9:19" ht="13">
      <c r="I730" s="164"/>
      <c r="S730" s="164"/>
    </row>
    <row r="731" spans="9:19" ht="13">
      <c r="I731" s="164"/>
      <c r="S731" s="164"/>
    </row>
    <row r="732" spans="9:19" ht="13">
      <c r="I732" s="164"/>
      <c r="S732" s="164"/>
    </row>
    <row r="733" spans="9:19" ht="13">
      <c r="I733" s="164"/>
      <c r="S733" s="164"/>
    </row>
    <row r="734" spans="9:19" ht="13">
      <c r="I734" s="164"/>
      <c r="S734" s="164"/>
    </row>
    <row r="735" spans="9:19" ht="13">
      <c r="I735" s="164"/>
      <c r="S735" s="164"/>
    </row>
    <row r="736" spans="9:19" ht="13">
      <c r="I736" s="164"/>
      <c r="S736" s="164"/>
    </row>
    <row r="737" spans="9:19" ht="13">
      <c r="I737" s="164"/>
      <c r="S737" s="164"/>
    </row>
    <row r="738" spans="9:19" ht="13">
      <c r="I738" s="164"/>
      <c r="S738" s="164"/>
    </row>
    <row r="739" spans="9:19" ht="13">
      <c r="I739" s="164"/>
      <c r="S739" s="164"/>
    </row>
    <row r="740" spans="9:19" ht="13">
      <c r="I740" s="164"/>
      <c r="S740" s="164"/>
    </row>
    <row r="741" spans="9:19" ht="13">
      <c r="I741" s="164"/>
      <c r="S741" s="164"/>
    </row>
    <row r="742" spans="9:19" ht="13">
      <c r="I742" s="164"/>
      <c r="S742" s="164"/>
    </row>
    <row r="743" spans="9:19" ht="13">
      <c r="I743" s="164"/>
      <c r="S743" s="164"/>
    </row>
    <row r="744" spans="9:19" ht="13">
      <c r="I744" s="164"/>
      <c r="S744" s="164"/>
    </row>
    <row r="745" spans="9:19" ht="13">
      <c r="I745" s="164"/>
      <c r="S745" s="164"/>
    </row>
    <row r="746" spans="9:19" ht="13">
      <c r="I746" s="164"/>
      <c r="S746" s="164"/>
    </row>
    <row r="747" spans="9:19" ht="13">
      <c r="I747" s="164"/>
      <c r="S747" s="164"/>
    </row>
    <row r="748" spans="9:19" ht="13">
      <c r="I748" s="164"/>
      <c r="S748" s="164"/>
    </row>
    <row r="749" spans="9:19" ht="13">
      <c r="I749" s="164"/>
      <c r="S749" s="164"/>
    </row>
    <row r="750" spans="9:19" ht="13">
      <c r="I750" s="164"/>
      <c r="S750" s="164"/>
    </row>
    <row r="751" spans="9:19" ht="13">
      <c r="I751" s="164"/>
      <c r="S751" s="164"/>
    </row>
    <row r="752" spans="9:19" ht="13">
      <c r="I752" s="164"/>
      <c r="S752" s="164"/>
    </row>
    <row r="753" spans="9:19" ht="13">
      <c r="I753" s="164"/>
      <c r="S753" s="164"/>
    </row>
    <row r="754" spans="9:19" ht="13">
      <c r="I754" s="164"/>
      <c r="S754" s="164"/>
    </row>
    <row r="755" spans="9:19" ht="13">
      <c r="I755" s="164"/>
      <c r="S755" s="164"/>
    </row>
    <row r="756" spans="9:19" ht="13">
      <c r="I756" s="164"/>
      <c r="S756" s="164"/>
    </row>
    <row r="757" spans="9:19" ht="13">
      <c r="I757" s="164"/>
      <c r="S757" s="164"/>
    </row>
    <row r="758" spans="9:19" ht="13">
      <c r="I758" s="164"/>
      <c r="S758" s="164"/>
    </row>
    <row r="759" spans="9:19" ht="13">
      <c r="I759" s="164"/>
      <c r="S759" s="164"/>
    </row>
    <row r="760" spans="9:19" ht="13">
      <c r="I760" s="164"/>
      <c r="S760" s="164"/>
    </row>
    <row r="761" spans="9:19" ht="13">
      <c r="I761" s="164"/>
      <c r="S761" s="164"/>
    </row>
    <row r="762" spans="9:19" ht="13">
      <c r="I762" s="164"/>
      <c r="S762" s="164"/>
    </row>
    <row r="763" spans="9:19" ht="13">
      <c r="I763" s="164"/>
      <c r="S763" s="164"/>
    </row>
    <row r="764" spans="9:19" ht="13">
      <c r="I764" s="164"/>
      <c r="S764" s="164"/>
    </row>
    <row r="765" spans="9:19" ht="13">
      <c r="I765" s="164"/>
      <c r="S765" s="164"/>
    </row>
    <row r="766" spans="9:19" ht="13">
      <c r="I766" s="164"/>
      <c r="S766" s="164"/>
    </row>
    <row r="767" spans="9:19" ht="13">
      <c r="I767" s="164"/>
      <c r="S767" s="164"/>
    </row>
    <row r="768" spans="9:19" ht="13">
      <c r="I768" s="164"/>
      <c r="S768" s="164"/>
    </row>
    <row r="769" spans="9:19" ht="13">
      <c r="I769" s="164"/>
      <c r="S769" s="164"/>
    </row>
    <row r="770" spans="9:19" ht="13">
      <c r="I770" s="164"/>
      <c r="S770" s="164"/>
    </row>
    <row r="771" spans="9:19" ht="13">
      <c r="I771" s="164"/>
      <c r="S771" s="164"/>
    </row>
    <row r="772" spans="9:19" ht="13">
      <c r="I772" s="164"/>
      <c r="S772" s="164"/>
    </row>
    <row r="773" spans="9:19" ht="13">
      <c r="I773" s="164"/>
      <c r="S773" s="164"/>
    </row>
    <row r="774" spans="9:19" ht="13">
      <c r="I774" s="164"/>
      <c r="S774" s="164"/>
    </row>
    <row r="775" spans="9:19" ht="13">
      <c r="I775" s="164"/>
      <c r="S775" s="164"/>
    </row>
    <row r="776" spans="9:19" ht="13">
      <c r="I776" s="164"/>
      <c r="S776" s="164"/>
    </row>
    <row r="777" spans="9:19" ht="13">
      <c r="I777" s="164"/>
      <c r="S777" s="164"/>
    </row>
    <row r="778" spans="9:19" ht="13">
      <c r="I778" s="164"/>
      <c r="S778" s="164"/>
    </row>
    <row r="779" spans="9:19" ht="13">
      <c r="I779" s="164"/>
      <c r="S779" s="164"/>
    </row>
    <row r="780" spans="9:19" ht="13">
      <c r="I780" s="164"/>
      <c r="S780" s="164"/>
    </row>
    <row r="781" spans="9:19" ht="13">
      <c r="I781" s="164"/>
      <c r="S781" s="164"/>
    </row>
    <row r="782" spans="9:19" ht="13">
      <c r="I782" s="164"/>
      <c r="S782" s="164"/>
    </row>
    <row r="783" spans="9:19" ht="13">
      <c r="I783" s="164"/>
      <c r="S783" s="164"/>
    </row>
    <row r="784" spans="9:19" ht="13">
      <c r="I784" s="164"/>
      <c r="S784" s="164"/>
    </row>
    <row r="785" spans="9:19" ht="13">
      <c r="I785" s="164"/>
      <c r="S785" s="164"/>
    </row>
    <row r="786" spans="9:19" ht="13">
      <c r="I786" s="164"/>
      <c r="S786" s="164"/>
    </row>
    <row r="787" spans="9:19" ht="13">
      <c r="I787" s="164"/>
      <c r="S787" s="164"/>
    </row>
    <row r="788" spans="9:19" ht="13">
      <c r="I788" s="164"/>
      <c r="S788" s="164"/>
    </row>
    <row r="789" spans="9:19" ht="13">
      <c r="I789" s="164"/>
      <c r="S789" s="164"/>
    </row>
    <row r="790" spans="9:19" ht="13">
      <c r="I790" s="164"/>
      <c r="S790" s="164"/>
    </row>
    <row r="791" spans="9:19" ht="13">
      <c r="I791" s="164"/>
      <c r="S791" s="164"/>
    </row>
    <row r="792" spans="9:19" ht="13">
      <c r="I792" s="164"/>
      <c r="S792" s="164"/>
    </row>
    <row r="793" spans="9:19" ht="13">
      <c r="I793" s="164"/>
      <c r="S793" s="164"/>
    </row>
    <row r="794" spans="9:19" ht="13">
      <c r="I794" s="164"/>
      <c r="S794" s="164"/>
    </row>
    <row r="795" spans="9:19" ht="13">
      <c r="I795" s="164"/>
      <c r="S795" s="164"/>
    </row>
    <row r="796" spans="9:19" ht="13">
      <c r="I796" s="164"/>
      <c r="S796" s="164"/>
    </row>
    <row r="797" spans="9:19" ht="13">
      <c r="I797" s="164"/>
      <c r="S797" s="164"/>
    </row>
    <row r="798" spans="9:19" ht="13">
      <c r="I798" s="164"/>
      <c r="S798" s="164"/>
    </row>
    <row r="799" spans="9:19" ht="13">
      <c r="I799" s="164"/>
      <c r="S799" s="164"/>
    </row>
    <row r="800" spans="9:19" ht="13">
      <c r="I800" s="164"/>
      <c r="S800" s="164"/>
    </row>
    <row r="801" spans="9:19" ht="13">
      <c r="I801" s="164"/>
      <c r="S801" s="164"/>
    </row>
    <row r="802" spans="9:19" ht="13">
      <c r="I802" s="164"/>
      <c r="S802" s="164"/>
    </row>
    <row r="803" spans="9:19" ht="13">
      <c r="I803" s="164"/>
      <c r="S803" s="164"/>
    </row>
    <row r="804" spans="9:19" ht="13">
      <c r="I804" s="164"/>
      <c r="S804" s="164"/>
    </row>
    <row r="805" spans="9:19" ht="13">
      <c r="I805" s="164"/>
      <c r="S805" s="164"/>
    </row>
    <row r="806" spans="9:19" ht="13">
      <c r="I806" s="164"/>
      <c r="S806" s="164"/>
    </row>
    <row r="807" spans="9:19" ht="13">
      <c r="I807" s="164"/>
      <c r="S807" s="164"/>
    </row>
    <row r="808" spans="9:19" ht="13">
      <c r="I808" s="164"/>
      <c r="S808" s="164"/>
    </row>
    <row r="809" spans="9:19" ht="13">
      <c r="I809" s="164"/>
      <c r="S809" s="164"/>
    </row>
    <row r="810" spans="9:19" ht="13">
      <c r="I810" s="164"/>
      <c r="S810" s="164"/>
    </row>
    <row r="811" spans="9:19" ht="13">
      <c r="I811" s="164"/>
      <c r="S811" s="164"/>
    </row>
    <row r="812" spans="9:19" ht="13">
      <c r="I812" s="164"/>
      <c r="S812" s="164"/>
    </row>
    <row r="813" spans="9:19" ht="13">
      <c r="I813" s="164"/>
      <c r="S813" s="164"/>
    </row>
    <row r="814" spans="9:19" ht="13">
      <c r="I814" s="164"/>
      <c r="S814" s="164"/>
    </row>
    <row r="815" spans="9:19" ht="13">
      <c r="I815" s="164"/>
      <c r="S815" s="164"/>
    </row>
    <row r="816" spans="9:19" ht="13">
      <c r="I816" s="164"/>
      <c r="S816" s="164"/>
    </row>
    <row r="817" spans="9:19" ht="13">
      <c r="I817" s="164"/>
      <c r="S817" s="164"/>
    </row>
    <row r="818" spans="9:19" ht="13">
      <c r="I818" s="164"/>
      <c r="S818" s="164"/>
    </row>
    <row r="819" spans="9:19" ht="13">
      <c r="I819" s="164"/>
      <c r="S819" s="164"/>
    </row>
    <row r="820" spans="9:19" ht="13">
      <c r="I820" s="164"/>
      <c r="S820" s="164"/>
    </row>
    <row r="821" spans="9:19" ht="13">
      <c r="I821" s="164"/>
      <c r="S821" s="164"/>
    </row>
    <row r="822" spans="9:19" ht="13">
      <c r="I822" s="164"/>
      <c r="S822" s="164"/>
    </row>
    <row r="823" spans="9:19" ht="13">
      <c r="I823" s="164"/>
      <c r="S823" s="164"/>
    </row>
    <row r="824" spans="9:19" ht="13">
      <c r="I824" s="164"/>
      <c r="S824" s="164"/>
    </row>
    <row r="825" spans="9:19" ht="13">
      <c r="I825" s="164"/>
      <c r="S825" s="164"/>
    </row>
    <row r="826" spans="9:19" ht="13">
      <c r="I826" s="164"/>
      <c r="S826" s="164"/>
    </row>
    <row r="827" spans="9:19" ht="13">
      <c r="I827" s="164"/>
      <c r="S827" s="164"/>
    </row>
    <row r="828" spans="9:19" ht="13">
      <c r="I828" s="164"/>
      <c r="S828" s="164"/>
    </row>
    <row r="829" spans="9:19" ht="13">
      <c r="I829" s="164"/>
      <c r="S829" s="164"/>
    </row>
    <row r="830" spans="9:19" ht="13">
      <c r="I830" s="164"/>
      <c r="S830" s="164"/>
    </row>
    <row r="831" spans="9:19" ht="13">
      <c r="I831" s="164"/>
      <c r="S831" s="164"/>
    </row>
    <row r="832" spans="9:19" ht="13">
      <c r="I832" s="164"/>
      <c r="S832" s="164"/>
    </row>
    <row r="833" spans="9:19" ht="13">
      <c r="I833" s="164"/>
      <c r="S833" s="164"/>
    </row>
    <row r="834" spans="9:19" ht="13">
      <c r="I834" s="164"/>
      <c r="S834" s="164"/>
    </row>
    <row r="835" spans="9:19" ht="13">
      <c r="I835" s="164"/>
      <c r="S835" s="164"/>
    </row>
    <row r="836" spans="9:19" ht="13">
      <c r="I836" s="164"/>
      <c r="S836" s="164"/>
    </row>
    <row r="837" spans="9:19" ht="13">
      <c r="I837" s="164"/>
      <c r="S837" s="164"/>
    </row>
    <row r="838" spans="9:19" ht="13">
      <c r="I838" s="164"/>
      <c r="S838" s="164"/>
    </row>
    <row r="839" spans="9:19" ht="13">
      <c r="I839" s="164"/>
      <c r="S839" s="164"/>
    </row>
    <row r="840" spans="9:19" ht="13">
      <c r="I840" s="164"/>
      <c r="S840" s="164"/>
    </row>
    <row r="841" spans="9:19" ht="13">
      <c r="I841" s="164"/>
      <c r="S841" s="164"/>
    </row>
    <row r="842" spans="9:19" ht="13">
      <c r="I842" s="164"/>
      <c r="S842" s="164"/>
    </row>
    <row r="843" spans="9:19" ht="13">
      <c r="I843" s="164"/>
      <c r="S843" s="164"/>
    </row>
    <row r="844" spans="9:19" ht="13">
      <c r="I844" s="164"/>
      <c r="S844" s="164"/>
    </row>
    <row r="845" spans="9:19" ht="13">
      <c r="I845" s="164"/>
      <c r="S845" s="164"/>
    </row>
    <row r="846" spans="9:19" ht="13">
      <c r="I846" s="164"/>
      <c r="S846" s="164"/>
    </row>
    <row r="847" spans="9:19" ht="13">
      <c r="I847" s="164"/>
      <c r="S847" s="164"/>
    </row>
    <row r="848" spans="9:19" ht="13">
      <c r="I848" s="164"/>
      <c r="S848" s="164"/>
    </row>
    <row r="849" spans="9:19" ht="13">
      <c r="I849" s="164"/>
      <c r="S849" s="164"/>
    </row>
    <row r="850" spans="9:19" ht="13">
      <c r="I850" s="164"/>
      <c r="S850" s="164"/>
    </row>
    <row r="851" spans="9:19" ht="13">
      <c r="I851" s="164"/>
      <c r="S851" s="164"/>
    </row>
    <row r="852" spans="9:19" ht="13">
      <c r="I852" s="164"/>
      <c r="S852" s="164"/>
    </row>
    <row r="853" spans="9:19" ht="13">
      <c r="I853" s="164"/>
      <c r="S853" s="164"/>
    </row>
    <row r="854" spans="9:19" ht="13">
      <c r="I854" s="164"/>
      <c r="S854" s="164"/>
    </row>
    <row r="855" spans="9:19" ht="13">
      <c r="I855" s="164"/>
      <c r="S855" s="164"/>
    </row>
    <row r="856" spans="9:19" ht="13">
      <c r="I856" s="164"/>
      <c r="S856" s="164"/>
    </row>
    <row r="857" spans="9:19" ht="13">
      <c r="I857" s="164"/>
      <c r="S857" s="164"/>
    </row>
    <row r="858" spans="9:19" ht="13">
      <c r="I858" s="164"/>
      <c r="S858" s="164"/>
    </row>
    <row r="859" spans="9:19" ht="13">
      <c r="I859" s="164"/>
      <c r="S859" s="164"/>
    </row>
    <row r="860" spans="9:19" ht="13">
      <c r="I860" s="164"/>
      <c r="S860" s="164"/>
    </row>
    <row r="861" spans="9:19" ht="13">
      <c r="I861" s="164"/>
      <c r="S861" s="164"/>
    </row>
    <row r="862" spans="9:19" ht="13">
      <c r="I862" s="164"/>
      <c r="S862" s="164"/>
    </row>
    <row r="863" spans="9:19" ht="13">
      <c r="I863" s="164"/>
      <c r="S863" s="164"/>
    </row>
    <row r="864" spans="9:19" ht="13">
      <c r="I864" s="164"/>
      <c r="S864" s="164"/>
    </row>
    <row r="865" spans="9:19" ht="13">
      <c r="I865" s="164"/>
      <c r="S865" s="164"/>
    </row>
    <row r="866" spans="9:19" ht="13">
      <c r="I866" s="164"/>
      <c r="S866" s="164"/>
    </row>
    <row r="867" spans="9:19" ht="13">
      <c r="I867" s="164"/>
      <c r="S867" s="164"/>
    </row>
    <row r="868" spans="9:19" ht="13">
      <c r="I868" s="164"/>
      <c r="S868" s="164"/>
    </row>
    <row r="869" spans="9:19" ht="13">
      <c r="I869" s="164"/>
      <c r="S869" s="164"/>
    </row>
    <row r="870" spans="9:19" ht="13">
      <c r="I870" s="164"/>
      <c r="S870" s="164"/>
    </row>
    <row r="871" spans="9:19" ht="13">
      <c r="I871" s="164"/>
      <c r="S871" s="164"/>
    </row>
    <row r="872" spans="9:19" ht="13">
      <c r="I872" s="164"/>
      <c r="S872" s="164"/>
    </row>
    <row r="873" spans="9:19" ht="13">
      <c r="I873" s="164"/>
      <c r="S873" s="164"/>
    </row>
    <row r="874" spans="9:19" ht="13">
      <c r="I874" s="164"/>
      <c r="S874" s="164"/>
    </row>
    <row r="875" spans="9:19" ht="13">
      <c r="I875" s="164"/>
      <c r="S875" s="164"/>
    </row>
    <row r="876" spans="9:19" ht="13">
      <c r="I876" s="164"/>
      <c r="S876" s="164"/>
    </row>
    <row r="877" spans="9:19" ht="13">
      <c r="I877" s="164"/>
      <c r="S877" s="164"/>
    </row>
    <row r="878" spans="9:19" ht="13">
      <c r="I878" s="164"/>
      <c r="S878" s="164"/>
    </row>
    <row r="879" spans="9:19" ht="13">
      <c r="I879" s="164"/>
      <c r="S879" s="164"/>
    </row>
    <row r="880" spans="9:19" ht="13">
      <c r="I880" s="164"/>
      <c r="S880" s="164"/>
    </row>
    <row r="881" spans="9:19" ht="13">
      <c r="I881" s="164"/>
      <c r="S881" s="164"/>
    </row>
    <row r="882" spans="9:19" ht="13">
      <c r="I882" s="164"/>
      <c r="S882" s="164"/>
    </row>
    <row r="883" spans="9:19" ht="13">
      <c r="I883" s="164"/>
      <c r="S883" s="164"/>
    </row>
    <row r="884" spans="9:19" ht="13">
      <c r="I884" s="164"/>
      <c r="S884" s="164"/>
    </row>
    <row r="885" spans="9:19" ht="13">
      <c r="I885" s="164"/>
      <c r="S885" s="164"/>
    </row>
    <row r="886" spans="9:19" ht="13">
      <c r="I886" s="164"/>
      <c r="S886" s="164"/>
    </row>
    <row r="887" spans="9:19" ht="13">
      <c r="I887" s="164"/>
      <c r="S887" s="164"/>
    </row>
    <row r="888" spans="9:19" ht="13">
      <c r="I888" s="164"/>
      <c r="S888" s="164"/>
    </row>
    <row r="889" spans="9:19" ht="13">
      <c r="I889" s="164"/>
      <c r="S889" s="164"/>
    </row>
    <row r="890" spans="9:19" ht="13">
      <c r="I890" s="164"/>
      <c r="S890" s="164"/>
    </row>
    <row r="891" spans="9:19" ht="13">
      <c r="I891" s="164"/>
      <c r="S891" s="164"/>
    </row>
    <row r="892" spans="9:19" ht="13">
      <c r="I892" s="164"/>
      <c r="S892" s="164"/>
    </row>
    <row r="893" spans="9:19" ht="13">
      <c r="I893" s="164"/>
      <c r="S893" s="164"/>
    </row>
    <row r="894" spans="9:19" ht="13">
      <c r="I894" s="164"/>
      <c r="S894" s="164"/>
    </row>
    <row r="895" spans="9:19" ht="13">
      <c r="I895" s="164"/>
      <c r="S895" s="164"/>
    </row>
    <row r="896" spans="9:19" ht="13">
      <c r="I896" s="164"/>
      <c r="S896" s="164"/>
    </row>
    <row r="897" spans="9:19" ht="13">
      <c r="I897" s="164"/>
      <c r="S897" s="164"/>
    </row>
    <row r="898" spans="9:19" ht="13">
      <c r="I898" s="164"/>
      <c r="S898" s="164"/>
    </row>
    <row r="899" spans="9:19" ht="13">
      <c r="I899" s="164"/>
      <c r="S899" s="164"/>
    </row>
    <row r="900" spans="9:19" ht="13">
      <c r="I900" s="164"/>
      <c r="S900" s="164"/>
    </row>
    <row r="901" spans="9:19" ht="13">
      <c r="I901" s="164"/>
      <c r="S901" s="164"/>
    </row>
    <row r="902" spans="9:19" ht="13">
      <c r="I902" s="164"/>
      <c r="S902" s="164"/>
    </row>
    <row r="903" spans="9:19" ht="13">
      <c r="I903" s="164"/>
      <c r="S903" s="164"/>
    </row>
    <row r="904" spans="9:19" ht="13">
      <c r="I904" s="164"/>
      <c r="S904" s="164"/>
    </row>
    <row r="905" spans="9:19" ht="13">
      <c r="I905" s="164"/>
      <c r="S905" s="164"/>
    </row>
    <row r="906" spans="9:19" ht="13">
      <c r="I906" s="164"/>
      <c r="S906" s="164"/>
    </row>
    <row r="907" spans="9:19" ht="13">
      <c r="I907" s="164"/>
      <c r="S907" s="164"/>
    </row>
    <row r="908" spans="9:19" ht="13">
      <c r="I908" s="164"/>
      <c r="S908" s="164"/>
    </row>
    <row r="909" spans="9:19" ht="13">
      <c r="I909" s="164"/>
      <c r="S909" s="164"/>
    </row>
    <row r="910" spans="9:19" ht="13">
      <c r="I910" s="164"/>
      <c r="S910" s="164"/>
    </row>
    <row r="911" spans="9:19" ht="13">
      <c r="I911" s="164"/>
      <c r="S911" s="164"/>
    </row>
    <row r="912" spans="9:19" ht="13">
      <c r="I912" s="164"/>
      <c r="S912" s="164"/>
    </row>
    <row r="913" spans="9:19" ht="13">
      <c r="I913" s="164"/>
      <c r="S913" s="164"/>
    </row>
    <row r="914" spans="9:19" ht="13">
      <c r="I914" s="164"/>
      <c r="S914" s="164"/>
    </row>
    <row r="915" spans="9:19" ht="13">
      <c r="I915" s="164"/>
      <c r="S915" s="164"/>
    </row>
    <row r="916" spans="9:19" ht="13">
      <c r="I916" s="164"/>
      <c r="S916" s="164"/>
    </row>
    <row r="917" spans="9:19" ht="13">
      <c r="I917" s="164"/>
      <c r="S917" s="164"/>
    </row>
    <row r="918" spans="9:19" ht="13">
      <c r="I918" s="164"/>
      <c r="S918" s="164"/>
    </row>
    <row r="919" spans="9:19" ht="13">
      <c r="I919" s="164"/>
      <c r="S919" s="164"/>
    </row>
    <row r="920" spans="9:19" ht="13">
      <c r="I920" s="164"/>
      <c r="S920" s="164"/>
    </row>
    <row r="921" spans="9:19" ht="13">
      <c r="I921" s="164"/>
      <c r="S921" s="164"/>
    </row>
    <row r="922" spans="9:19" ht="13">
      <c r="I922" s="164"/>
      <c r="S922" s="164"/>
    </row>
    <row r="923" spans="9:19" ht="13">
      <c r="I923" s="164"/>
      <c r="S923" s="164"/>
    </row>
    <row r="924" spans="9:19" ht="13">
      <c r="I924" s="164"/>
      <c r="S924" s="164"/>
    </row>
    <row r="925" spans="9:19" ht="13">
      <c r="I925" s="164"/>
      <c r="S925" s="164"/>
    </row>
    <row r="926" spans="9:19" ht="13">
      <c r="I926" s="164"/>
      <c r="S926" s="164"/>
    </row>
    <row r="927" spans="9:19" ht="13">
      <c r="I927" s="164"/>
      <c r="S927" s="164"/>
    </row>
    <row r="928" spans="9:19" ht="13">
      <c r="I928" s="164"/>
      <c r="S928" s="164"/>
    </row>
    <row r="929" spans="9:19" ht="13">
      <c r="I929" s="164"/>
      <c r="S929" s="164"/>
    </row>
    <row r="930" spans="9:19" ht="13">
      <c r="I930" s="164"/>
      <c r="S930" s="164"/>
    </row>
    <row r="931" spans="9:19" ht="13">
      <c r="I931" s="164"/>
      <c r="S931" s="164"/>
    </row>
    <row r="932" spans="9:19" ht="13">
      <c r="I932" s="164"/>
      <c r="S932" s="164"/>
    </row>
    <row r="933" spans="9:19" ht="13">
      <c r="I933" s="164"/>
      <c r="S933" s="164"/>
    </row>
    <row r="934" spans="9:19" ht="13">
      <c r="I934" s="164"/>
      <c r="S934" s="164"/>
    </row>
    <row r="935" spans="9:19" ht="13">
      <c r="I935" s="164"/>
      <c r="S935" s="164"/>
    </row>
    <row r="936" spans="9:19" ht="13">
      <c r="I936" s="164"/>
      <c r="S936" s="164"/>
    </row>
    <row r="937" spans="9:19" ht="13">
      <c r="I937" s="164"/>
      <c r="S937" s="164"/>
    </row>
    <row r="938" spans="9:19" ht="13">
      <c r="I938" s="164"/>
      <c r="S938" s="164"/>
    </row>
    <row r="939" spans="9:19" ht="13">
      <c r="I939" s="164"/>
      <c r="S939" s="164"/>
    </row>
    <row r="940" spans="9:19" ht="13">
      <c r="I940" s="164"/>
      <c r="S940" s="164"/>
    </row>
    <row r="941" spans="9:19" ht="13">
      <c r="I941" s="164"/>
      <c r="S941" s="164"/>
    </row>
    <row r="942" spans="9:19" ht="13">
      <c r="I942" s="164"/>
      <c r="S942" s="164"/>
    </row>
    <row r="943" spans="9:19" ht="13">
      <c r="I943" s="164"/>
      <c r="S943" s="164"/>
    </row>
    <row r="944" spans="9:19" ht="13">
      <c r="I944" s="164"/>
      <c r="S944" s="164"/>
    </row>
    <row r="945" spans="9:19" ht="13">
      <c r="I945" s="164"/>
      <c r="S945" s="164"/>
    </row>
    <row r="946" spans="9:19" ht="13">
      <c r="I946" s="164"/>
      <c r="S946" s="164"/>
    </row>
    <row r="947" spans="9:19" ht="13">
      <c r="I947" s="164"/>
      <c r="S947" s="164"/>
    </row>
    <row r="948" spans="9:19" ht="13">
      <c r="I948" s="164"/>
      <c r="S948" s="164"/>
    </row>
    <row r="949" spans="9:19" ht="13">
      <c r="I949" s="164"/>
      <c r="S949" s="164"/>
    </row>
    <row r="950" spans="9:19" ht="13">
      <c r="I950" s="164"/>
      <c r="S950" s="164"/>
    </row>
    <row r="951" spans="9:19" ht="13">
      <c r="I951" s="164"/>
      <c r="S951" s="164"/>
    </row>
    <row r="952" spans="9:19" ht="13">
      <c r="I952" s="164"/>
      <c r="S952" s="164"/>
    </row>
    <row r="953" spans="9:19" ht="13">
      <c r="I953" s="164"/>
      <c r="S953" s="164"/>
    </row>
    <row r="954" spans="9:19" ht="13">
      <c r="I954" s="164"/>
      <c r="S954" s="164"/>
    </row>
    <row r="955" spans="9:19" ht="13">
      <c r="I955" s="164"/>
      <c r="S955" s="164"/>
    </row>
    <row r="956" spans="9:19" ht="13">
      <c r="I956" s="164"/>
      <c r="S956" s="164"/>
    </row>
    <row r="957" spans="9:19" ht="13">
      <c r="I957" s="164"/>
      <c r="S957" s="164"/>
    </row>
    <row r="958" spans="9:19" ht="13">
      <c r="I958" s="164"/>
      <c r="S958" s="164"/>
    </row>
    <row r="959" spans="9:19" ht="13">
      <c r="I959" s="164"/>
      <c r="S959" s="164"/>
    </row>
    <row r="960" spans="9:19" ht="13">
      <c r="I960" s="164"/>
      <c r="S960" s="164"/>
    </row>
    <row r="961" spans="9:19" ht="13">
      <c r="I961" s="164"/>
      <c r="S961" s="164"/>
    </row>
    <row r="962" spans="9:19" ht="13">
      <c r="I962" s="164"/>
      <c r="S962" s="164"/>
    </row>
    <row r="963" spans="9:19" ht="13">
      <c r="I963" s="164"/>
      <c r="S963" s="164"/>
    </row>
    <row r="964" spans="9:19" ht="13">
      <c r="I964" s="164"/>
      <c r="S964" s="164"/>
    </row>
    <row r="965" spans="9:19" ht="13">
      <c r="I965" s="164"/>
      <c r="S965" s="164"/>
    </row>
    <row r="966" spans="9:19" ht="13">
      <c r="I966" s="164"/>
      <c r="S966" s="164"/>
    </row>
    <row r="967" spans="9:19" ht="13">
      <c r="I967" s="164"/>
      <c r="S967" s="164"/>
    </row>
    <row r="968" spans="9:19" ht="13">
      <c r="I968" s="164"/>
      <c r="S968" s="164"/>
    </row>
    <row r="969" spans="9:19" ht="13">
      <c r="I969" s="164"/>
      <c r="S969" s="164"/>
    </row>
    <row r="970" spans="9:19" ht="13">
      <c r="I970" s="164"/>
      <c r="S970" s="164"/>
    </row>
    <row r="971" spans="9:19" ht="13">
      <c r="I971" s="164"/>
      <c r="S971" s="164"/>
    </row>
    <row r="972" spans="9:19" ht="13">
      <c r="I972" s="164"/>
      <c r="S972" s="164"/>
    </row>
    <row r="973" spans="9:19" ht="13">
      <c r="I973" s="164"/>
      <c r="S973" s="164"/>
    </row>
    <row r="974" spans="9:19" ht="13">
      <c r="I974" s="164"/>
      <c r="S974" s="164"/>
    </row>
    <row r="975" spans="9:19" ht="13">
      <c r="I975" s="164"/>
      <c r="S975" s="164"/>
    </row>
    <row r="976" spans="9:19" ht="13">
      <c r="I976" s="164"/>
      <c r="S976" s="164"/>
    </row>
    <row r="977" spans="9:19" ht="13">
      <c r="I977" s="164"/>
      <c r="S977" s="164"/>
    </row>
    <row r="978" spans="9:19" ht="13">
      <c r="I978" s="164"/>
      <c r="S978" s="164"/>
    </row>
    <row r="979" spans="9:19" ht="13">
      <c r="I979" s="164"/>
      <c r="S979" s="164"/>
    </row>
    <row r="980" spans="9:19" ht="13">
      <c r="I980" s="164"/>
      <c r="S980" s="164"/>
    </row>
    <row r="981" spans="9:19" ht="13">
      <c r="I981" s="164"/>
      <c r="S981" s="164"/>
    </row>
    <row r="982" spans="9:19" ht="13">
      <c r="I982" s="164"/>
      <c r="S982" s="164"/>
    </row>
    <row r="983" spans="9:19" ht="13">
      <c r="I983" s="164"/>
      <c r="S983" s="164"/>
    </row>
    <row r="984" spans="9:19" ht="13">
      <c r="I984" s="164"/>
      <c r="S984" s="164"/>
    </row>
    <row r="985" spans="9:19" ht="13">
      <c r="I985" s="164"/>
      <c r="S985" s="164"/>
    </row>
    <row r="986" spans="9:19" ht="13">
      <c r="I986" s="164"/>
      <c r="S986" s="164"/>
    </row>
    <row r="987" spans="9:19" ht="13">
      <c r="I987" s="164"/>
      <c r="S987" s="164"/>
    </row>
    <row r="988" spans="9:19" ht="13">
      <c r="I988" s="164"/>
      <c r="S988" s="164"/>
    </row>
    <row r="989" spans="9:19" ht="13">
      <c r="I989" s="164"/>
      <c r="S989" s="164"/>
    </row>
    <row r="990" spans="9:19" ht="13">
      <c r="I990" s="164"/>
      <c r="S990" s="164"/>
    </row>
    <row r="991" spans="9:19" ht="13">
      <c r="I991" s="164"/>
      <c r="S991" s="164"/>
    </row>
    <row r="992" spans="9:19" ht="13">
      <c r="I992" s="164"/>
      <c r="S992" s="164"/>
    </row>
    <row r="993" spans="9:19" ht="13">
      <c r="I993" s="164"/>
      <c r="S993" s="164"/>
    </row>
    <row r="994" spans="9:19" ht="13">
      <c r="I994" s="164"/>
      <c r="S994" s="164"/>
    </row>
    <row r="995" spans="9:19" ht="13">
      <c r="I995" s="164"/>
      <c r="S995" s="164"/>
    </row>
    <row r="996" spans="9:19" ht="13">
      <c r="I996" s="164"/>
      <c r="S996" s="164"/>
    </row>
    <row r="997" spans="9:19" ht="13">
      <c r="I997" s="164"/>
      <c r="S997" s="164"/>
    </row>
    <row r="998" spans="9:19" ht="13">
      <c r="I998" s="164"/>
      <c r="S998" s="164"/>
    </row>
    <row r="999" spans="9:19" ht="13">
      <c r="I999" s="164"/>
      <c r="S999" s="164"/>
    </row>
    <row r="1000" spans="9:19" ht="13">
      <c r="I1000" s="164"/>
      <c r="S1000" s="164"/>
    </row>
    <row r="1001" spans="9:19" ht="13">
      <c r="I1001" s="164"/>
      <c r="S1001" s="164"/>
    </row>
  </sheetData>
  <conditionalFormatting sqref="G1:G49 Q2:Q37 AB2:AB37">
    <cfRule type="cellIs" dxfId="12" priority="1" operator="greaterThan">
      <formula>20</formula>
    </cfRule>
    <cfRule type="cellIs" dxfId="11" priority="2" operator="greaterThan">
      <formula>0</formula>
    </cfRule>
    <cfRule type="cellIs" dxfId="10" priority="3" operator="lessThan">
      <formula>-7</formula>
    </cfRule>
    <cfRule type="cellIs" dxfId="9" priority="4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N1003"/>
  <sheetViews>
    <sheetView workbookViewId="0"/>
  </sheetViews>
  <sheetFormatPr baseColWidth="10" defaultColWidth="12.6640625" defaultRowHeight="15" customHeight="1"/>
  <cols>
    <col min="6" max="6" width="23.6640625" customWidth="1"/>
    <col min="10" max="10" width="16.1640625" customWidth="1"/>
    <col min="12" max="12" width="23.6640625" customWidth="1"/>
    <col min="13" max="13" width="21.33203125" customWidth="1"/>
  </cols>
  <sheetData>
    <row r="1" spans="1:14" ht="15" customHeight="1">
      <c r="A1" s="3"/>
      <c r="D1" s="3"/>
      <c r="E1" s="205"/>
      <c r="I1" s="3" t="s">
        <v>1094</v>
      </c>
      <c r="K1" s="20" t="s">
        <v>89</v>
      </c>
      <c r="L1" s="3" t="s">
        <v>210</v>
      </c>
      <c r="M1" s="3" t="s">
        <v>1095</v>
      </c>
      <c r="N1" s="3" t="s">
        <v>1096</v>
      </c>
    </row>
    <row r="2" spans="1:14" ht="15" customHeight="1">
      <c r="A2" s="3" t="s">
        <v>1097</v>
      </c>
      <c r="D2" s="3" t="s">
        <v>1098</v>
      </c>
      <c r="E2" s="205" t="s">
        <v>1099</v>
      </c>
      <c r="H2" s="3" t="str">
        <f t="shared" ref="H2:H16" si="0">D2&amp;""&amp;E2</f>
        <v>NSE:UJJIVANSFB</v>
      </c>
      <c r="I2" s="3">
        <v>9</v>
      </c>
      <c r="J2" s="3" t="s">
        <v>1100</v>
      </c>
      <c r="K2" s="20">
        <f ca="1">IFERROR(__xludf.DUMMYFUNCTION("GOOGLEFINANCE(H2,""price"")"),53.8)</f>
        <v>53.8</v>
      </c>
      <c r="L2" s="3" t="str">
        <f>VLOOKUP(H2,'all stocks &gt; 500 cr'!$B:$H,6,0)</f>
        <v>Banking and Finance</v>
      </c>
      <c r="M2" s="3" t="str">
        <f>VLOOKUP(H2,'all stocks &gt; 500 cr'!$B:$H,5,0)</f>
        <v>Banks</v>
      </c>
      <c r="N2" s="3">
        <f>VLOOKUP(H2,'all stocks &gt; 500 cr'!$B:$H,7,0)</f>
        <v>11121.2</v>
      </c>
    </row>
    <row r="3" spans="1:14" ht="15" customHeight="1">
      <c r="A3" s="3" t="s">
        <v>1101</v>
      </c>
      <c r="D3" s="3" t="s">
        <v>1098</v>
      </c>
      <c r="E3" s="206" t="s">
        <v>1102</v>
      </c>
      <c r="H3" s="3" t="str">
        <f t="shared" si="0"/>
        <v>NSE:FOODSIN</v>
      </c>
      <c r="I3" s="3">
        <v>8</v>
      </c>
      <c r="J3" s="3" t="s">
        <v>1103</v>
      </c>
      <c r="K3" s="20">
        <f ca="1">IFERROR(__xludf.DUMMYFUNCTION("GOOGLEFINANCE(H3,""price"")"),159.95)</f>
        <v>159.94999999999999</v>
      </c>
      <c r="L3" s="3" t="str">
        <f>VLOOKUP(H3,'all stocks &gt; 500 cr'!$B:$H,6,0)</f>
        <v>Food Beverages &amp; Tobacco</v>
      </c>
      <c r="M3" s="3" t="str">
        <f>VLOOKUP(H3,'all stocks &gt; 500 cr'!$B:$H,5,0)</f>
        <v>Other Food Products</v>
      </c>
      <c r="N3" s="3">
        <f>VLOOKUP(H3,'all stocks &gt; 500 cr'!$B:$H,7,0)</f>
        <v>929</v>
      </c>
    </row>
    <row r="4" spans="1:14" ht="15" customHeight="1">
      <c r="A4" s="3" t="s">
        <v>1104</v>
      </c>
      <c r="D4" s="3" t="s">
        <v>1098</v>
      </c>
      <c r="E4" s="205" t="s">
        <v>892</v>
      </c>
      <c r="H4" s="3" t="str">
        <f t="shared" si="0"/>
        <v>NSE:KIRLOSENG</v>
      </c>
      <c r="I4" s="3">
        <v>8</v>
      </c>
      <c r="J4" s="3" t="s">
        <v>1105</v>
      </c>
      <c r="K4" s="20">
        <f ca="1">IFERROR(__xludf.DUMMYFUNCTION("GOOGLEFINANCE(H4,""price"")"),880.6)</f>
        <v>880.6</v>
      </c>
      <c r="L4" s="3" t="str">
        <f>VLOOKUP(H4,'all stocks &gt; 500 cr'!$B:$H,6,0)</f>
        <v>General Industrials</v>
      </c>
      <c r="M4" s="3" t="str">
        <f>VLOOKUP(H4,'all stocks &gt; 500 cr'!$B:$H,5,0)</f>
        <v>Heavy Electrical Equipment</v>
      </c>
      <c r="N4" s="3">
        <f>VLOOKUP(H4,'all stocks &gt; 500 cr'!$B:$H,7,0)</f>
        <v>8554.9</v>
      </c>
    </row>
    <row r="5" spans="1:14" ht="15" customHeight="1">
      <c r="A5" s="3" t="s">
        <v>1106</v>
      </c>
      <c r="D5" s="3" t="s">
        <v>1098</v>
      </c>
      <c r="E5" s="205" t="s">
        <v>1107</v>
      </c>
      <c r="H5" s="3" t="str">
        <f t="shared" si="0"/>
        <v>NSE:AXISBANK</v>
      </c>
      <c r="I5" s="3">
        <v>8</v>
      </c>
      <c r="J5" s="3" t="s">
        <v>1108</v>
      </c>
      <c r="K5" s="20">
        <f ca="1">IFERROR(__xludf.DUMMYFUNCTION("GOOGLEFINANCE(H5,""price"")"),1073)</f>
        <v>1073</v>
      </c>
      <c r="L5" s="3" t="str">
        <f>VLOOKUP(H5,'all stocks &gt; 500 cr'!$B:$H,6,0)</f>
        <v>Banking and Finance</v>
      </c>
      <c r="M5" s="3" t="str">
        <f>VLOOKUP(H5,'all stocks &gt; 500 cr'!$B:$H,5,0)</f>
        <v>Banks</v>
      </c>
      <c r="N5" s="3">
        <f>VLOOKUP(H5,'all stocks &gt; 500 cr'!$B:$H,7,0)</f>
        <v>341274.3</v>
      </c>
    </row>
    <row r="6" spans="1:14" ht="15" customHeight="1">
      <c r="A6" s="3" t="s">
        <v>1109</v>
      </c>
      <c r="D6" s="3" t="s">
        <v>1098</v>
      </c>
      <c r="E6" s="205" t="s">
        <v>1110</v>
      </c>
      <c r="H6" s="3" t="str">
        <f t="shared" si="0"/>
        <v>NSE:FUSION</v>
      </c>
      <c r="I6" s="3">
        <v>7</v>
      </c>
      <c r="J6" s="3" t="s">
        <v>1111</v>
      </c>
      <c r="K6" s="20">
        <f ca="1">IFERROR(__xludf.DUMMYFUNCTION("GOOGLEFINANCE(H6,""price"")"),485.45)</f>
        <v>485.45</v>
      </c>
      <c r="L6" s="3" t="str">
        <f>VLOOKUP(H6,'all stocks &gt; 500 cr'!$B:$H,6,0)</f>
        <v>Banking and Finance</v>
      </c>
      <c r="M6" s="3" t="str">
        <f>VLOOKUP(H6,'all stocks &gt; 500 cr'!$B:$H,5,0)</f>
        <v>Finance (including NBFCs)</v>
      </c>
      <c r="N6" s="3">
        <f>VLOOKUP(H6,'all stocks &gt; 500 cr'!$B:$H,7,0)</f>
        <v>5667.4</v>
      </c>
    </row>
    <row r="7" spans="1:14" ht="15" customHeight="1">
      <c r="A7" s="3" t="s">
        <v>1112</v>
      </c>
      <c r="D7" s="3" t="s">
        <v>1098</v>
      </c>
      <c r="E7" s="205" t="s">
        <v>1113</v>
      </c>
      <c r="H7" s="3" t="str">
        <f t="shared" si="0"/>
        <v>NSE:ADANIPOWER</v>
      </c>
      <c r="I7" s="3">
        <v>7</v>
      </c>
      <c r="J7" s="3" t="s">
        <v>1114</v>
      </c>
      <c r="K7" s="20">
        <f ca="1">IFERROR(__xludf.DUMMYFUNCTION("GOOGLEFINANCE(H7,""price"")"),600)</f>
        <v>600</v>
      </c>
      <c r="L7" s="3" t="str">
        <f>VLOOKUP(H7,'all stocks &gt; 500 cr'!$B:$H,6,0)</f>
        <v>Utilities</v>
      </c>
      <c r="M7" s="3" t="str">
        <f>VLOOKUP(H7,'all stocks &gt; 500 cr'!$B:$H,5,0)</f>
        <v>Electric Utilities</v>
      </c>
      <c r="N7" s="3">
        <f>VLOOKUP(H7,'all stocks &gt; 500 cr'!$B:$H,7,0)</f>
        <v>178499.1</v>
      </c>
    </row>
    <row r="8" spans="1:14" ht="15" customHeight="1">
      <c r="A8" s="3" t="s">
        <v>1115</v>
      </c>
      <c r="D8" s="3" t="s">
        <v>1098</v>
      </c>
      <c r="E8" s="206" t="s">
        <v>1116</v>
      </c>
      <c r="H8" s="3" t="str">
        <f t="shared" si="0"/>
        <v>NSE:YATHARTH</v>
      </c>
      <c r="I8" s="3">
        <v>6</v>
      </c>
      <c r="J8" s="3" t="s">
        <v>1117</v>
      </c>
      <c r="K8" s="20">
        <f ca="1">IFERROR(__xludf.DUMMYFUNCTION("GOOGLEFINANCE(H8,""price"")"),470.85)</f>
        <v>470.85</v>
      </c>
      <c r="L8" s="3" t="str">
        <f>VLOOKUP(H8,'all stocks &gt; 500 cr'!$B:$H,6,0)</f>
        <v>Diversified Consumer Services</v>
      </c>
      <c r="M8" s="3" t="str">
        <f>VLOOKUP(H8,'all stocks &gt; 500 cr'!$B:$H,5,0)</f>
        <v>Healthcare Facilities</v>
      </c>
      <c r="N8" s="3">
        <f>VLOOKUP(H8,'all stocks &gt; 500 cr'!$B:$H,7,0)</f>
        <v>3364</v>
      </c>
    </row>
    <row r="9" spans="1:14" ht="15" customHeight="1">
      <c r="A9" s="3" t="s">
        <v>1118</v>
      </c>
      <c r="D9" s="3" t="s">
        <v>1098</v>
      </c>
      <c r="E9" s="205" t="s">
        <v>1119</v>
      </c>
      <c r="H9" s="3" t="str">
        <f t="shared" si="0"/>
        <v>NSE:SPANDANA</v>
      </c>
      <c r="I9" s="3">
        <v>6</v>
      </c>
      <c r="J9" s="3" t="s">
        <v>236</v>
      </c>
      <c r="K9" s="20">
        <f ca="1">IFERROR(__xludf.DUMMYFUNCTION("GOOGLEFINANCE(H9,""price"")"),881.95)</f>
        <v>881.95</v>
      </c>
      <c r="L9" s="3" t="str">
        <f>VLOOKUP(H9,'all stocks &gt; 500 cr'!$B:$H,6,0)</f>
        <v>Banking and Finance</v>
      </c>
      <c r="M9" s="3" t="str">
        <f>VLOOKUP(H9,'all stocks &gt; 500 cr'!$B:$H,5,0)</f>
        <v>Finance (including NBFCs)</v>
      </c>
      <c r="N9" s="3">
        <f>VLOOKUP(H9,'all stocks &gt; 500 cr'!$B:$H,7,0)</f>
        <v>7447.8</v>
      </c>
    </row>
    <row r="10" spans="1:14" ht="15" customHeight="1">
      <c r="A10" s="3" t="s">
        <v>1120</v>
      </c>
      <c r="D10" s="3" t="s">
        <v>1098</v>
      </c>
      <c r="E10" s="205" t="s">
        <v>1121</v>
      </c>
      <c r="H10" s="3" t="str">
        <f t="shared" si="0"/>
        <v>NSE:RATEGAIN</v>
      </c>
      <c r="I10" s="3">
        <v>6</v>
      </c>
      <c r="J10" s="3" t="s">
        <v>1122</v>
      </c>
      <c r="K10" s="20">
        <f ca="1">IFERROR(__xludf.DUMMYFUNCTION("GOOGLEFINANCE(H10,""price"")"),678)</f>
        <v>678</v>
      </c>
      <c r="L10" s="3" t="str">
        <f>VLOOKUP(H10,'all stocks &gt; 500 cr'!$B:$H,6,0)</f>
        <v>Software &amp; Services</v>
      </c>
      <c r="M10" s="3" t="str">
        <f>VLOOKUP(H10,'all stocks &gt; 500 cr'!$B:$H,5,0)</f>
        <v>IT Software Products</v>
      </c>
      <c r="N10" s="3">
        <f>VLOOKUP(H10,'all stocks &gt; 500 cr'!$B:$H,7,0)</f>
        <v>7143.6</v>
      </c>
    </row>
    <row r="11" spans="1:14" ht="15" customHeight="1">
      <c r="A11" s="3" t="s">
        <v>1123</v>
      </c>
      <c r="D11" s="3" t="s">
        <v>1098</v>
      </c>
      <c r="E11" s="205" t="s">
        <v>1074</v>
      </c>
      <c r="H11" s="3" t="str">
        <f t="shared" si="0"/>
        <v>NSE:WELCORP</v>
      </c>
      <c r="I11" s="3">
        <v>6</v>
      </c>
      <c r="J11" s="3" t="s">
        <v>1124</v>
      </c>
      <c r="K11" s="20">
        <f ca="1">IFERROR(__xludf.DUMMYFUNCTION("GOOGLEFINANCE(H11,""price"")"),571.75)</f>
        <v>571.75</v>
      </c>
      <c r="L11" s="3" t="str">
        <f>VLOOKUP(H11,'all stocks &gt; 500 cr'!$B:$H,6,0)</f>
        <v>Metals &amp; Mining</v>
      </c>
      <c r="M11" s="3" t="str">
        <f>VLOOKUP(H11,'all stocks &gt; 500 cr'!$B:$H,5,0)</f>
        <v>Iron &amp; Steel Products</v>
      </c>
      <c r="N11" s="3">
        <f>VLOOKUP(H11,'all stocks &gt; 500 cr'!$B:$H,7,0)</f>
        <v>14024</v>
      </c>
    </row>
    <row r="12" spans="1:14" ht="15" customHeight="1">
      <c r="A12" s="3" t="s">
        <v>1125</v>
      </c>
      <c r="D12" s="3" t="s">
        <v>1098</v>
      </c>
      <c r="E12" s="205" t="s">
        <v>910</v>
      </c>
      <c r="H12" s="3" t="str">
        <f t="shared" si="0"/>
        <v>NSE:MANINFRA</v>
      </c>
      <c r="I12" s="3">
        <v>6</v>
      </c>
      <c r="J12" s="3" t="s">
        <v>1126</v>
      </c>
      <c r="K12" s="20">
        <f ca="1">IFERROR(__xludf.DUMMYFUNCTION("GOOGLEFINANCE(H12,""price"")"),214.9)</f>
        <v>214.9</v>
      </c>
      <c r="L12" s="3" t="str">
        <f>VLOOKUP(H12,'all stocks &gt; 500 cr'!$B:$H,6,0)</f>
        <v>Cement and Construction</v>
      </c>
      <c r="M12" s="3" t="str">
        <f>VLOOKUP(H12,'all stocks &gt; 500 cr'!$B:$H,5,0)</f>
        <v>Construction &amp; Engineering</v>
      </c>
      <c r="N12" s="3">
        <f>VLOOKUP(H12,'all stocks &gt; 500 cr'!$B:$H,7,0)</f>
        <v>7580.9</v>
      </c>
    </row>
    <row r="13" spans="1:14" ht="15" customHeight="1">
      <c r="A13" s="3" t="s">
        <v>1127</v>
      </c>
      <c r="D13" s="3" t="s">
        <v>1098</v>
      </c>
      <c r="E13" s="205" t="s">
        <v>1128</v>
      </c>
      <c r="H13" s="3" t="str">
        <f t="shared" si="0"/>
        <v>NSE:HGINFRA</v>
      </c>
      <c r="I13" s="3">
        <v>6</v>
      </c>
      <c r="J13" s="3" t="s">
        <v>37</v>
      </c>
      <c r="K13" s="20">
        <f ca="1">IFERROR(__xludf.DUMMYFUNCTION("GOOGLEFINANCE(H13,""price"")"),1062)</f>
        <v>1062</v>
      </c>
      <c r="L13" s="3" t="str">
        <f>VLOOKUP(H13,'all stocks &gt; 500 cr'!$B:$H,6,0)</f>
        <v>Cement and Construction</v>
      </c>
      <c r="M13" s="3" t="str">
        <f>VLOOKUP(H13,'all stocks &gt; 500 cr'!$B:$H,5,0)</f>
        <v>Construction &amp; Engineering</v>
      </c>
      <c r="N13" s="3">
        <f>VLOOKUP(H13,'all stocks &gt; 500 cr'!$B:$H,7,0)</f>
        <v>5489.4</v>
      </c>
    </row>
    <row r="14" spans="1:14" ht="15" customHeight="1">
      <c r="A14" s="3" t="s">
        <v>1129</v>
      </c>
      <c r="D14" s="3" t="s">
        <v>1098</v>
      </c>
      <c r="E14" s="205" t="s">
        <v>1130</v>
      </c>
      <c r="H14" s="3" t="str">
        <f t="shared" si="0"/>
        <v>NSE:KIRLOSBROS</v>
      </c>
      <c r="I14" s="3">
        <v>6</v>
      </c>
      <c r="J14" s="3" t="s">
        <v>202</v>
      </c>
      <c r="K14" s="20">
        <f ca="1">IFERROR(__xludf.DUMMYFUNCTION("GOOGLEFINANCE(H14,""price"")"),1136.5)</f>
        <v>1136.5</v>
      </c>
      <c r="L14" s="3" t="str">
        <f>VLOOKUP(H14,'all stocks &gt; 500 cr'!$B:$H,6,0)</f>
        <v>General Industrials</v>
      </c>
      <c r="M14" s="3" t="str">
        <f>VLOOKUP(H14,'all stocks &gt; 500 cr'!$B:$H,5,0)</f>
        <v>Industrial Machinery</v>
      </c>
      <c r="N14" s="3">
        <f>VLOOKUP(H14,'all stocks &gt; 500 cr'!$B:$H,7,0)</f>
        <v>7867.4</v>
      </c>
    </row>
    <row r="15" spans="1:14" ht="15" customHeight="1">
      <c r="A15" s="3" t="s">
        <v>1131</v>
      </c>
      <c r="D15" s="3" t="s">
        <v>1098</v>
      </c>
      <c r="E15" s="205" t="s">
        <v>1132</v>
      </c>
      <c r="H15" s="3" t="str">
        <f t="shared" si="0"/>
        <v>NSE:CIGNITITEC</v>
      </c>
      <c r="I15" s="3">
        <v>6</v>
      </c>
      <c r="J15" s="3" t="s">
        <v>1133</v>
      </c>
      <c r="K15" s="20">
        <f ca="1">IFERROR(__xludf.DUMMYFUNCTION("GOOGLEFINANCE(H15,""price"")"),1257)</f>
        <v>1257</v>
      </c>
      <c r="L15" s="3" t="str">
        <f>VLOOKUP(H15,'all stocks &gt; 500 cr'!$B:$H,6,0)</f>
        <v>Software &amp; Services</v>
      </c>
      <c r="M15" s="3" t="str">
        <f>VLOOKUP(H15,'all stocks &gt; 500 cr'!$B:$H,5,0)</f>
        <v>IT Consulting &amp; Software</v>
      </c>
      <c r="N15" s="3">
        <f>VLOOKUP(H15,'all stocks &gt; 500 cr'!$B:$H,7,0)</f>
        <v>3080.1</v>
      </c>
    </row>
    <row r="16" spans="1:14" ht="15" customHeight="1">
      <c r="A16" s="3" t="s">
        <v>1134</v>
      </c>
      <c r="D16" s="3" t="s">
        <v>1098</v>
      </c>
      <c r="E16" s="205" t="s">
        <v>768</v>
      </c>
      <c r="H16" s="3" t="str">
        <f t="shared" si="0"/>
        <v>NSE:CANBK</v>
      </c>
      <c r="I16" s="3">
        <v>5</v>
      </c>
      <c r="J16" s="3" t="s">
        <v>1135</v>
      </c>
      <c r="K16" s="20">
        <f ca="1">IFERROR(__xludf.DUMMYFUNCTION("GOOGLEFINANCE(H16,""price"")"),606)</f>
        <v>606</v>
      </c>
      <c r="L16" s="3" t="str">
        <f>VLOOKUP(H16,'all stocks &gt; 500 cr'!$B:$H,6,0)</f>
        <v>Banking and Finance</v>
      </c>
      <c r="M16" s="3" t="str">
        <f>VLOOKUP(H16,'all stocks &gt; 500 cr'!$B:$H,5,0)</f>
        <v>Banks</v>
      </c>
      <c r="N16" s="3">
        <f>VLOOKUP(H16,'all stocks &gt; 500 cr'!$B:$H,7,0)</f>
        <v>77272.899999999994</v>
      </c>
    </row>
    <row r="17" spans="5:7" ht="15" customHeight="1">
      <c r="E17" s="187"/>
    </row>
    <row r="18" spans="5:7" ht="15" customHeight="1">
      <c r="E18" s="187"/>
    </row>
    <row r="19" spans="5:7" ht="15" customHeight="1">
      <c r="E19" s="187"/>
    </row>
    <row r="20" spans="5:7" ht="15" customHeight="1">
      <c r="E20" s="187"/>
    </row>
    <row r="21" spans="5:7" ht="15" customHeight="1">
      <c r="E21" s="187"/>
      <c r="F21" s="3" t="s">
        <v>210</v>
      </c>
      <c r="G21" s="3" t="s">
        <v>1136</v>
      </c>
    </row>
    <row r="22" spans="5:7" ht="15" customHeight="1">
      <c r="E22" s="187"/>
      <c r="F22" s="3" t="s">
        <v>1137</v>
      </c>
      <c r="G22" s="3">
        <v>35</v>
      </c>
    </row>
    <row r="23" spans="5:7" ht="15" customHeight="1">
      <c r="E23" s="187"/>
      <c r="F23" s="3" t="s">
        <v>1138</v>
      </c>
      <c r="G23" s="3">
        <v>12</v>
      </c>
    </row>
    <row r="24" spans="5:7" ht="15" customHeight="1">
      <c r="E24" s="187"/>
      <c r="F24" s="3" t="s">
        <v>1139</v>
      </c>
      <c r="G24" s="3">
        <v>6</v>
      </c>
    </row>
    <row r="25" spans="5:7" ht="15" customHeight="1">
      <c r="E25" s="187"/>
      <c r="F25" s="3" t="s">
        <v>1140</v>
      </c>
      <c r="G25" s="3">
        <v>8</v>
      </c>
    </row>
    <row r="26" spans="5:7" ht="15" customHeight="1">
      <c r="E26" s="187"/>
      <c r="F26" s="3" t="s">
        <v>1141</v>
      </c>
      <c r="G26" s="3">
        <v>14</v>
      </c>
    </row>
    <row r="27" spans="5:7" ht="15" customHeight="1">
      <c r="E27" s="187"/>
      <c r="F27" s="3" t="s">
        <v>1142</v>
      </c>
      <c r="G27" s="3">
        <v>6</v>
      </c>
    </row>
    <row r="28" spans="5:7" ht="15" customHeight="1">
      <c r="E28" s="187"/>
      <c r="F28" s="3" t="s">
        <v>1143</v>
      </c>
      <c r="G28" s="3">
        <v>12</v>
      </c>
    </row>
    <row r="29" spans="5:7" ht="15" customHeight="1">
      <c r="E29" s="187"/>
      <c r="F29" s="3" t="s">
        <v>1144</v>
      </c>
      <c r="G29" s="3">
        <v>7</v>
      </c>
    </row>
    <row r="30" spans="5:7" ht="15" customHeight="1">
      <c r="E30" s="187"/>
      <c r="F30" s="3" t="s">
        <v>33</v>
      </c>
      <c r="G30" s="3">
        <v>100</v>
      </c>
    </row>
    <row r="31" spans="5:7" ht="15" customHeight="1">
      <c r="E31" s="187"/>
    </row>
    <row r="32" spans="5:7" ht="15" customHeight="1">
      <c r="E32" s="187"/>
    </row>
    <row r="33" spans="5:5" ht="15" customHeight="1">
      <c r="E33" s="187"/>
    </row>
    <row r="34" spans="5:5" ht="15" customHeight="1">
      <c r="E34" s="187"/>
    </row>
    <row r="35" spans="5:5" ht="15" customHeight="1">
      <c r="E35" s="187"/>
    </row>
    <row r="36" spans="5:5" ht="15" customHeight="1">
      <c r="E36" s="187"/>
    </row>
    <row r="37" spans="5:5" ht="15" customHeight="1">
      <c r="E37" s="187"/>
    </row>
    <row r="38" spans="5:5" ht="15" customHeight="1">
      <c r="E38" s="187"/>
    </row>
    <row r="39" spans="5:5" ht="15" customHeight="1">
      <c r="E39" s="187"/>
    </row>
    <row r="40" spans="5:5" ht="15" customHeight="1">
      <c r="E40" s="187"/>
    </row>
    <row r="41" spans="5:5" ht="15" customHeight="1">
      <c r="E41" s="187"/>
    </row>
    <row r="42" spans="5:5" ht="15" customHeight="1">
      <c r="E42" s="187"/>
    </row>
    <row r="43" spans="5:5" ht="15" customHeight="1">
      <c r="E43" s="187"/>
    </row>
    <row r="44" spans="5:5" ht="15" customHeight="1">
      <c r="E44" s="187"/>
    </row>
    <row r="45" spans="5:5" ht="15" customHeight="1">
      <c r="E45" s="187"/>
    </row>
    <row r="46" spans="5:5" ht="15" customHeight="1">
      <c r="E46" s="187"/>
    </row>
    <row r="47" spans="5:5" ht="15" customHeight="1">
      <c r="E47" s="187"/>
    </row>
    <row r="48" spans="5:5" ht="15" customHeight="1">
      <c r="E48" s="187"/>
    </row>
    <row r="49" spans="5:5" ht="15" customHeight="1">
      <c r="E49" s="187"/>
    </row>
    <row r="50" spans="5:5" ht="15" customHeight="1">
      <c r="E50" s="187"/>
    </row>
    <row r="51" spans="5:5" ht="15" customHeight="1">
      <c r="E51" s="187"/>
    </row>
    <row r="52" spans="5:5" ht="15" customHeight="1">
      <c r="E52" s="187"/>
    </row>
    <row r="53" spans="5:5" ht="15" customHeight="1">
      <c r="E53" s="187"/>
    </row>
    <row r="54" spans="5:5" ht="15" customHeight="1">
      <c r="E54" s="187"/>
    </row>
    <row r="55" spans="5:5" ht="15" customHeight="1">
      <c r="E55" s="187"/>
    </row>
    <row r="56" spans="5:5" ht="15" customHeight="1">
      <c r="E56" s="187"/>
    </row>
    <row r="57" spans="5:5" ht="15" customHeight="1">
      <c r="E57" s="187"/>
    </row>
    <row r="58" spans="5:5" ht="15" customHeight="1">
      <c r="E58" s="187"/>
    </row>
    <row r="59" spans="5:5" ht="13">
      <c r="E59" s="187"/>
    </row>
    <row r="60" spans="5:5" ht="13">
      <c r="E60" s="187"/>
    </row>
    <row r="61" spans="5:5" ht="13">
      <c r="E61" s="187"/>
    </row>
    <row r="62" spans="5:5" ht="13">
      <c r="E62" s="187"/>
    </row>
    <row r="63" spans="5:5" ht="13">
      <c r="E63" s="187"/>
    </row>
    <row r="64" spans="5:5" ht="13">
      <c r="E64" s="187"/>
    </row>
    <row r="65" spans="5:5" ht="13">
      <c r="E65" s="187"/>
    </row>
    <row r="66" spans="5:5" ht="13">
      <c r="E66" s="187"/>
    </row>
    <row r="67" spans="5:5" ht="13">
      <c r="E67" s="187"/>
    </row>
    <row r="68" spans="5:5" ht="13">
      <c r="E68" s="187"/>
    </row>
    <row r="69" spans="5:5" ht="13">
      <c r="E69" s="187"/>
    </row>
    <row r="70" spans="5:5" ht="13">
      <c r="E70" s="187"/>
    </row>
    <row r="71" spans="5:5" ht="13">
      <c r="E71" s="187"/>
    </row>
    <row r="72" spans="5:5" ht="13">
      <c r="E72" s="187"/>
    </row>
    <row r="73" spans="5:5" ht="13">
      <c r="E73" s="187"/>
    </row>
    <row r="74" spans="5:5" ht="13">
      <c r="E74" s="187"/>
    </row>
    <row r="75" spans="5:5" ht="13">
      <c r="E75" s="187"/>
    </row>
    <row r="76" spans="5:5" ht="13">
      <c r="E76" s="187"/>
    </row>
    <row r="77" spans="5:5" ht="13">
      <c r="E77" s="187"/>
    </row>
    <row r="78" spans="5:5" ht="13">
      <c r="E78" s="187"/>
    </row>
    <row r="79" spans="5:5" ht="13">
      <c r="E79" s="187"/>
    </row>
    <row r="80" spans="5:5" ht="13">
      <c r="E80" s="187"/>
    </row>
    <row r="81" spans="5:5" ht="13">
      <c r="E81" s="187"/>
    </row>
    <row r="82" spans="5:5" ht="13">
      <c r="E82" s="187"/>
    </row>
    <row r="83" spans="5:5" ht="13">
      <c r="E83" s="187"/>
    </row>
    <row r="84" spans="5:5" ht="13">
      <c r="E84" s="187"/>
    </row>
    <row r="85" spans="5:5" ht="13">
      <c r="E85" s="187"/>
    </row>
    <row r="86" spans="5:5" ht="13">
      <c r="E86" s="187"/>
    </row>
    <row r="87" spans="5:5" ht="13">
      <c r="E87" s="187"/>
    </row>
    <row r="88" spans="5:5" ht="13">
      <c r="E88" s="187"/>
    </row>
    <row r="89" spans="5:5" ht="13">
      <c r="E89" s="187"/>
    </row>
    <row r="90" spans="5:5" ht="13">
      <c r="E90" s="187"/>
    </row>
    <row r="91" spans="5:5" ht="13">
      <c r="E91" s="187"/>
    </row>
    <row r="92" spans="5:5" ht="13">
      <c r="E92" s="187"/>
    </row>
    <row r="93" spans="5:5" ht="13">
      <c r="E93" s="187"/>
    </row>
    <row r="94" spans="5:5" ht="13">
      <c r="E94" s="187"/>
    </row>
    <row r="95" spans="5:5" ht="13">
      <c r="E95" s="187"/>
    </row>
    <row r="96" spans="5:5" ht="13">
      <c r="E96" s="187"/>
    </row>
    <row r="97" spans="5:5" ht="13">
      <c r="E97" s="187"/>
    </row>
    <row r="98" spans="5:5" ht="13">
      <c r="E98" s="187"/>
    </row>
    <row r="99" spans="5:5" ht="13">
      <c r="E99" s="187"/>
    </row>
    <row r="100" spans="5:5" ht="13">
      <c r="E100" s="187"/>
    </row>
    <row r="101" spans="5:5" ht="13">
      <c r="E101" s="187"/>
    </row>
    <row r="102" spans="5:5" ht="13">
      <c r="E102" s="187"/>
    </row>
    <row r="103" spans="5:5" ht="13">
      <c r="E103" s="187"/>
    </row>
    <row r="104" spans="5:5" ht="13">
      <c r="E104" s="187"/>
    </row>
    <row r="105" spans="5:5" ht="13">
      <c r="E105" s="187"/>
    </row>
    <row r="106" spans="5:5" ht="13">
      <c r="E106" s="187"/>
    </row>
    <row r="107" spans="5:5" ht="13">
      <c r="E107" s="187"/>
    </row>
    <row r="108" spans="5:5" ht="13">
      <c r="E108" s="187"/>
    </row>
    <row r="109" spans="5:5" ht="13">
      <c r="E109" s="187"/>
    </row>
    <row r="110" spans="5:5" ht="13">
      <c r="E110" s="187"/>
    </row>
    <row r="111" spans="5:5" ht="13">
      <c r="E111" s="187"/>
    </row>
    <row r="112" spans="5:5" ht="13">
      <c r="E112" s="187"/>
    </row>
    <row r="113" spans="5:5" ht="13">
      <c r="E113" s="187"/>
    </row>
    <row r="114" spans="5:5" ht="13">
      <c r="E114" s="187"/>
    </row>
    <row r="115" spans="5:5" ht="13">
      <c r="E115" s="187"/>
    </row>
    <row r="116" spans="5:5" ht="13">
      <c r="E116" s="187"/>
    </row>
    <row r="117" spans="5:5" ht="13">
      <c r="E117" s="187"/>
    </row>
    <row r="118" spans="5:5" ht="13">
      <c r="E118" s="187"/>
    </row>
    <row r="119" spans="5:5" ht="13">
      <c r="E119" s="187"/>
    </row>
    <row r="120" spans="5:5" ht="13">
      <c r="E120" s="187"/>
    </row>
    <row r="121" spans="5:5" ht="13">
      <c r="E121" s="187"/>
    </row>
    <row r="122" spans="5:5" ht="13">
      <c r="E122" s="187"/>
    </row>
    <row r="123" spans="5:5" ht="13">
      <c r="E123" s="187"/>
    </row>
    <row r="124" spans="5:5" ht="13">
      <c r="E124" s="187"/>
    </row>
    <row r="125" spans="5:5" ht="13">
      <c r="E125" s="187"/>
    </row>
    <row r="126" spans="5:5" ht="13">
      <c r="E126" s="187"/>
    </row>
    <row r="127" spans="5:5" ht="13">
      <c r="E127" s="187"/>
    </row>
    <row r="128" spans="5:5" ht="13">
      <c r="E128" s="187"/>
    </row>
    <row r="129" spans="5:5" ht="13">
      <c r="E129" s="187"/>
    </row>
    <row r="130" spans="5:5" ht="13">
      <c r="E130" s="187"/>
    </row>
    <row r="131" spans="5:5" ht="13">
      <c r="E131" s="187"/>
    </row>
    <row r="132" spans="5:5" ht="13">
      <c r="E132" s="187"/>
    </row>
    <row r="133" spans="5:5" ht="13">
      <c r="E133" s="187"/>
    </row>
    <row r="134" spans="5:5" ht="13">
      <c r="E134" s="187"/>
    </row>
    <row r="135" spans="5:5" ht="13">
      <c r="E135" s="187"/>
    </row>
    <row r="136" spans="5:5" ht="13">
      <c r="E136" s="187"/>
    </row>
    <row r="137" spans="5:5" ht="13">
      <c r="E137" s="187"/>
    </row>
    <row r="138" spans="5:5" ht="13">
      <c r="E138" s="187"/>
    </row>
    <row r="139" spans="5:5" ht="13">
      <c r="E139" s="187"/>
    </row>
    <row r="140" spans="5:5" ht="13">
      <c r="E140" s="187"/>
    </row>
    <row r="141" spans="5:5" ht="13">
      <c r="E141" s="187"/>
    </row>
    <row r="142" spans="5:5" ht="13">
      <c r="E142" s="187"/>
    </row>
    <row r="143" spans="5:5" ht="13">
      <c r="E143" s="187"/>
    </row>
    <row r="144" spans="5:5" ht="13">
      <c r="E144" s="187"/>
    </row>
    <row r="145" spans="5:5" ht="13">
      <c r="E145" s="187"/>
    </row>
    <row r="146" spans="5:5" ht="13">
      <c r="E146" s="187"/>
    </row>
    <row r="147" spans="5:5" ht="13">
      <c r="E147" s="187"/>
    </row>
    <row r="148" spans="5:5" ht="13">
      <c r="E148" s="187"/>
    </row>
    <row r="149" spans="5:5" ht="13">
      <c r="E149" s="187"/>
    </row>
    <row r="150" spans="5:5" ht="13">
      <c r="E150" s="187"/>
    </row>
    <row r="151" spans="5:5" ht="13">
      <c r="E151" s="187"/>
    </row>
    <row r="152" spans="5:5" ht="13">
      <c r="E152" s="187"/>
    </row>
    <row r="153" spans="5:5" ht="13">
      <c r="E153" s="187"/>
    </row>
    <row r="154" spans="5:5" ht="13">
      <c r="E154" s="187"/>
    </row>
    <row r="155" spans="5:5" ht="13">
      <c r="E155" s="187"/>
    </row>
    <row r="156" spans="5:5" ht="13">
      <c r="E156" s="187"/>
    </row>
    <row r="157" spans="5:5" ht="13">
      <c r="E157" s="187"/>
    </row>
    <row r="158" spans="5:5" ht="13">
      <c r="E158" s="187"/>
    </row>
    <row r="159" spans="5:5" ht="13">
      <c r="E159" s="187"/>
    </row>
    <row r="160" spans="5:5" ht="13">
      <c r="E160" s="187"/>
    </row>
    <row r="161" spans="5:5" ht="13">
      <c r="E161" s="187"/>
    </row>
    <row r="162" spans="5:5" ht="13">
      <c r="E162" s="187"/>
    </row>
    <row r="163" spans="5:5" ht="13">
      <c r="E163" s="187"/>
    </row>
    <row r="164" spans="5:5" ht="13">
      <c r="E164" s="187"/>
    </row>
    <row r="165" spans="5:5" ht="13">
      <c r="E165" s="187"/>
    </row>
    <row r="166" spans="5:5" ht="13">
      <c r="E166" s="187"/>
    </row>
    <row r="167" spans="5:5" ht="13">
      <c r="E167" s="187"/>
    </row>
    <row r="168" spans="5:5" ht="13">
      <c r="E168" s="187"/>
    </row>
    <row r="169" spans="5:5" ht="13">
      <c r="E169" s="187"/>
    </row>
    <row r="170" spans="5:5" ht="13">
      <c r="E170" s="187"/>
    </row>
    <row r="171" spans="5:5" ht="13">
      <c r="E171" s="187"/>
    </row>
    <row r="172" spans="5:5" ht="13">
      <c r="E172" s="187"/>
    </row>
    <row r="173" spans="5:5" ht="13">
      <c r="E173" s="187"/>
    </row>
    <row r="174" spans="5:5" ht="13">
      <c r="E174" s="187"/>
    </row>
    <row r="175" spans="5:5" ht="13">
      <c r="E175" s="187"/>
    </row>
    <row r="176" spans="5:5" ht="13">
      <c r="E176" s="187"/>
    </row>
    <row r="177" spans="5:5" ht="13">
      <c r="E177" s="187"/>
    </row>
    <row r="178" spans="5:5" ht="13">
      <c r="E178" s="187"/>
    </row>
    <row r="179" spans="5:5" ht="13">
      <c r="E179" s="187"/>
    </row>
    <row r="180" spans="5:5" ht="13">
      <c r="E180" s="187"/>
    </row>
    <row r="181" spans="5:5" ht="13">
      <c r="E181" s="187"/>
    </row>
    <row r="182" spans="5:5" ht="13">
      <c r="E182" s="187"/>
    </row>
    <row r="183" spans="5:5" ht="13">
      <c r="E183" s="187"/>
    </row>
    <row r="184" spans="5:5" ht="13">
      <c r="E184" s="187"/>
    </row>
    <row r="185" spans="5:5" ht="13">
      <c r="E185" s="187"/>
    </row>
    <row r="186" spans="5:5" ht="13">
      <c r="E186" s="187"/>
    </row>
    <row r="187" spans="5:5" ht="13">
      <c r="E187" s="187"/>
    </row>
    <row r="188" spans="5:5" ht="13">
      <c r="E188" s="187"/>
    </row>
    <row r="189" spans="5:5" ht="13">
      <c r="E189" s="187"/>
    </row>
    <row r="190" spans="5:5" ht="13">
      <c r="E190" s="187"/>
    </row>
    <row r="191" spans="5:5" ht="13">
      <c r="E191" s="187"/>
    </row>
    <row r="192" spans="5:5" ht="13">
      <c r="E192" s="187"/>
    </row>
    <row r="193" spans="5:5" ht="13">
      <c r="E193" s="187"/>
    </row>
    <row r="194" spans="5:5" ht="13">
      <c r="E194" s="187"/>
    </row>
    <row r="195" spans="5:5" ht="13">
      <c r="E195" s="187"/>
    </row>
    <row r="196" spans="5:5" ht="13">
      <c r="E196" s="187"/>
    </row>
    <row r="197" spans="5:5" ht="13">
      <c r="E197" s="187"/>
    </row>
    <row r="198" spans="5:5" ht="13">
      <c r="E198" s="187"/>
    </row>
    <row r="199" spans="5:5" ht="13">
      <c r="E199" s="187"/>
    </row>
    <row r="200" spans="5:5" ht="13">
      <c r="E200" s="187"/>
    </row>
    <row r="201" spans="5:5" ht="13">
      <c r="E201" s="187"/>
    </row>
    <row r="202" spans="5:5" ht="13">
      <c r="E202" s="187"/>
    </row>
    <row r="203" spans="5:5" ht="13">
      <c r="E203" s="187"/>
    </row>
    <row r="204" spans="5:5" ht="13">
      <c r="E204" s="187"/>
    </row>
    <row r="205" spans="5:5" ht="13">
      <c r="E205" s="187"/>
    </row>
    <row r="206" spans="5:5" ht="13">
      <c r="E206" s="187"/>
    </row>
    <row r="207" spans="5:5" ht="13">
      <c r="E207" s="187"/>
    </row>
    <row r="208" spans="5:5" ht="13">
      <c r="E208" s="187"/>
    </row>
    <row r="209" spans="5:5" ht="13">
      <c r="E209" s="187"/>
    </row>
    <row r="210" spans="5:5" ht="13">
      <c r="E210" s="187"/>
    </row>
    <row r="211" spans="5:5" ht="13">
      <c r="E211" s="187"/>
    </row>
    <row r="212" spans="5:5" ht="13">
      <c r="E212" s="187"/>
    </row>
    <row r="213" spans="5:5" ht="13">
      <c r="E213" s="187"/>
    </row>
    <row r="214" spans="5:5" ht="13">
      <c r="E214" s="187"/>
    </row>
    <row r="215" spans="5:5" ht="13">
      <c r="E215" s="187"/>
    </row>
    <row r="216" spans="5:5" ht="13">
      <c r="E216" s="187"/>
    </row>
    <row r="217" spans="5:5" ht="13">
      <c r="E217" s="187"/>
    </row>
    <row r="218" spans="5:5" ht="13">
      <c r="E218" s="187"/>
    </row>
    <row r="219" spans="5:5" ht="13">
      <c r="E219" s="187"/>
    </row>
    <row r="220" spans="5:5" ht="13">
      <c r="E220" s="187"/>
    </row>
    <row r="221" spans="5:5" ht="13">
      <c r="E221" s="187"/>
    </row>
    <row r="222" spans="5:5" ht="13">
      <c r="E222" s="187"/>
    </row>
    <row r="223" spans="5:5" ht="13">
      <c r="E223" s="187"/>
    </row>
    <row r="224" spans="5:5" ht="13">
      <c r="E224" s="187"/>
    </row>
    <row r="225" spans="5:5" ht="13">
      <c r="E225" s="187"/>
    </row>
    <row r="226" spans="5:5" ht="13">
      <c r="E226" s="187"/>
    </row>
    <row r="227" spans="5:5" ht="13">
      <c r="E227" s="187"/>
    </row>
    <row r="228" spans="5:5" ht="13">
      <c r="E228" s="187"/>
    </row>
    <row r="229" spans="5:5" ht="13">
      <c r="E229" s="187"/>
    </row>
    <row r="230" spans="5:5" ht="13">
      <c r="E230" s="187"/>
    </row>
    <row r="231" spans="5:5" ht="13">
      <c r="E231" s="187"/>
    </row>
    <row r="232" spans="5:5" ht="13">
      <c r="E232" s="187"/>
    </row>
    <row r="233" spans="5:5" ht="13">
      <c r="E233" s="187"/>
    </row>
    <row r="234" spans="5:5" ht="13">
      <c r="E234" s="187"/>
    </row>
    <row r="235" spans="5:5" ht="13">
      <c r="E235" s="187"/>
    </row>
    <row r="236" spans="5:5" ht="13">
      <c r="E236" s="187"/>
    </row>
    <row r="237" spans="5:5" ht="13">
      <c r="E237" s="187"/>
    </row>
    <row r="238" spans="5:5" ht="13">
      <c r="E238" s="187"/>
    </row>
    <row r="239" spans="5:5" ht="13">
      <c r="E239" s="187"/>
    </row>
    <row r="240" spans="5:5" ht="13">
      <c r="E240" s="187"/>
    </row>
    <row r="241" spans="5:5" ht="13">
      <c r="E241" s="187"/>
    </row>
    <row r="242" spans="5:5" ht="13">
      <c r="E242" s="187"/>
    </row>
    <row r="243" spans="5:5" ht="13">
      <c r="E243" s="187"/>
    </row>
    <row r="244" spans="5:5" ht="13">
      <c r="E244" s="187"/>
    </row>
    <row r="245" spans="5:5" ht="13">
      <c r="E245" s="187"/>
    </row>
    <row r="246" spans="5:5" ht="13">
      <c r="E246" s="187"/>
    </row>
    <row r="247" spans="5:5" ht="13">
      <c r="E247" s="187"/>
    </row>
    <row r="248" spans="5:5" ht="13">
      <c r="E248" s="187"/>
    </row>
    <row r="249" spans="5:5" ht="13">
      <c r="E249" s="187"/>
    </row>
    <row r="250" spans="5:5" ht="13">
      <c r="E250" s="187"/>
    </row>
    <row r="251" spans="5:5" ht="13">
      <c r="E251" s="187"/>
    </row>
    <row r="252" spans="5:5" ht="13">
      <c r="E252" s="187"/>
    </row>
    <row r="253" spans="5:5" ht="13">
      <c r="E253" s="187"/>
    </row>
    <row r="254" spans="5:5" ht="13">
      <c r="E254" s="187"/>
    </row>
    <row r="255" spans="5:5" ht="13">
      <c r="E255" s="187"/>
    </row>
    <row r="256" spans="5:5" ht="13">
      <c r="E256" s="187"/>
    </row>
    <row r="257" spans="5:5" ht="13">
      <c r="E257" s="187"/>
    </row>
    <row r="258" spans="5:5" ht="13">
      <c r="E258" s="187"/>
    </row>
    <row r="259" spans="5:5" ht="13">
      <c r="E259" s="187"/>
    </row>
    <row r="260" spans="5:5" ht="13">
      <c r="E260" s="187"/>
    </row>
    <row r="261" spans="5:5" ht="13">
      <c r="E261" s="187"/>
    </row>
    <row r="262" spans="5:5" ht="13">
      <c r="E262" s="187"/>
    </row>
    <row r="263" spans="5:5" ht="13">
      <c r="E263" s="187"/>
    </row>
    <row r="264" spans="5:5" ht="13">
      <c r="E264" s="187"/>
    </row>
    <row r="265" spans="5:5" ht="13">
      <c r="E265" s="187"/>
    </row>
    <row r="266" spans="5:5" ht="13">
      <c r="E266" s="187"/>
    </row>
    <row r="267" spans="5:5" ht="13">
      <c r="E267" s="187"/>
    </row>
    <row r="268" spans="5:5" ht="13">
      <c r="E268" s="187"/>
    </row>
    <row r="269" spans="5:5" ht="13">
      <c r="E269" s="187"/>
    </row>
    <row r="270" spans="5:5" ht="13">
      <c r="E270" s="187"/>
    </row>
    <row r="271" spans="5:5" ht="13">
      <c r="E271" s="187"/>
    </row>
    <row r="272" spans="5:5" ht="13">
      <c r="E272" s="187"/>
    </row>
    <row r="273" spans="5:5" ht="13">
      <c r="E273" s="187"/>
    </row>
    <row r="274" spans="5:5" ht="13">
      <c r="E274" s="187"/>
    </row>
    <row r="275" spans="5:5" ht="13">
      <c r="E275" s="187"/>
    </row>
    <row r="276" spans="5:5" ht="13">
      <c r="E276" s="187"/>
    </row>
    <row r="277" spans="5:5" ht="13">
      <c r="E277" s="187"/>
    </row>
    <row r="278" spans="5:5" ht="13">
      <c r="E278" s="187"/>
    </row>
    <row r="279" spans="5:5" ht="13">
      <c r="E279" s="187"/>
    </row>
    <row r="280" spans="5:5" ht="13">
      <c r="E280" s="187"/>
    </row>
    <row r="281" spans="5:5" ht="13">
      <c r="E281" s="187"/>
    </row>
    <row r="282" spans="5:5" ht="13">
      <c r="E282" s="187"/>
    </row>
    <row r="283" spans="5:5" ht="13">
      <c r="E283" s="187"/>
    </row>
    <row r="284" spans="5:5" ht="13">
      <c r="E284" s="187"/>
    </row>
    <row r="285" spans="5:5" ht="13">
      <c r="E285" s="187"/>
    </row>
    <row r="286" spans="5:5" ht="13">
      <c r="E286" s="187"/>
    </row>
    <row r="287" spans="5:5" ht="13">
      <c r="E287" s="187"/>
    </row>
    <row r="288" spans="5:5" ht="13">
      <c r="E288" s="187"/>
    </row>
    <row r="289" spans="5:5" ht="13">
      <c r="E289" s="187"/>
    </row>
    <row r="290" spans="5:5" ht="13">
      <c r="E290" s="187"/>
    </row>
    <row r="291" spans="5:5" ht="13">
      <c r="E291" s="187"/>
    </row>
    <row r="292" spans="5:5" ht="13">
      <c r="E292" s="187"/>
    </row>
    <row r="293" spans="5:5" ht="13">
      <c r="E293" s="187"/>
    </row>
    <row r="294" spans="5:5" ht="13">
      <c r="E294" s="187"/>
    </row>
    <row r="295" spans="5:5" ht="13">
      <c r="E295" s="187"/>
    </row>
    <row r="296" spans="5:5" ht="13">
      <c r="E296" s="187"/>
    </row>
    <row r="297" spans="5:5" ht="13">
      <c r="E297" s="187"/>
    </row>
    <row r="298" spans="5:5" ht="13">
      <c r="E298" s="187"/>
    </row>
    <row r="299" spans="5:5" ht="13">
      <c r="E299" s="187"/>
    </row>
    <row r="300" spans="5:5" ht="13">
      <c r="E300" s="187"/>
    </row>
    <row r="301" spans="5:5" ht="13">
      <c r="E301" s="187"/>
    </row>
    <row r="302" spans="5:5" ht="13">
      <c r="E302" s="187"/>
    </row>
    <row r="303" spans="5:5" ht="13">
      <c r="E303" s="187"/>
    </row>
    <row r="304" spans="5:5" ht="13">
      <c r="E304" s="187"/>
    </row>
    <row r="305" spans="5:5" ht="13">
      <c r="E305" s="187"/>
    </row>
    <row r="306" spans="5:5" ht="13">
      <c r="E306" s="187"/>
    </row>
    <row r="307" spans="5:5" ht="13">
      <c r="E307" s="187"/>
    </row>
    <row r="308" spans="5:5" ht="13">
      <c r="E308" s="187"/>
    </row>
    <row r="309" spans="5:5" ht="13">
      <c r="E309" s="187"/>
    </row>
    <row r="310" spans="5:5" ht="13">
      <c r="E310" s="187"/>
    </row>
    <row r="311" spans="5:5" ht="13">
      <c r="E311" s="187"/>
    </row>
    <row r="312" spans="5:5" ht="13">
      <c r="E312" s="187"/>
    </row>
    <row r="313" spans="5:5" ht="13">
      <c r="E313" s="187"/>
    </row>
    <row r="314" spans="5:5" ht="13">
      <c r="E314" s="187"/>
    </row>
    <row r="315" spans="5:5" ht="13">
      <c r="E315" s="187"/>
    </row>
    <row r="316" spans="5:5" ht="13">
      <c r="E316" s="187"/>
    </row>
    <row r="317" spans="5:5" ht="13">
      <c r="E317" s="187"/>
    </row>
    <row r="318" spans="5:5" ht="13">
      <c r="E318" s="187"/>
    </row>
    <row r="319" spans="5:5" ht="13">
      <c r="E319" s="187"/>
    </row>
    <row r="320" spans="5:5" ht="13">
      <c r="E320" s="187"/>
    </row>
    <row r="321" spans="5:5" ht="13">
      <c r="E321" s="187"/>
    </row>
    <row r="322" spans="5:5" ht="13">
      <c r="E322" s="187"/>
    </row>
    <row r="323" spans="5:5" ht="13">
      <c r="E323" s="187"/>
    </row>
    <row r="324" spans="5:5" ht="13">
      <c r="E324" s="187"/>
    </row>
    <row r="325" spans="5:5" ht="13">
      <c r="E325" s="187"/>
    </row>
    <row r="326" spans="5:5" ht="13">
      <c r="E326" s="187"/>
    </row>
    <row r="327" spans="5:5" ht="13">
      <c r="E327" s="187"/>
    </row>
    <row r="328" spans="5:5" ht="13">
      <c r="E328" s="187"/>
    </row>
    <row r="329" spans="5:5" ht="13">
      <c r="E329" s="187"/>
    </row>
    <row r="330" spans="5:5" ht="13">
      <c r="E330" s="187"/>
    </row>
    <row r="331" spans="5:5" ht="13">
      <c r="E331" s="187"/>
    </row>
    <row r="332" spans="5:5" ht="13">
      <c r="E332" s="187"/>
    </row>
    <row r="333" spans="5:5" ht="13">
      <c r="E333" s="187"/>
    </row>
    <row r="334" spans="5:5" ht="13">
      <c r="E334" s="187"/>
    </row>
    <row r="335" spans="5:5" ht="13">
      <c r="E335" s="187"/>
    </row>
    <row r="336" spans="5:5" ht="13">
      <c r="E336" s="187"/>
    </row>
    <row r="337" spans="5:5" ht="13">
      <c r="E337" s="187"/>
    </row>
    <row r="338" spans="5:5" ht="13">
      <c r="E338" s="187"/>
    </row>
    <row r="339" spans="5:5" ht="13">
      <c r="E339" s="187"/>
    </row>
    <row r="340" spans="5:5" ht="13">
      <c r="E340" s="187"/>
    </row>
    <row r="341" spans="5:5" ht="13">
      <c r="E341" s="187"/>
    </row>
    <row r="342" spans="5:5" ht="13">
      <c r="E342" s="187"/>
    </row>
    <row r="343" spans="5:5" ht="13">
      <c r="E343" s="187"/>
    </row>
    <row r="344" spans="5:5" ht="13">
      <c r="E344" s="187"/>
    </row>
    <row r="345" spans="5:5" ht="13">
      <c r="E345" s="187"/>
    </row>
    <row r="346" spans="5:5" ht="13">
      <c r="E346" s="187"/>
    </row>
    <row r="347" spans="5:5" ht="13">
      <c r="E347" s="187"/>
    </row>
    <row r="348" spans="5:5" ht="13">
      <c r="E348" s="187"/>
    </row>
    <row r="349" spans="5:5" ht="13">
      <c r="E349" s="187"/>
    </row>
    <row r="350" spans="5:5" ht="13">
      <c r="E350" s="187"/>
    </row>
    <row r="351" spans="5:5" ht="13">
      <c r="E351" s="187"/>
    </row>
    <row r="352" spans="5:5" ht="13">
      <c r="E352" s="187"/>
    </row>
    <row r="353" spans="5:5" ht="13">
      <c r="E353" s="187"/>
    </row>
    <row r="354" spans="5:5" ht="13">
      <c r="E354" s="187"/>
    </row>
    <row r="355" spans="5:5" ht="13">
      <c r="E355" s="187"/>
    </row>
    <row r="356" spans="5:5" ht="13">
      <c r="E356" s="187"/>
    </row>
    <row r="357" spans="5:5" ht="13">
      <c r="E357" s="187"/>
    </row>
    <row r="358" spans="5:5" ht="13">
      <c r="E358" s="187"/>
    </row>
    <row r="359" spans="5:5" ht="13">
      <c r="E359" s="187"/>
    </row>
    <row r="360" spans="5:5" ht="13">
      <c r="E360" s="187"/>
    </row>
    <row r="361" spans="5:5" ht="13">
      <c r="E361" s="187"/>
    </row>
    <row r="362" spans="5:5" ht="13">
      <c r="E362" s="187"/>
    </row>
    <row r="363" spans="5:5" ht="13">
      <c r="E363" s="187"/>
    </row>
    <row r="364" spans="5:5" ht="13">
      <c r="E364" s="187"/>
    </row>
    <row r="365" spans="5:5" ht="13">
      <c r="E365" s="187"/>
    </row>
    <row r="366" spans="5:5" ht="13">
      <c r="E366" s="187"/>
    </row>
    <row r="367" spans="5:5" ht="13">
      <c r="E367" s="187"/>
    </row>
    <row r="368" spans="5:5" ht="13">
      <c r="E368" s="187"/>
    </row>
    <row r="369" spans="5:5" ht="13">
      <c r="E369" s="187"/>
    </row>
    <row r="370" spans="5:5" ht="13">
      <c r="E370" s="187"/>
    </row>
    <row r="371" spans="5:5" ht="13">
      <c r="E371" s="187"/>
    </row>
    <row r="372" spans="5:5" ht="13">
      <c r="E372" s="187"/>
    </row>
    <row r="373" spans="5:5" ht="13">
      <c r="E373" s="187"/>
    </row>
    <row r="374" spans="5:5" ht="13">
      <c r="E374" s="187"/>
    </row>
    <row r="375" spans="5:5" ht="13">
      <c r="E375" s="187"/>
    </row>
    <row r="376" spans="5:5" ht="13">
      <c r="E376" s="187"/>
    </row>
    <row r="377" spans="5:5" ht="13">
      <c r="E377" s="187"/>
    </row>
    <row r="378" spans="5:5" ht="13">
      <c r="E378" s="187"/>
    </row>
    <row r="379" spans="5:5" ht="13">
      <c r="E379" s="187"/>
    </row>
    <row r="380" spans="5:5" ht="13">
      <c r="E380" s="187"/>
    </row>
    <row r="381" spans="5:5" ht="13">
      <c r="E381" s="187"/>
    </row>
    <row r="382" spans="5:5" ht="13">
      <c r="E382" s="187"/>
    </row>
    <row r="383" spans="5:5" ht="13">
      <c r="E383" s="187"/>
    </row>
    <row r="384" spans="5:5" ht="13">
      <c r="E384" s="187"/>
    </row>
    <row r="385" spans="5:5" ht="13">
      <c r="E385" s="187"/>
    </row>
    <row r="386" spans="5:5" ht="13">
      <c r="E386" s="187"/>
    </row>
    <row r="387" spans="5:5" ht="13">
      <c r="E387" s="187"/>
    </row>
    <row r="388" spans="5:5" ht="13">
      <c r="E388" s="187"/>
    </row>
    <row r="389" spans="5:5" ht="13">
      <c r="E389" s="187"/>
    </row>
    <row r="390" spans="5:5" ht="13">
      <c r="E390" s="187"/>
    </row>
    <row r="391" spans="5:5" ht="13">
      <c r="E391" s="187"/>
    </row>
    <row r="392" spans="5:5" ht="13">
      <c r="E392" s="187"/>
    </row>
    <row r="393" spans="5:5" ht="13">
      <c r="E393" s="187"/>
    </row>
    <row r="394" spans="5:5" ht="13">
      <c r="E394" s="187"/>
    </row>
    <row r="395" spans="5:5" ht="13">
      <c r="E395" s="187"/>
    </row>
    <row r="396" spans="5:5" ht="13">
      <c r="E396" s="187"/>
    </row>
    <row r="397" spans="5:5" ht="13">
      <c r="E397" s="187"/>
    </row>
    <row r="398" spans="5:5" ht="13">
      <c r="E398" s="187"/>
    </row>
    <row r="399" spans="5:5" ht="13">
      <c r="E399" s="187"/>
    </row>
    <row r="400" spans="5:5" ht="13">
      <c r="E400" s="187"/>
    </row>
    <row r="401" spans="5:5" ht="13">
      <c r="E401" s="187"/>
    </row>
    <row r="402" spans="5:5" ht="13">
      <c r="E402" s="187"/>
    </row>
    <row r="403" spans="5:5" ht="13">
      <c r="E403" s="187"/>
    </row>
    <row r="404" spans="5:5" ht="13">
      <c r="E404" s="187"/>
    </row>
    <row r="405" spans="5:5" ht="13">
      <c r="E405" s="187"/>
    </row>
    <row r="406" spans="5:5" ht="13">
      <c r="E406" s="187"/>
    </row>
    <row r="407" spans="5:5" ht="13">
      <c r="E407" s="187"/>
    </row>
    <row r="408" spans="5:5" ht="13">
      <c r="E408" s="187"/>
    </row>
    <row r="409" spans="5:5" ht="13">
      <c r="E409" s="187"/>
    </row>
    <row r="410" spans="5:5" ht="13">
      <c r="E410" s="187"/>
    </row>
    <row r="411" spans="5:5" ht="13">
      <c r="E411" s="187"/>
    </row>
    <row r="412" spans="5:5" ht="13">
      <c r="E412" s="187"/>
    </row>
    <row r="413" spans="5:5" ht="13">
      <c r="E413" s="187"/>
    </row>
    <row r="414" spans="5:5" ht="13">
      <c r="E414" s="187"/>
    </row>
    <row r="415" spans="5:5" ht="13">
      <c r="E415" s="187"/>
    </row>
    <row r="416" spans="5:5" ht="13">
      <c r="E416" s="187"/>
    </row>
    <row r="417" spans="5:5" ht="13">
      <c r="E417" s="187"/>
    </row>
    <row r="418" spans="5:5" ht="13">
      <c r="E418" s="187"/>
    </row>
    <row r="419" spans="5:5" ht="13">
      <c r="E419" s="187"/>
    </row>
    <row r="420" spans="5:5" ht="13">
      <c r="E420" s="187"/>
    </row>
    <row r="421" spans="5:5" ht="13">
      <c r="E421" s="187"/>
    </row>
    <row r="422" spans="5:5" ht="13">
      <c r="E422" s="187"/>
    </row>
    <row r="423" spans="5:5" ht="13">
      <c r="E423" s="187"/>
    </row>
    <row r="424" spans="5:5" ht="13">
      <c r="E424" s="187"/>
    </row>
    <row r="425" spans="5:5" ht="13">
      <c r="E425" s="187"/>
    </row>
    <row r="426" spans="5:5" ht="13">
      <c r="E426" s="187"/>
    </row>
    <row r="427" spans="5:5" ht="13">
      <c r="E427" s="187"/>
    </row>
    <row r="428" spans="5:5" ht="13">
      <c r="E428" s="187"/>
    </row>
    <row r="429" spans="5:5" ht="13">
      <c r="E429" s="187"/>
    </row>
    <row r="430" spans="5:5" ht="13">
      <c r="E430" s="187"/>
    </row>
    <row r="431" spans="5:5" ht="13">
      <c r="E431" s="187"/>
    </row>
    <row r="432" spans="5:5" ht="13">
      <c r="E432" s="187"/>
    </row>
    <row r="433" spans="5:5" ht="13">
      <c r="E433" s="187"/>
    </row>
    <row r="434" spans="5:5" ht="13">
      <c r="E434" s="187"/>
    </row>
    <row r="435" spans="5:5" ht="13">
      <c r="E435" s="187"/>
    </row>
    <row r="436" spans="5:5" ht="13">
      <c r="E436" s="187"/>
    </row>
    <row r="437" spans="5:5" ht="13">
      <c r="E437" s="187"/>
    </row>
    <row r="438" spans="5:5" ht="13">
      <c r="E438" s="187"/>
    </row>
    <row r="439" spans="5:5" ht="13">
      <c r="E439" s="187"/>
    </row>
    <row r="440" spans="5:5" ht="13">
      <c r="E440" s="187"/>
    </row>
    <row r="441" spans="5:5" ht="13">
      <c r="E441" s="187"/>
    </row>
    <row r="442" spans="5:5" ht="13">
      <c r="E442" s="187"/>
    </row>
    <row r="443" spans="5:5" ht="13">
      <c r="E443" s="187"/>
    </row>
    <row r="444" spans="5:5" ht="13">
      <c r="E444" s="187"/>
    </row>
    <row r="445" spans="5:5" ht="13">
      <c r="E445" s="187"/>
    </row>
    <row r="446" spans="5:5" ht="13">
      <c r="E446" s="187"/>
    </row>
    <row r="447" spans="5:5" ht="13">
      <c r="E447" s="187"/>
    </row>
    <row r="448" spans="5:5" ht="13">
      <c r="E448" s="187"/>
    </row>
    <row r="449" spans="5:5" ht="13">
      <c r="E449" s="187"/>
    </row>
    <row r="450" spans="5:5" ht="13">
      <c r="E450" s="187"/>
    </row>
    <row r="451" spans="5:5" ht="13">
      <c r="E451" s="187"/>
    </row>
    <row r="452" spans="5:5" ht="13">
      <c r="E452" s="187"/>
    </row>
    <row r="453" spans="5:5" ht="13">
      <c r="E453" s="187"/>
    </row>
    <row r="454" spans="5:5" ht="13">
      <c r="E454" s="187"/>
    </row>
    <row r="455" spans="5:5" ht="13">
      <c r="E455" s="187"/>
    </row>
    <row r="456" spans="5:5" ht="13">
      <c r="E456" s="187"/>
    </row>
    <row r="457" spans="5:5" ht="13">
      <c r="E457" s="187"/>
    </row>
    <row r="458" spans="5:5" ht="13">
      <c r="E458" s="187"/>
    </row>
    <row r="459" spans="5:5" ht="13">
      <c r="E459" s="187"/>
    </row>
    <row r="460" spans="5:5" ht="13">
      <c r="E460" s="187"/>
    </row>
    <row r="461" spans="5:5" ht="13">
      <c r="E461" s="187"/>
    </row>
    <row r="462" spans="5:5" ht="13">
      <c r="E462" s="187"/>
    </row>
    <row r="463" spans="5:5" ht="13">
      <c r="E463" s="187"/>
    </row>
    <row r="464" spans="5:5" ht="13">
      <c r="E464" s="187"/>
    </row>
    <row r="465" spans="5:5" ht="13">
      <c r="E465" s="187"/>
    </row>
    <row r="466" spans="5:5" ht="13">
      <c r="E466" s="187"/>
    </row>
    <row r="467" spans="5:5" ht="13">
      <c r="E467" s="187"/>
    </row>
    <row r="468" spans="5:5" ht="13">
      <c r="E468" s="187"/>
    </row>
    <row r="469" spans="5:5" ht="13">
      <c r="E469" s="187"/>
    </row>
    <row r="470" spans="5:5" ht="13">
      <c r="E470" s="187"/>
    </row>
    <row r="471" spans="5:5" ht="13">
      <c r="E471" s="187"/>
    </row>
    <row r="472" spans="5:5" ht="13">
      <c r="E472" s="187"/>
    </row>
    <row r="473" spans="5:5" ht="13">
      <c r="E473" s="187"/>
    </row>
    <row r="474" spans="5:5" ht="13">
      <c r="E474" s="187"/>
    </row>
    <row r="475" spans="5:5" ht="13">
      <c r="E475" s="187"/>
    </row>
    <row r="476" spans="5:5" ht="13">
      <c r="E476" s="187"/>
    </row>
    <row r="477" spans="5:5" ht="13">
      <c r="E477" s="187"/>
    </row>
    <row r="478" spans="5:5" ht="13">
      <c r="E478" s="187"/>
    </row>
    <row r="479" spans="5:5" ht="13">
      <c r="E479" s="187"/>
    </row>
    <row r="480" spans="5:5" ht="13">
      <c r="E480" s="187"/>
    </row>
    <row r="481" spans="5:5" ht="13">
      <c r="E481" s="187"/>
    </row>
    <row r="482" spans="5:5" ht="13">
      <c r="E482" s="187"/>
    </row>
    <row r="483" spans="5:5" ht="13">
      <c r="E483" s="187"/>
    </row>
    <row r="484" spans="5:5" ht="13">
      <c r="E484" s="187"/>
    </row>
    <row r="485" spans="5:5" ht="13">
      <c r="E485" s="187"/>
    </row>
    <row r="486" spans="5:5" ht="13">
      <c r="E486" s="187"/>
    </row>
    <row r="487" spans="5:5" ht="13">
      <c r="E487" s="187"/>
    </row>
    <row r="488" spans="5:5" ht="13">
      <c r="E488" s="187"/>
    </row>
    <row r="489" spans="5:5" ht="13">
      <c r="E489" s="187"/>
    </row>
    <row r="490" spans="5:5" ht="13">
      <c r="E490" s="187"/>
    </row>
    <row r="491" spans="5:5" ht="13">
      <c r="E491" s="187"/>
    </row>
    <row r="492" spans="5:5" ht="13">
      <c r="E492" s="187"/>
    </row>
    <row r="493" spans="5:5" ht="13">
      <c r="E493" s="187"/>
    </row>
    <row r="494" spans="5:5" ht="13">
      <c r="E494" s="187"/>
    </row>
    <row r="495" spans="5:5" ht="13">
      <c r="E495" s="187"/>
    </row>
    <row r="496" spans="5:5" ht="13">
      <c r="E496" s="187"/>
    </row>
    <row r="497" spans="5:5" ht="13">
      <c r="E497" s="187"/>
    </row>
    <row r="498" spans="5:5" ht="13">
      <c r="E498" s="187"/>
    </row>
    <row r="499" spans="5:5" ht="13">
      <c r="E499" s="187"/>
    </row>
    <row r="500" spans="5:5" ht="13">
      <c r="E500" s="187"/>
    </row>
    <row r="501" spans="5:5" ht="13">
      <c r="E501" s="187"/>
    </row>
    <row r="502" spans="5:5" ht="13">
      <c r="E502" s="187"/>
    </row>
    <row r="503" spans="5:5" ht="13">
      <c r="E503" s="187"/>
    </row>
    <row r="504" spans="5:5" ht="13">
      <c r="E504" s="187"/>
    </row>
    <row r="505" spans="5:5" ht="13">
      <c r="E505" s="187"/>
    </row>
    <row r="506" spans="5:5" ht="13">
      <c r="E506" s="187"/>
    </row>
    <row r="507" spans="5:5" ht="13">
      <c r="E507" s="187"/>
    </row>
    <row r="508" spans="5:5" ht="13">
      <c r="E508" s="187"/>
    </row>
    <row r="509" spans="5:5" ht="13">
      <c r="E509" s="187"/>
    </row>
    <row r="510" spans="5:5" ht="13">
      <c r="E510" s="187"/>
    </row>
    <row r="511" spans="5:5" ht="13">
      <c r="E511" s="187"/>
    </row>
    <row r="512" spans="5:5" ht="13">
      <c r="E512" s="187"/>
    </row>
    <row r="513" spans="5:5" ht="13">
      <c r="E513" s="187"/>
    </row>
    <row r="514" spans="5:5" ht="13">
      <c r="E514" s="187"/>
    </row>
    <row r="515" spans="5:5" ht="13">
      <c r="E515" s="187"/>
    </row>
    <row r="516" spans="5:5" ht="13">
      <c r="E516" s="187"/>
    </row>
    <row r="517" spans="5:5" ht="13">
      <c r="E517" s="187"/>
    </row>
    <row r="518" spans="5:5" ht="13">
      <c r="E518" s="187"/>
    </row>
    <row r="519" spans="5:5" ht="13">
      <c r="E519" s="187"/>
    </row>
    <row r="520" spans="5:5" ht="13">
      <c r="E520" s="187"/>
    </row>
    <row r="521" spans="5:5" ht="13">
      <c r="E521" s="187"/>
    </row>
    <row r="522" spans="5:5" ht="13">
      <c r="E522" s="187"/>
    </row>
    <row r="523" spans="5:5" ht="13">
      <c r="E523" s="187"/>
    </row>
    <row r="524" spans="5:5" ht="13">
      <c r="E524" s="187"/>
    </row>
    <row r="525" spans="5:5" ht="13">
      <c r="E525" s="187"/>
    </row>
    <row r="526" spans="5:5" ht="13">
      <c r="E526" s="187"/>
    </row>
    <row r="527" spans="5:5" ht="13">
      <c r="E527" s="187"/>
    </row>
    <row r="528" spans="5:5" ht="13">
      <c r="E528" s="187"/>
    </row>
    <row r="529" spans="5:5" ht="13">
      <c r="E529" s="187"/>
    </row>
    <row r="530" spans="5:5" ht="13">
      <c r="E530" s="187"/>
    </row>
    <row r="531" spans="5:5" ht="13">
      <c r="E531" s="187"/>
    </row>
    <row r="532" spans="5:5" ht="13">
      <c r="E532" s="187"/>
    </row>
    <row r="533" spans="5:5" ht="13">
      <c r="E533" s="187"/>
    </row>
    <row r="534" spans="5:5" ht="13">
      <c r="E534" s="187"/>
    </row>
    <row r="535" spans="5:5" ht="13">
      <c r="E535" s="187"/>
    </row>
    <row r="536" spans="5:5" ht="13">
      <c r="E536" s="187"/>
    </row>
    <row r="537" spans="5:5" ht="13">
      <c r="E537" s="187"/>
    </row>
    <row r="538" spans="5:5" ht="13">
      <c r="E538" s="187"/>
    </row>
    <row r="539" spans="5:5" ht="13">
      <c r="E539" s="187"/>
    </row>
    <row r="540" spans="5:5" ht="13">
      <c r="E540" s="187"/>
    </row>
    <row r="541" spans="5:5" ht="13">
      <c r="E541" s="187"/>
    </row>
    <row r="542" spans="5:5" ht="13">
      <c r="E542" s="187"/>
    </row>
    <row r="543" spans="5:5" ht="13">
      <c r="E543" s="187"/>
    </row>
    <row r="544" spans="5:5" ht="13">
      <c r="E544" s="187"/>
    </row>
    <row r="545" spans="5:5" ht="13">
      <c r="E545" s="187"/>
    </row>
    <row r="546" spans="5:5" ht="13">
      <c r="E546" s="187"/>
    </row>
    <row r="547" spans="5:5" ht="13">
      <c r="E547" s="187"/>
    </row>
    <row r="548" spans="5:5" ht="13">
      <c r="E548" s="187"/>
    </row>
    <row r="549" spans="5:5" ht="13">
      <c r="E549" s="187"/>
    </row>
    <row r="550" spans="5:5" ht="13">
      <c r="E550" s="187"/>
    </row>
    <row r="551" spans="5:5" ht="13">
      <c r="E551" s="187"/>
    </row>
    <row r="552" spans="5:5" ht="13">
      <c r="E552" s="187"/>
    </row>
    <row r="553" spans="5:5" ht="13">
      <c r="E553" s="187"/>
    </row>
    <row r="554" spans="5:5" ht="13">
      <c r="E554" s="187"/>
    </row>
    <row r="555" spans="5:5" ht="13">
      <c r="E555" s="187"/>
    </row>
    <row r="556" spans="5:5" ht="13">
      <c r="E556" s="187"/>
    </row>
    <row r="557" spans="5:5" ht="13">
      <c r="E557" s="187"/>
    </row>
    <row r="558" spans="5:5" ht="13">
      <c r="E558" s="187"/>
    </row>
    <row r="559" spans="5:5" ht="13">
      <c r="E559" s="187"/>
    </row>
    <row r="560" spans="5:5" ht="13">
      <c r="E560" s="187"/>
    </row>
    <row r="561" spans="5:5" ht="13">
      <c r="E561" s="187"/>
    </row>
    <row r="562" spans="5:5" ht="13">
      <c r="E562" s="187"/>
    </row>
    <row r="563" spans="5:5" ht="13">
      <c r="E563" s="187"/>
    </row>
    <row r="564" spans="5:5" ht="13">
      <c r="E564" s="187"/>
    </row>
    <row r="565" spans="5:5" ht="13">
      <c r="E565" s="187"/>
    </row>
    <row r="566" spans="5:5" ht="13">
      <c r="E566" s="187"/>
    </row>
    <row r="567" spans="5:5" ht="13">
      <c r="E567" s="187"/>
    </row>
    <row r="568" spans="5:5" ht="13">
      <c r="E568" s="187"/>
    </row>
    <row r="569" spans="5:5" ht="13">
      <c r="E569" s="187"/>
    </row>
    <row r="570" spans="5:5" ht="13">
      <c r="E570" s="187"/>
    </row>
    <row r="571" spans="5:5" ht="13">
      <c r="E571" s="187"/>
    </row>
    <row r="572" spans="5:5" ht="13">
      <c r="E572" s="187"/>
    </row>
    <row r="573" spans="5:5" ht="13">
      <c r="E573" s="187"/>
    </row>
    <row r="574" spans="5:5" ht="13">
      <c r="E574" s="187"/>
    </row>
    <row r="575" spans="5:5" ht="13">
      <c r="E575" s="187"/>
    </row>
    <row r="576" spans="5:5" ht="13">
      <c r="E576" s="187"/>
    </row>
    <row r="577" spans="5:5" ht="13">
      <c r="E577" s="187"/>
    </row>
    <row r="578" spans="5:5" ht="13">
      <c r="E578" s="187"/>
    </row>
    <row r="579" spans="5:5" ht="13">
      <c r="E579" s="187"/>
    </row>
    <row r="580" spans="5:5" ht="13">
      <c r="E580" s="187"/>
    </row>
    <row r="581" spans="5:5" ht="13">
      <c r="E581" s="187"/>
    </row>
    <row r="582" spans="5:5" ht="13">
      <c r="E582" s="187"/>
    </row>
    <row r="583" spans="5:5" ht="13">
      <c r="E583" s="187"/>
    </row>
    <row r="584" spans="5:5" ht="13">
      <c r="E584" s="187"/>
    </row>
    <row r="585" spans="5:5" ht="13">
      <c r="E585" s="187"/>
    </row>
    <row r="586" spans="5:5" ht="13">
      <c r="E586" s="187"/>
    </row>
    <row r="587" spans="5:5" ht="13">
      <c r="E587" s="187"/>
    </row>
    <row r="588" spans="5:5" ht="13">
      <c r="E588" s="187"/>
    </row>
    <row r="589" spans="5:5" ht="13">
      <c r="E589" s="187"/>
    </row>
    <row r="590" spans="5:5" ht="13">
      <c r="E590" s="187"/>
    </row>
    <row r="591" spans="5:5" ht="13">
      <c r="E591" s="187"/>
    </row>
    <row r="592" spans="5:5" ht="13">
      <c r="E592" s="187"/>
    </row>
    <row r="593" spans="5:5" ht="13">
      <c r="E593" s="187"/>
    </row>
    <row r="594" spans="5:5" ht="13">
      <c r="E594" s="187"/>
    </row>
    <row r="595" spans="5:5" ht="13">
      <c r="E595" s="187"/>
    </row>
    <row r="596" spans="5:5" ht="13">
      <c r="E596" s="187"/>
    </row>
    <row r="597" spans="5:5" ht="13">
      <c r="E597" s="187"/>
    </row>
    <row r="598" spans="5:5" ht="13">
      <c r="E598" s="187"/>
    </row>
    <row r="599" spans="5:5" ht="13">
      <c r="E599" s="187"/>
    </row>
    <row r="600" spans="5:5" ht="13">
      <c r="E600" s="187"/>
    </row>
    <row r="601" spans="5:5" ht="13">
      <c r="E601" s="187"/>
    </row>
    <row r="602" spans="5:5" ht="13">
      <c r="E602" s="187"/>
    </row>
    <row r="603" spans="5:5" ht="13">
      <c r="E603" s="187"/>
    </row>
    <row r="604" spans="5:5" ht="13">
      <c r="E604" s="187"/>
    </row>
    <row r="605" spans="5:5" ht="13">
      <c r="E605" s="187"/>
    </row>
    <row r="606" spans="5:5" ht="13">
      <c r="E606" s="187"/>
    </row>
    <row r="607" spans="5:5" ht="13">
      <c r="E607" s="187"/>
    </row>
    <row r="608" spans="5:5" ht="13">
      <c r="E608" s="187"/>
    </row>
    <row r="609" spans="5:5" ht="13">
      <c r="E609" s="187"/>
    </row>
    <row r="610" spans="5:5" ht="13">
      <c r="E610" s="187"/>
    </row>
    <row r="611" spans="5:5" ht="13">
      <c r="E611" s="187"/>
    </row>
    <row r="612" spans="5:5" ht="13">
      <c r="E612" s="187"/>
    </row>
    <row r="613" spans="5:5" ht="13">
      <c r="E613" s="187"/>
    </row>
    <row r="614" spans="5:5" ht="13">
      <c r="E614" s="187"/>
    </row>
    <row r="615" spans="5:5" ht="13">
      <c r="E615" s="187"/>
    </row>
    <row r="616" spans="5:5" ht="13">
      <c r="E616" s="187"/>
    </row>
    <row r="617" spans="5:5" ht="13">
      <c r="E617" s="187"/>
    </row>
    <row r="618" spans="5:5" ht="13">
      <c r="E618" s="187"/>
    </row>
    <row r="619" spans="5:5" ht="13">
      <c r="E619" s="187"/>
    </row>
    <row r="620" spans="5:5" ht="13">
      <c r="E620" s="187"/>
    </row>
    <row r="621" spans="5:5" ht="13">
      <c r="E621" s="187"/>
    </row>
    <row r="622" spans="5:5" ht="13">
      <c r="E622" s="187"/>
    </row>
    <row r="623" spans="5:5" ht="13">
      <c r="E623" s="187"/>
    </row>
    <row r="624" spans="5:5" ht="13">
      <c r="E624" s="187"/>
    </row>
    <row r="625" spans="5:5" ht="13">
      <c r="E625" s="187"/>
    </row>
    <row r="626" spans="5:5" ht="13">
      <c r="E626" s="187"/>
    </row>
    <row r="627" spans="5:5" ht="13">
      <c r="E627" s="187"/>
    </row>
    <row r="628" spans="5:5" ht="13">
      <c r="E628" s="187"/>
    </row>
    <row r="629" spans="5:5" ht="13">
      <c r="E629" s="187"/>
    </row>
    <row r="630" spans="5:5" ht="13">
      <c r="E630" s="187"/>
    </row>
    <row r="631" spans="5:5" ht="13">
      <c r="E631" s="187"/>
    </row>
    <row r="632" spans="5:5" ht="13">
      <c r="E632" s="187"/>
    </row>
    <row r="633" spans="5:5" ht="13">
      <c r="E633" s="187"/>
    </row>
    <row r="634" spans="5:5" ht="13">
      <c r="E634" s="187"/>
    </row>
    <row r="635" spans="5:5" ht="13">
      <c r="E635" s="187"/>
    </row>
    <row r="636" spans="5:5" ht="13">
      <c r="E636" s="187"/>
    </row>
    <row r="637" spans="5:5" ht="13">
      <c r="E637" s="187"/>
    </row>
    <row r="638" spans="5:5" ht="13">
      <c r="E638" s="187"/>
    </row>
    <row r="639" spans="5:5" ht="13">
      <c r="E639" s="187"/>
    </row>
    <row r="640" spans="5:5" ht="13">
      <c r="E640" s="187"/>
    </row>
    <row r="641" spans="5:5" ht="13">
      <c r="E641" s="187"/>
    </row>
    <row r="642" spans="5:5" ht="13">
      <c r="E642" s="187"/>
    </row>
    <row r="643" spans="5:5" ht="13">
      <c r="E643" s="187"/>
    </row>
    <row r="644" spans="5:5" ht="13">
      <c r="E644" s="187"/>
    </row>
    <row r="645" spans="5:5" ht="13">
      <c r="E645" s="187"/>
    </row>
    <row r="646" spans="5:5" ht="13">
      <c r="E646" s="187"/>
    </row>
    <row r="647" spans="5:5" ht="13">
      <c r="E647" s="187"/>
    </row>
    <row r="648" spans="5:5" ht="13">
      <c r="E648" s="187"/>
    </row>
    <row r="649" spans="5:5" ht="13">
      <c r="E649" s="187"/>
    </row>
    <row r="650" spans="5:5" ht="13">
      <c r="E650" s="187"/>
    </row>
    <row r="651" spans="5:5" ht="13">
      <c r="E651" s="187"/>
    </row>
    <row r="652" spans="5:5" ht="13">
      <c r="E652" s="187"/>
    </row>
    <row r="653" spans="5:5" ht="13">
      <c r="E653" s="187"/>
    </row>
    <row r="654" spans="5:5" ht="13">
      <c r="E654" s="187"/>
    </row>
    <row r="655" spans="5:5" ht="13">
      <c r="E655" s="187"/>
    </row>
    <row r="656" spans="5:5" ht="13">
      <c r="E656" s="187"/>
    </row>
    <row r="657" spans="5:5" ht="13">
      <c r="E657" s="187"/>
    </row>
    <row r="658" spans="5:5" ht="13">
      <c r="E658" s="187"/>
    </row>
    <row r="659" spans="5:5" ht="13">
      <c r="E659" s="187"/>
    </row>
    <row r="660" spans="5:5" ht="13">
      <c r="E660" s="187"/>
    </row>
    <row r="661" spans="5:5" ht="13">
      <c r="E661" s="187"/>
    </row>
    <row r="662" spans="5:5" ht="13">
      <c r="E662" s="187"/>
    </row>
    <row r="663" spans="5:5" ht="13">
      <c r="E663" s="187"/>
    </row>
    <row r="664" spans="5:5" ht="13">
      <c r="E664" s="187"/>
    </row>
    <row r="665" spans="5:5" ht="13">
      <c r="E665" s="187"/>
    </row>
    <row r="666" spans="5:5" ht="13">
      <c r="E666" s="187"/>
    </row>
    <row r="667" spans="5:5" ht="13">
      <c r="E667" s="187"/>
    </row>
    <row r="668" spans="5:5" ht="13">
      <c r="E668" s="187"/>
    </row>
    <row r="669" spans="5:5" ht="13">
      <c r="E669" s="187"/>
    </row>
    <row r="670" spans="5:5" ht="13">
      <c r="E670" s="187"/>
    </row>
    <row r="671" spans="5:5" ht="13">
      <c r="E671" s="187"/>
    </row>
    <row r="672" spans="5:5" ht="13">
      <c r="E672" s="187"/>
    </row>
    <row r="673" spans="5:5" ht="13">
      <c r="E673" s="187"/>
    </row>
    <row r="674" spans="5:5" ht="13">
      <c r="E674" s="187"/>
    </row>
    <row r="675" spans="5:5" ht="13">
      <c r="E675" s="187"/>
    </row>
    <row r="676" spans="5:5" ht="13">
      <c r="E676" s="187"/>
    </row>
    <row r="677" spans="5:5" ht="13">
      <c r="E677" s="187"/>
    </row>
    <row r="678" spans="5:5" ht="13">
      <c r="E678" s="187"/>
    </row>
    <row r="679" spans="5:5" ht="13">
      <c r="E679" s="187"/>
    </row>
    <row r="680" spans="5:5" ht="13">
      <c r="E680" s="187"/>
    </row>
    <row r="681" spans="5:5" ht="13">
      <c r="E681" s="187"/>
    </row>
    <row r="682" spans="5:5" ht="13">
      <c r="E682" s="187"/>
    </row>
    <row r="683" spans="5:5" ht="13">
      <c r="E683" s="187"/>
    </row>
    <row r="684" spans="5:5" ht="13">
      <c r="E684" s="187"/>
    </row>
    <row r="685" spans="5:5" ht="13">
      <c r="E685" s="187"/>
    </row>
    <row r="686" spans="5:5" ht="13">
      <c r="E686" s="187"/>
    </row>
    <row r="687" spans="5:5" ht="13">
      <c r="E687" s="187"/>
    </row>
    <row r="688" spans="5:5" ht="13">
      <c r="E688" s="187"/>
    </row>
    <row r="689" spans="5:5" ht="13">
      <c r="E689" s="187"/>
    </row>
    <row r="690" spans="5:5" ht="13">
      <c r="E690" s="187"/>
    </row>
    <row r="691" spans="5:5" ht="13">
      <c r="E691" s="187"/>
    </row>
    <row r="692" spans="5:5" ht="13">
      <c r="E692" s="187"/>
    </row>
    <row r="693" spans="5:5" ht="13">
      <c r="E693" s="187"/>
    </row>
    <row r="694" spans="5:5" ht="13">
      <c r="E694" s="187"/>
    </row>
    <row r="695" spans="5:5" ht="13">
      <c r="E695" s="187"/>
    </row>
    <row r="696" spans="5:5" ht="13">
      <c r="E696" s="187"/>
    </row>
    <row r="697" spans="5:5" ht="13">
      <c r="E697" s="187"/>
    </row>
    <row r="698" spans="5:5" ht="13">
      <c r="E698" s="187"/>
    </row>
    <row r="699" spans="5:5" ht="13">
      <c r="E699" s="187"/>
    </row>
    <row r="700" spans="5:5" ht="13">
      <c r="E700" s="187"/>
    </row>
    <row r="701" spans="5:5" ht="13">
      <c r="E701" s="187"/>
    </row>
    <row r="702" spans="5:5" ht="13">
      <c r="E702" s="187"/>
    </row>
    <row r="703" spans="5:5" ht="13">
      <c r="E703" s="187"/>
    </row>
    <row r="704" spans="5:5" ht="13">
      <c r="E704" s="187"/>
    </row>
    <row r="705" spans="5:5" ht="13">
      <c r="E705" s="187"/>
    </row>
    <row r="706" spans="5:5" ht="13">
      <c r="E706" s="187"/>
    </row>
    <row r="707" spans="5:5" ht="13">
      <c r="E707" s="187"/>
    </row>
    <row r="708" spans="5:5" ht="13">
      <c r="E708" s="187"/>
    </row>
    <row r="709" spans="5:5" ht="13">
      <c r="E709" s="187"/>
    </row>
    <row r="710" spans="5:5" ht="13">
      <c r="E710" s="187"/>
    </row>
    <row r="711" spans="5:5" ht="13">
      <c r="E711" s="187"/>
    </row>
    <row r="712" spans="5:5" ht="13">
      <c r="E712" s="187"/>
    </row>
    <row r="713" spans="5:5" ht="13">
      <c r="E713" s="187"/>
    </row>
    <row r="714" spans="5:5" ht="13">
      <c r="E714" s="187"/>
    </row>
    <row r="715" spans="5:5" ht="13">
      <c r="E715" s="187"/>
    </row>
    <row r="716" spans="5:5" ht="13">
      <c r="E716" s="187"/>
    </row>
    <row r="717" spans="5:5" ht="13">
      <c r="E717" s="187"/>
    </row>
    <row r="718" spans="5:5" ht="13">
      <c r="E718" s="187"/>
    </row>
    <row r="719" spans="5:5" ht="13">
      <c r="E719" s="187"/>
    </row>
    <row r="720" spans="5:5" ht="13">
      <c r="E720" s="187"/>
    </row>
    <row r="721" spans="5:5" ht="13">
      <c r="E721" s="187"/>
    </row>
    <row r="722" spans="5:5" ht="13">
      <c r="E722" s="187"/>
    </row>
    <row r="723" spans="5:5" ht="13">
      <c r="E723" s="187"/>
    </row>
    <row r="724" spans="5:5" ht="13">
      <c r="E724" s="187"/>
    </row>
    <row r="725" spans="5:5" ht="13">
      <c r="E725" s="187"/>
    </row>
    <row r="726" spans="5:5" ht="13">
      <c r="E726" s="187"/>
    </row>
    <row r="727" spans="5:5" ht="13">
      <c r="E727" s="187"/>
    </row>
    <row r="728" spans="5:5" ht="13">
      <c r="E728" s="187"/>
    </row>
    <row r="729" spans="5:5" ht="13">
      <c r="E729" s="187"/>
    </row>
    <row r="730" spans="5:5" ht="13">
      <c r="E730" s="187"/>
    </row>
    <row r="731" spans="5:5" ht="13">
      <c r="E731" s="187"/>
    </row>
    <row r="732" spans="5:5" ht="13">
      <c r="E732" s="187"/>
    </row>
    <row r="733" spans="5:5" ht="13">
      <c r="E733" s="187"/>
    </row>
    <row r="734" spans="5:5" ht="13">
      <c r="E734" s="187"/>
    </row>
    <row r="735" spans="5:5" ht="13">
      <c r="E735" s="187"/>
    </row>
    <row r="736" spans="5:5" ht="13">
      <c r="E736" s="187"/>
    </row>
    <row r="737" spans="5:5" ht="13">
      <c r="E737" s="187"/>
    </row>
    <row r="738" spans="5:5" ht="13">
      <c r="E738" s="187"/>
    </row>
    <row r="739" spans="5:5" ht="13">
      <c r="E739" s="187"/>
    </row>
    <row r="740" spans="5:5" ht="13">
      <c r="E740" s="187"/>
    </row>
    <row r="741" spans="5:5" ht="13">
      <c r="E741" s="187"/>
    </row>
    <row r="742" spans="5:5" ht="13">
      <c r="E742" s="187"/>
    </row>
    <row r="743" spans="5:5" ht="13">
      <c r="E743" s="187"/>
    </row>
    <row r="744" spans="5:5" ht="13">
      <c r="E744" s="187"/>
    </row>
    <row r="745" spans="5:5" ht="13">
      <c r="E745" s="187"/>
    </row>
    <row r="746" spans="5:5" ht="13">
      <c r="E746" s="187"/>
    </row>
    <row r="747" spans="5:5" ht="13">
      <c r="E747" s="187"/>
    </row>
    <row r="748" spans="5:5" ht="13">
      <c r="E748" s="187"/>
    </row>
    <row r="749" spans="5:5" ht="13">
      <c r="E749" s="187"/>
    </row>
    <row r="750" spans="5:5" ht="13">
      <c r="E750" s="187"/>
    </row>
    <row r="751" spans="5:5" ht="13">
      <c r="E751" s="187"/>
    </row>
    <row r="752" spans="5:5" ht="13">
      <c r="E752" s="187"/>
    </row>
    <row r="753" spans="5:5" ht="13">
      <c r="E753" s="187"/>
    </row>
    <row r="754" spans="5:5" ht="13">
      <c r="E754" s="187"/>
    </row>
    <row r="755" spans="5:5" ht="13">
      <c r="E755" s="187"/>
    </row>
    <row r="756" spans="5:5" ht="13">
      <c r="E756" s="187"/>
    </row>
    <row r="757" spans="5:5" ht="13">
      <c r="E757" s="187"/>
    </row>
    <row r="758" spans="5:5" ht="13">
      <c r="E758" s="187"/>
    </row>
    <row r="759" spans="5:5" ht="13">
      <c r="E759" s="187"/>
    </row>
    <row r="760" spans="5:5" ht="13">
      <c r="E760" s="187"/>
    </row>
    <row r="761" spans="5:5" ht="13">
      <c r="E761" s="187"/>
    </row>
    <row r="762" spans="5:5" ht="13">
      <c r="E762" s="187"/>
    </row>
    <row r="763" spans="5:5" ht="13">
      <c r="E763" s="187"/>
    </row>
    <row r="764" spans="5:5" ht="13">
      <c r="E764" s="187"/>
    </row>
    <row r="765" spans="5:5" ht="13">
      <c r="E765" s="187"/>
    </row>
    <row r="766" spans="5:5" ht="13">
      <c r="E766" s="187"/>
    </row>
    <row r="767" spans="5:5" ht="13">
      <c r="E767" s="187"/>
    </row>
    <row r="768" spans="5:5" ht="13">
      <c r="E768" s="187"/>
    </row>
    <row r="769" spans="5:5" ht="13">
      <c r="E769" s="187"/>
    </row>
    <row r="770" spans="5:5" ht="13">
      <c r="E770" s="187"/>
    </row>
    <row r="771" spans="5:5" ht="13">
      <c r="E771" s="187"/>
    </row>
    <row r="772" spans="5:5" ht="13">
      <c r="E772" s="187"/>
    </row>
    <row r="773" spans="5:5" ht="13">
      <c r="E773" s="187"/>
    </row>
    <row r="774" spans="5:5" ht="13">
      <c r="E774" s="187"/>
    </row>
    <row r="775" spans="5:5" ht="13">
      <c r="E775" s="187"/>
    </row>
    <row r="776" spans="5:5" ht="13">
      <c r="E776" s="187"/>
    </row>
    <row r="777" spans="5:5" ht="13">
      <c r="E777" s="187"/>
    </row>
    <row r="778" spans="5:5" ht="13">
      <c r="E778" s="187"/>
    </row>
    <row r="779" spans="5:5" ht="13">
      <c r="E779" s="187"/>
    </row>
    <row r="780" spans="5:5" ht="13">
      <c r="E780" s="187"/>
    </row>
    <row r="781" spans="5:5" ht="13">
      <c r="E781" s="187"/>
    </row>
    <row r="782" spans="5:5" ht="13">
      <c r="E782" s="187"/>
    </row>
    <row r="783" spans="5:5" ht="13">
      <c r="E783" s="187"/>
    </row>
    <row r="784" spans="5:5" ht="13">
      <c r="E784" s="187"/>
    </row>
    <row r="785" spans="5:5" ht="13">
      <c r="E785" s="187"/>
    </row>
    <row r="786" spans="5:5" ht="13">
      <c r="E786" s="187"/>
    </row>
    <row r="787" spans="5:5" ht="13">
      <c r="E787" s="187"/>
    </row>
    <row r="788" spans="5:5" ht="13">
      <c r="E788" s="187"/>
    </row>
    <row r="789" spans="5:5" ht="13">
      <c r="E789" s="187"/>
    </row>
    <row r="790" spans="5:5" ht="13">
      <c r="E790" s="187"/>
    </row>
    <row r="791" spans="5:5" ht="13">
      <c r="E791" s="187"/>
    </row>
    <row r="792" spans="5:5" ht="13">
      <c r="E792" s="187"/>
    </row>
    <row r="793" spans="5:5" ht="13">
      <c r="E793" s="187"/>
    </row>
    <row r="794" spans="5:5" ht="13">
      <c r="E794" s="187"/>
    </row>
    <row r="795" spans="5:5" ht="13">
      <c r="E795" s="187"/>
    </row>
    <row r="796" spans="5:5" ht="13">
      <c r="E796" s="187"/>
    </row>
    <row r="797" spans="5:5" ht="13">
      <c r="E797" s="187"/>
    </row>
    <row r="798" spans="5:5" ht="13">
      <c r="E798" s="187"/>
    </row>
    <row r="799" spans="5:5" ht="13">
      <c r="E799" s="187"/>
    </row>
    <row r="800" spans="5:5" ht="13">
      <c r="E800" s="187"/>
    </row>
    <row r="801" spans="5:5" ht="13">
      <c r="E801" s="187"/>
    </row>
    <row r="802" spans="5:5" ht="13">
      <c r="E802" s="187"/>
    </row>
    <row r="803" spans="5:5" ht="13">
      <c r="E803" s="187"/>
    </row>
    <row r="804" spans="5:5" ht="13">
      <c r="E804" s="187"/>
    </row>
    <row r="805" spans="5:5" ht="13">
      <c r="E805" s="187"/>
    </row>
    <row r="806" spans="5:5" ht="13">
      <c r="E806" s="187"/>
    </row>
    <row r="807" spans="5:5" ht="13">
      <c r="E807" s="187"/>
    </row>
    <row r="808" spans="5:5" ht="13">
      <c r="E808" s="187"/>
    </row>
    <row r="809" spans="5:5" ht="13">
      <c r="E809" s="187"/>
    </row>
    <row r="810" spans="5:5" ht="13">
      <c r="E810" s="187"/>
    </row>
    <row r="811" spans="5:5" ht="13">
      <c r="E811" s="187"/>
    </row>
    <row r="812" spans="5:5" ht="13">
      <c r="E812" s="187"/>
    </row>
    <row r="813" spans="5:5" ht="13">
      <c r="E813" s="187"/>
    </row>
    <row r="814" spans="5:5" ht="13">
      <c r="E814" s="187"/>
    </row>
    <row r="815" spans="5:5" ht="13">
      <c r="E815" s="187"/>
    </row>
    <row r="816" spans="5:5" ht="13">
      <c r="E816" s="187"/>
    </row>
    <row r="817" spans="5:5" ht="13">
      <c r="E817" s="187"/>
    </row>
    <row r="818" spans="5:5" ht="13">
      <c r="E818" s="187"/>
    </row>
    <row r="819" spans="5:5" ht="13">
      <c r="E819" s="187"/>
    </row>
    <row r="820" spans="5:5" ht="13">
      <c r="E820" s="187"/>
    </row>
    <row r="821" spans="5:5" ht="13">
      <c r="E821" s="187"/>
    </row>
    <row r="822" spans="5:5" ht="13">
      <c r="E822" s="187"/>
    </row>
    <row r="823" spans="5:5" ht="13">
      <c r="E823" s="187"/>
    </row>
    <row r="824" spans="5:5" ht="13">
      <c r="E824" s="187"/>
    </row>
    <row r="825" spans="5:5" ht="13">
      <c r="E825" s="187"/>
    </row>
    <row r="826" spans="5:5" ht="13">
      <c r="E826" s="187"/>
    </row>
    <row r="827" spans="5:5" ht="13">
      <c r="E827" s="187"/>
    </row>
    <row r="828" spans="5:5" ht="13">
      <c r="E828" s="187"/>
    </row>
    <row r="829" spans="5:5" ht="13">
      <c r="E829" s="187"/>
    </row>
    <row r="830" spans="5:5" ht="13">
      <c r="E830" s="187"/>
    </row>
    <row r="831" spans="5:5" ht="13">
      <c r="E831" s="187"/>
    </row>
    <row r="832" spans="5:5" ht="13">
      <c r="E832" s="187"/>
    </row>
    <row r="833" spans="5:5" ht="13">
      <c r="E833" s="187"/>
    </row>
    <row r="834" spans="5:5" ht="13">
      <c r="E834" s="187"/>
    </row>
    <row r="835" spans="5:5" ht="13">
      <c r="E835" s="187"/>
    </row>
    <row r="836" spans="5:5" ht="13">
      <c r="E836" s="187"/>
    </row>
    <row r="837" spans="5:5" ht="13">
      <c r="E837" s="187"/>
    </row>
    <row r="838" spans="5:5" ht="13">
      <c r="E838" s="187"/>
    </row>
    <row r="839" spans="5:5" ht="13">
      <c r="E839" s="187"/>
    </row>
    <row r="840" spans="5:5" ht="13">
      <c r="E840" s="187"/>
    </row>
    <row r="841" spans="5:5" ht="13">
      <c r="E841" s="187"/>
    </row>
    <row r="842" spans="5:5" ht="13">
      <c r="E842" s="187"/>
    </row>
    <row r="843" spans="5:5" ht="13">
      <c r="E843" s="187"/>
    </row>
    <row r="844" spans="5:5" ht="13">
      <c r="E844" s="187"/>
    </row>
    <row r="845" spans="5:5" ht="13">
      <c r="E845" s="187"/>
    </row>
    <row r="846" spans="5:5" ht="13">
      <c r="E846" s="187"/>
    </row>
    <row r="847" spans="5:5" ht="13">
      <c r="E847" s="187"/>
    </row>
    <row r="848" spans="5:5" ht="13">
      <c r="E848" s="187"/>
    </row>
    <row r="849" spans="5:5" ht="13">
      <c r="E849" s="187"/>
    </row>
    <row r="850" spans="5:5" ht="13">
      <c r="E850" s="187"/>
    </row>
    <row r="851" spans="5:5" ht="13">
      <c r="E851" s="187"/>
    </row>
    <row r="852" spans="5:5" ht="13">
      <c r="E852" s="187"/>
    </row>
    <row r="853" spans="5:5" ht="13">
      <c r="E853" s="187"/>
    </row>
    <row r="854" spans="5:5" ht="13">
      <c r="E854" s="187"/>
    </row>
    <row r="855" spans="5:5" ht="13">
      <c r="E855" s="187"/>
    </row>
    <row r="856" spans="5:5" ht="13">
      <c r="E856" s="187"/>
    </row>
    <row r="857" spans="5:5" ht="13">
      <c r="E857" s="187"/>
    </row>
    <row r="858" spans="5:5" ht="13">
      <c r="E858" s="187"/>
    </row>
    <row r="859" spans="5:5" ht="13">
      <c r="E859" s="187"/>
    </row>
    <row r="860" spans="5:5" ht="13">
      <c r="E860" s="187"/>
    </row>
    <row r="861" spans="5:5" ht="13">
      <c r="E861" s="187"/>
    </row>
    <row r="862" spans="5:5" ht="13">
      <c r="E862" s="187"/>
    </row>
    <row r="863" spans="5:5" ht="13">
      <c r="E863" s="187"/>
    </row>
    <row r="864" spans="5:5" ht="13">
      <c r="E864" s="187"/>
    </row>
    <row r="865" spans="5:5" ht="13">
      <c r="E865" s="187"/>
    </row>
    <row r="866" spans="5:5" ht="13">
      <c r="E866" s="187"/>
    </row>
    <row r="867" spans="5:5" ht="13">
      <c r="E867" s="187"/>
    </row>
    <row r="868" spans="5:5" ht="13">
      <c r="E868" s="187"/>
    </row>
    <row r="869" spans="5:5" ht="13">
      <c r="E869" s="187"/>
    </row>
    <row r="870" spans="5:5" ht="13">
      <c r="E870" s="187"/>
    </row>
    <row r="871" spans="5:5" ht="13">
      <c r="E871" s="187"/>
    </row>
    <row r="872" spans="5:5" ht="13">
      <c r="E872" s="187"/>
    </row>
    <row r="873" spans="5:5" ht="13">
      <c r="E873" s="187"/>
    </row>
    <row r="874" spans="5:5" ht="13">
      <c r="E874" s="187"/>
    </row>
    <row r="875" spans="5:5" ht="13">
      <c r="E875" s="187"/>
    </row>
    <row r="876" spans="5:5" ht="13">
      <c r="E876" s="187"/>
    </row>
    <row r="877" spans="5:5" ht="13">
      <c r="E877" s="187"/>
    </row>
    <row r="878" spans="5:5" ht="13">
      <c r="E878" s="187"/>
    </row>
    <row r="879" spans="5:5" ht="13">
      <c r="E879" s="187"/>
    </row>
    <row r="880" spans="5:5" ht="13">
      <c r="E880" s="187"/>
    </row>
    <row r="881" spans="5:5" ht="13">
      <c r="E881" s="187"/>
    </row>
    <row r="882" spans="5:5" ht="13">
      <c r="E882" s="187"/>
    </row>
    <row r="883" spans="5:5" ht="13">
      <c r="E883" s="187"/>
    </row>
    <row r="884" spans="5:5" ht="13">
      <c r="E884" s="187"/>
    </row>
    <row r="885" spans="5:5" ht="13">
      <c r="E885" s="187"/>
    </row>
    <row r="886" spans="5:5" ht="13">
      <c r="E886" s="187"/>
    </row>
    <row r="887" spans="5:5" ht="13">
      <c r="E887" s="187"/>
    </row>
    <row r="888" spans="5:5" ht="13">
      <c r="E888" s="187"/>
    </row>
    <row r="889" spans="5:5" ht="13">
      <c r="E889" s="187"/>
    </row>
    <row r="890" spans="5:5" ht="13">
      <c r="E890" s="187"/>
    </row>
    <row r="891" spans="5:5" ht="13">
      <c r="E891" s="187"/>
    </row>
    <row r="892" spans="5:5" ht="13">
      <c r="E892" s="187"/>
    </row>
    <row r="893" spans="5:5" ht="13">
      <c r="E893" s="187"/>
    </row>
    <row r="894" spans="5:5" ht="13">
      <c r="E894" s="187"/>
    </row>
    <row r="895" spans="5:5" ht="13">
      <c r="E895" s="187"/>
    </row>
    <row r="896" spans="5:5" ht="13">
      <c r="E896" s="187"/>
    </row>
    <row r="897" spans="5:5" ht="13">
      <c r="E897" s="187"/>
    </row>
    <row r="898" spans="5:5" ht="13">
      <c r="E898" s="187"/>
    </row>
    <row r="899" spans="5:5" ht="13">
      <c r="E899" s="187"/>
    </row>
    <row r="900" spans="5:5" ht="13">
      <c r="E900" s="187"/>
    </row>
    <row r="901" spans="5:5" ht="13">
      <c r="E901" s="187"/>
    </row>
    <row r="902" spans="5:5" ht="13">
      <c r="E902" s="187"/>
    </row>
    <row r="903" spans="5:5" ht="13">
      <c r="E903" s="187"/>
    </row>
    <row r="904" spans="5:5" ht="13">
      <c r="E904" s="187"/>
    </row>
    <row r="905" spans="5:5" ht="13">
      <c r="E905" s="187"/>
    </row>
    <row r="906" spans="5:5" ht="13">
      <c r="E906" s="187"/>
    </row>
    <row r="907" spans="5:5" ht="13">
      <c r="E907" s="187"/>
    </row>
    <row r="908" spans="5:5" ht="13">
      <c r="E908" s="187"/>
    </row>
    <row r="909" spans="5:5" ht="13">
      <c r="E909" s="187"/>
    </row>
    <row r="910" spans="5:5" ht="13">
      <c r="E910" s="187"/>
    </row>
    <row r="911" spans="5:5" ht="13">
      <c r="E911" s="187"/>
    </row>
    <row r="912" spans="5:5" ht="13">
      <c r="E912" s="187"/>
    </row>
    <row r="913" spans="5:5" ht="13">
      <c r="E913" s="187"/>
    </row>
    <row r="914" spans="5:5" ht="13">
      <c r="E914" s="187"/>
    </row>
    <row r="915" spans="5:5" ht="13">
      <c r="E915" s="187"/>
    </row>
    <row r="916" spans="5:5" ht="13">
      <c r="E916" s="187"/>
    </row>
    <row r="917" spans="5:5" ht="13">
      <c r="E917" s="187"/>
    </row>
    <row r="918" spans="5:5" ht="13">
      <c r="E918" s="187"/>
    </row>
    <row r="919" spans="5:5" ht="13">
      <c r="E919" s="187"/>
    </row>
    <row r="920" spans="5:5" ht="13">
      <c r="E920" s="187"/>
    </row>
    <row r="921" spans="5:5" ht="13">
      <c r="E921" s="187"/>
    </row>
    <row r="922" spans="5:5" ht="13">
      <c r="E922" s="187"/>
    </row>
    <row r="923" spans="5:5" ht="13">
      <c r="E923" s="187"/>
    </row>
    <row r="924" spans="5:5" ht="13">
      <c r="E924" s="187"/>
    </row>
    <row r="925" spans="5:5" ht="13">
      <c r="E925" s="187"/>
    </row>
    <row r="926" spans="5:5" ht="13">
      <c r="E926" s="187"/>
    </row>
    <row r="927" spans="5:5" ht="13">
      <c r="E927" s="187"/>
    </row>
    <row r="928" spans="5:5" ht="13">
      <c r="E928" s="187"/>
    </row>
    <row r="929" spans="5:5" ht="13">
      <c r="E929" s="187"/>
    </row>
    <row r="930" spans="5:5" ht="13">
      <c r="E930" s="187"/>
    </row>
    <row r="931" spans="5:5" ht="13">
      <c r="E931" s="187"/>
    </row>
    <row r="932" spans="5:5" ht="13">
      <c r="E932" s="187"/>
    </row>
    <row r="933" spans="5:5" ht="13">
      <c r="E933" s="187"/>
    </row>
    <row r="934" spans="5:5" ht="13">
      <c r="E934" s="187"/>
    </row>
    <row r="935" spans="5:5" ht="13">
      <c r="E935" s="187"/>
    </row>
    <row r="936" spans="5:5" ht="13">
      <c r="E936" s="187"/>
    </row>
    <row r="937" spans="5:5" ht="13">
      <c r="E937" s="187"/>
    </row>
    <row r="938" spans="5:5" ht="13">
      <c r="E938" s="187"/>
    </row>
    <row r="939" spans="5:5" ht="13">
      <c r="E939" s="187"/>
    </row>
    <row r="940" spans="5:5" ht="13">
      <c r="E940" s="187"/>
    </row>
    <row r="941" spans="5:5" ht="13">
      <c r="E941" s="187"/>
    </row>
    <row r="942" spans="5:5" ht="13">
      <c r="E942" s="187"/>
    </row>
    <row r="943" spans="5:5" ht="13">
      <c r="E943" s="187"/>
    </row>
    <row r="944" spans="5:5" ht="13">
      <c r="E944" s="187"/>
    </row>
    <row r="945" spans="5:5" ht="13">
      <c r="E945" s="187"/>
    </row>
    <row r="946" spans="5:5" ht="13">
      <c r="E946" s="187"/>
    </row>
    <row r="947" spans="5:5" ht="13">
      <c r="E947" s="187"/>
    </row>
    <row r="948" spans="5:5" ht="13">
      <c r="E948" s="187"/>
    </row>
    <row r="949" spans="5:5" ht="13">
      <c r="E949" s="187"/>
    </row>
    <row r="950" spans="5:5" ht="13">
      <c r="E950" s="187"/>
    </row>
    <row r="951" spans="5:5" ht="13">
      <c r="E951" s="187"/>
    </row>
    <row r="952" spans="5:5" ht="13">
      <c r="E952" s="187"/>
    </row>
    <row r="953" spans="5:5" ht="13">
      <c r="E953" s="187"/>
    </row>
    <row r="954" spans="5:5" ht="13">
      <c r="E954" s="187"/>
    </row>
    <row r="955" spans="5:5" ht="13">
      <c r="E955" s="187"/>
    </row>
    <row r="956" spans="5:5" ht="13">
      <c r="E956" s="187"/>
    </row>
    <row r="957" spans="5:5" ht="13">
      <c r="E957" s="187"/>
    </row>
    <row r="958" spans="5:5" ht="13">
      <c r="E958" s="187"/>
    </row>
    <row r="959" spans="5:5" ht="13">
      <c r="E959" s="187"/>
    </row>
    <row r="960" spans="5:5" ht="13">
      <c r="E960" s="187"/>
    </row>
    <row r="961" spans="5:5" ht="13">
      <c r="E961" s="187"/>
    </row>
    <row r="962" spans="5:5" ht="13">
      <c r="E962" s="187"/>
    </row>
    <row r="963" spans="5:5" ht="13">
      <c r="E963" s="187"/>
    </row>
    <row r="964" spans="5:5" ht="13">
      <c r="E964" s="187"/>
    </row>
    <row r="965" spans="5:5" ht="13">
      <c r="E965" s="187"/>
    </row>
    <row r="966" spans="5:5" ht="13">
      <c r="E966" s="187"/>
    </row>
    <row r="967" spans="5:5" ht="13">
      <c r="E967" s="187"/>
    </row>
    <row r="968" spans="5:5" ht="13">
      <c r="E968" s="187"/>
    </row>
    <row r="969" spans="5:5" ht="13">
      <c r="E969" s="187"/>
    </row>
    <row r="970" spans="5:5" ht="13">
      <c r="E970" s="187"/>
    </row>
    <row r="971" spans="5:5" ht="13">
      <c r="E971" s="187"/>
    </row>
    <row r="972" spans="5:5" ht="13">
      <c r="E972" s="187"/>
    </row>
    <row r="973" spans="5:5" ht="13">
      <c r="E973" s="187"/>
    </row>
    <row r="974" spans="5:5" ht="13">
      <c r="E974" s="187"/>
    </row>
    <row r="975" spans="5:5" ht="13">
      <c r="E975" s="187"/>
    </row>
    <row r="976" spans="5:5" ht="13">
      <c r="E976" s="187"/>
    </row>
    <row r="977" spans="5:5" ht="13">
      <c r="E977" s="187"/>
    </row>
    <row r="978" spans="5:5" ht="13">
      <c r="E978" s="187"/>
    </row>
    <row r="979" spans="5:5" ht="13">
      <c r="E979" s="187"/>
    </row>
    <row r="980" spans="5:5" ht="13">
      <c r="E980" s="187"/>
    </row>
    <row r="981" spans="5:5" ht="13">
      <c r="E981" s="187"/>
    </row>
    <row r="982" spans="5:5" ht="13">
      <c r="E982" s="187"/>
    </row>
    <row r="983" spans="5:5" ht="13">
      <c r="E983" s="187"/>
    </row>
    <row r="984" spans="5:5" ht="13">
      <c r="E984" s="187"/>
    </row>
    <row r="985" spans="5:5" ht="13">
      <c r="E985" s="187"/>
    </row>
    <row r="986" spans="5:5" ht="13">
      <c r="E986" s="187"/>
    </row>
    <row r="987" spans="5:5" ht="13">
      <c r="E987" s="187"/>
    </row>
    <row r="988" spans="5:5" ht="13">
      <c r="E988" s="187"/>
    </row>
    <row r="989" spans="5:5" ht="13">
      <c r="E989" s="187"/>
    </row>
    <row r="990" spans="5:5" ht="13">
      <c r="E990" s="187"/>
    </row>
    <row r="991" spans="5:5" ht="13">
      <c r="E991" s="187"/>
    </row>
    <row r="992" spans="5:5" ht="13">
      <c r="E992" s="187"/>
    </row>
    <row r="993" spans="5:5" ht="13">
      <c r="E993" s="187"/>
    </row>
    <row r="994" spans="5:5" ht="13">
      <c r="E994" s="187"/>
    </row>
    <row r="995" spans="5:5" ht="13">
      <c r="E995" s="187"/>
    </row>
    <row r="996" spans="5:5" ht="13">
      <c r="E996" s="187"/>
    </row>
    <row r="997" spans="5:5" ht="13">
      <c r="E997" s="187"/>
    </row>
    <row r="998" spans="5:5" ht="13">
      <c r="E998" s="187"/>
    </row>
    <row r="999" spans="5:5" ht="13">
      <c r="E999" s="187"/>
    </row>
    <row r="1000" spans="5:5" ht="13">
      <c r="E1000" s="187"/>
    </row>
    <row r="1001" spans="5:5" ht="13">
      <c r="E1001" s="187"/>
    </row>
    <row r="1002" spans="5:5" ht="13">
      <c r="E1002" s="187"/>
    </row>
    <row r="1003" spans="5:5" ht="13">
      <c r="E1003" s="18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21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8" max="8" width="21.1640625" customWidth="1"/>
  </cols>
  <sheetData>
    <row r="1" spans="1:26" ht="15" customHeight="1">
      <c r="A1" s="207" t="s">
        <v>1145</v>
      </c>
      <c r="B1" s="208" t="s">
        <v>1146</v>
      </c>
      <c r="C1" s="208" t="s">
        <v>1147</v>
      </c>
      <c r="D1" s="208" t="s">
        <v>1148</v>
      </c>
      <c r="E1" s="208" t="s">
        <v>1149</v>
      </c>
      <c r="F1" s="208" t="s">
        <v>1150</v>
      </c>
      <c r="G1" s="208" t="s">
        <v>1151</v>
      </c>
      <c r="H1" s="209" t="s">
        <v>1152</v>
      </c>
      <c r="I1" s="165" t="s">
        <v>1153</v>
      </c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210"/>
      <c r="Z1" s="210"/>
    </row>
    <row r="2" spans="1:26">
      <c r="A2" s="151" t="s">
        <v>1154</v>
      </c>
      <c r="B2" s="17" t="s">
        <v>1155</v>
      </c>
      <c r="C2" s="211">
        <v>500325</v>
      </c>
      <c r="D2" s="151" t="s">
        <v>1156</v>
      </c>
      <c r="E2" s="211">
        <v>2414.4</v>
      </c>
      <c r="F2" s="151" t="s">
        <v>1157</v>
      </c>
      <c r="G2" s="151" t="s">
        <v>1158</v>
      </c>
      <c r="H2" s="211">
        <v>1633549.6</v>
      </c>
      <c r="I2" s="17">
        <f t="shared" ref="I2:I256" si="0">H2*10000000/E2</f>
        <v>6765861497.680583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6">
      <c r="A3" s="151" t="s">
        <v>1159</v>
      </c>
      <c r="B3" s="17" t="s">
        <v>73</v>
      </c>
      <c r="C3" s="211">
        <v>532540</v>
      </c>
      <c r="D3" s="151" t="s">
        <v>1160</v>
      </c>
      <c r="E3" s="211">
        <v>3515.2</v>
      </c>
      <c r="F3" s="151" t="s">
        <v>1161</v>
      </c>
      <c r="G3" s="151" t="s">
        <v>1143</v>
      </c>
      <c r="H3" s="211">
        <v>1286211.5</v>
      </c>
      <c r="I3" s="17">
        <f t="shared" si="0"/>
        <v>3658999487.9380975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6">
      <c r="A4" s="151" t="s">
        <v>1162</v>
      </c>
      <c r="B4" s="17" t="s">
        <v>1163</v>
      </c>
      <c r="C4" s="211">
        <v>500180</v>
      </c>
      <c r="D4" s="151" t="s">
        <v>1164</v>
      </c>
      <c r="E4" s="211">
        <v>1585.6</v>
      </c>
      <c r="F4" s="151" t="s">
        <v>1165</v>
      </c>
      <c r="G4" s="151" t="s">
        <v>1137</v>
      </c>
      <c r="H4" s="211">
        <v>1203471.7</v>
      </c>
      <c r="I4" s="17">
        <f t="shared" si="0"/>
        <v>7590008198.7891026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6">
      <c r="A5" s="151" t="s">
        <v>1166</v>
      </c>
      <c r="B5" s="17" t="s">
        <v>1167</v>
      </c>
      <c r="C5" s="211">
        <v>532174</v>
      </c>
      <c r="D5" s="151" t="s">
        <v>1168</v>
      </c>
      <c r="E5" s="211">
        <v>968.6</v>
      </c>
      <c r="F5" s="151" t="s">
        <v>1165</v>
      </c>
      <c r="G5" s="151" t="s">
        <v>1137</v>
      </c>
      <c r="H5" s="211">
        <v>679124.4</v>
      </c>
      <c r="I5" s="17">
        <f t="shared" si="0"/>
        <v>7011402023.5391283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>
      <c r="A6" s="151" t="s">
        <v>1169</v>
      </c>
      <c r="B6" s="17" t="s">
        <v>1170</v>
      </c>
      <c r="C6" s="211">
        <v>500696</v>
      </c>
      <c r="D6" s="151" t="s">
        <v>1171</v>
      </c>
      <c r="E6" s="211">
        <v>2603.8000000000002</v>
      </c>
      <c r="F6" s="151" t="s">
        <v>1172</v>
      </c>
      <c r="G6" s="151" t="s">
        <v>1173</v>
      </c>
      <c r="H6" s="211">
        <v>611798.30000000005</v>
      </c>
      <c r="I6" s="17">
        <f t="shared" si="0"/>
        <v>2349636300.791151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>
      <c r="A7" s="151" t="s">
        <v>1174</v>
      </c>
      <c r="B7" s="17" t="s">
        <v>1175</v>
      </c>
      <c r="C7" s="211">
        <v>500209</v>
      </c>
      <c r="D7" s="151" t="s">
        <v>1176</v>
      </c>
      <c r="E7" s="211">
        <v>1463.4</v>
      </c>
      <c r="F7" s="151" t="s">
        <v>1161</v>
      </c>
      <c r="G7" s="151" t="s">
        <v>1143</v>
      </c>
      <c r="H7" s="211">
        <v>607374.69999999995</v>
      </c>
      <c r="I7" s="17">
        <f t="shared" si="0"/>
        <v>4150435287.6862102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6">
      <c r="A8" s="151" t="s">
        <v>1177</v>
      </c>
      <c r="B8" s="17" t="s">
        <v>20</v>
      </c>
      <c r="C8" s="211">
        <v>532454</v>
      </c>
      <c r="D8" s="151" t="s">
        <v>1178</v>
      </c>
      <c r="E8" s="211">
        <v>1036.9000000000001</v>
      </c>
      <c r="F8" s="151" t="s">
        <v>1179</v>
      </c>
      <c r="G8" s="151" t="s">
        <v>1179</v>
      </c>
      <c r="H8" s="211">
        <v>593091.4</v>
      </c>
      <c r="I8" s="17">
        <f t="shared" si="0"/>
        <v>5719851480.3741922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6">
      <c r="A9" s="151" t="s">
        <v>1180</v>
      </c>
      <c r="B9" s="17" t="s">
        <v>1181</v>
      </c>
      <c r="C9" s="211">
        <v>500875</v>
      </c>
      <c r="D9" s="151" t="s">
        <v>1182</v>
      </c>
      <c r="E9" s="211">
        <v>454.8</v>
      </c>
      <c r="F9" s="151" t="s">
        <v>1183</v>
      </c>
      <c r="G9" s="151" t="s">
        <v>1140</v>
      </c>
      <c r="H9" s="211">
        <v>567270.80000000005</v>
      </c>
      <c r="I9" s="17">
        <f t="shared" si="0"/>
        <v>12472972735.26825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6">
      <c r="A10" s="151" t="s">
        <v>1184</v>
      </c>
      <c r="B10" s="17" t="s">
        <v>1185</v>
      </c>
      <c r="C10" s="211">
        <v>500112</v>
      </c>
      <c r="D10" s="151" t="s">
        <v>1186</v>
      </c>
      <c r="E10" s="211">
        <v>589.79999999999995</v>
      </c>
      <c r="F10" s="151" t="s">
        <v>1165</v>
      </c>
      <c r="G10" s="151" t="s">
        <v>1137</v>
      </c>
      <c r="H10" s="211">
        <v>526418.19999999995</v>
      </c>
      <c r="I10" s="17">
        <f t="shared" si="0"/>
        <v>8925367921.3292656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6">
      <c r="A11" s="151" t="s">
        <v>1187</v>
      </c>
      <c r="B11" s="17" t="s">
        <v>1188</v>
      </c>
      <c r="C11" s="211">
        <v>500510</v>
      </c>
      <c r="D11" s="151" t="s">
        <v>1189</v>
      </c>
      <c r="E11" s="211">
        <v>3331.8</v>
      </c>
      <c r="F11" s="151" t="s">
        <v>1190</v>
      </c>
      <c r="G11" s="151" t="s">
        <v>1138</v>
      </c>
      <c r="H11" s="211">
        <v>468358.6</v>
      </c>
      <c r="I11" s="17">
        <f t="shared" si="0"/>
        <v>1405722432.3188665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6">
      <c r="A12" s="151" t="s">
        <v>1191</v>
      </c>
      <c r="B12" s="17" t="s">
        <v>1192</v>
      </c>
      <c r="C12" s="211">
        <v>500034</v>
      </c>
      <c r="D12" s="151" t="s">
        <v>1193</v>
      </c>
      <c r="E12" s="211">
        <v>7405</v>
      </c>
      <c r="F12" s="151" t="s">
        <v>1194</v>
      </c>
      <c r="G12" s="151" t="s">
        <v>1137</v>
      </c>
      <c r="H12" s="211">
        <v>457646.1</v>
      </c>
      <c r="I12" s="17">
        <f t="shared" si="0"/>
        <v>618023092.50506413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6">
      <c r="A13" s="151" t="s">
        <v>1195</v>
      </c>
      <c r="B13" s="17" t="s">
        <v>1196</v>
      </c>
      <c r="C13" s="211">
        <v>543526</v>
      </c>
      <c r="D13" s="151" t="s">
        <v>1197</v>
      </c>
      <c r="E13" s="211">
        <v>699.2</v>
      </c>
      <c r="F13" s="151" t="s">
        <v>1198</v>
      </c>
      <c r="G13" s="151" t="s">
        <v>1137</v>
      </c>
      <c r="H13" s="211">
        <v>442275.5</v>
      </c>
      <c r="I13" s="17">
        <f t="shared" si="0"/>
        <v>6325450514.8741417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6">
      <c r="A14" s="151" t="s">
        <v>1199</v>
      </c>
      <c r="B14" s="17" t="s">
        <v>1200</v>
      </c>
      <c r="C14" s="211">
        <v>532281</v>
      </c>
      <c r="D14" s="151" t="s">
        <v>1201</v>
      </c>
      <c r="E14" s="211">
        <v>1340.5</v>
      </c>
      <c r="F14" s="151" t="s">
        <v>1161</v>
      </c>
      <c r="G14" s="151" t="s">
        <v>1143</v>
      </c>
      <c r="H14" s="211">
        <v>363766.8</v>
      </c>
      <c r="I14" s="17">
        <f t="shared" si="0"/>
        <v>2713665050.3543453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6">
      <c r="A15" s="151" t="s">
        <v>1202</v>
      </c>
      <c r="B15" s="17" t="s">
        <v>1203</v>
      </c>
      <c r="C15" s="211">
        <v>500247</v>
      </c>
      <c r="D15" s="151" t="s">
        <v>1204</v>
      </c>
      <c r="E15" s="211">
        <v>1791.2</v>
      </c>
      <c r="F15" s="151" t="s">
        <v>1165</v>
      </c>
      <c r="G15" s="151" t="s">
        <v>1137</v>
      </c>
      <c r="H15" s="211">
        <v>356006.7</v>
      </c>
      <c r="I15" s="17">
        <f t="shared" si="0"/>
        <v>1987531822.2420723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6">
      <c r="A16" s="151" t="s">
        <v>1205</v>
      </c>
      <c r="B16" s="17" t="s">
        <v>1108</v>
      </c>
      <c r="C16" s="211">
        <v>532215</v>
      </c>
      <c r="D16" s="151" t="s">
        <v>1206</v>
      </c>
      <c r="E16" s="211">
        <v>1107</v>
      </c>
      <c r="F16" s="151" t="s">
        <v>1165</v>
      </c>
      <c r="G16" s="151" t="s">
        <v>1137</v>
      </c>
      <c r="H16" s="211">
        <v>341274.3</v>
      </c>
      <c r="I16" s="17">
        <f t="shared" si="0"/>
        <v>3082875338.7533875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>
      <c r="A17" s="151" t="s">
        <v>1207</v>
      </c>
      <c r="B17" s="17" t="s">
        <v>1208</v>
      </c>
      <c r="C17" s="211">
        <v>532500</v>
      </c>
      <c r="D17" s="151" t="s">
        <v>1209</v>
      </c>
      <c r="E17" s="211">
        <v>10500</v>
      </c>
      <c r="F17" s="151" t="s">
        <v>1210</v>
      </c>
      <c r="G17" s="151" t="s">
        <v>1211</v>
      </c>
      <c r="H17" s="211">
        <v>330122.7</v>
      </c>
      <c r="I17" s="17">
        <f t="shared" si="0"/>
        <v>314402571.4285714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>
      <c r="A18" s="151" t="s">
        <v>1212</v>
      </c>
      <c r="B18" s="17" t="s">
        <v>1213</v>
      </c>
      <c r="C18" s="211">
        <v>500114</v>
      </c>
      <c r="D18" s="151" t="s">
        <v>1214</v>
      </c>
      <c r="E18" s="211">
        <v>3496.6</v>
      </c>
      <c r="F18" s="151" t="s">
        <v>1215</v>
      </c>
      <c r="G18" s="151" t="s">
        <v>1216</v>
      </c>
      <c r="H18" s="211">
        <v>310423.3</v>
      </c>
      <c r="I18" s="17">
        <f t="shared" si="0"/>
        <v>887786135.10267115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>
      <c r="A19" s="151" t="s">
        <v>1217</v>
      </c>
      <c r="B19" s="17" t="s">
        <v>1218</v>
      </c>
      <c r="C19" s="211">
        <v>500820</v>
      </c>
      <c r="D19" s="151" t="s">
        <v>1219</v>
      </c>
      <c r="E19" s="211">
        <v>3193.8</v>
      </c>
      <c r="F19" s="151" t="s">
        <v>1220</v>
      </c>
      <c r="G19" s="151" t="s">
        <v>1139</v>
      </c>
      <c r="H19" s="211">
        <v>306353.40000000002</v>
      </c>
      <c r="I19" s="17">
        <f t="shared" si="0"/>
        <v>959212849.89667475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>
      <c r="A20" s="151" t="s">
        <v>1221</v>
      </c>
      <c r="B20" s="17" t="s">
        <v>1222</v>
      </c>
      <c r="C20" s="211">
        <v>524715</v>
      </c>
      <c r="D20" s="151" t="s">
        <v>1223</v>
      </c>
      <c r="E20" s="211">
        <v>1224.5999999999999</v>
      </c>
      <c r="F20" s="151" t="s">
        <v>694</v>
      </c>
      <c r="G20" s="151" t="s">
        <v>1224</v>
      </c>
      <c r="H20" s="211">
        <v>293822.59999999998</v>
      </c>
      <c r="I20" s="17">
        <f t="shared" si="0"/>
        <v>2399335293.1569495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>
      <c r="A21" s="151" t="s">
        <v>1225</v>
      </c>
      <c r="B21" s="17" t="s">
        <v>1226</v>
      </c>
      <c r="C21" s="211">
        <v>512599</v>
      </c>
      <c r="D21" s="151" t="s">
        <v>1227</v>
      </c>
      <c r="E21" s="211">
        <v>2519</v>
      </c>
      <c r="F21" s="151" t="s">
        <v>1228</v>
      </c>
      <c r="G21" s="151" t="s">
        <v>1229</v>
      </c>
      <c r="H21" s="211">
        <v>287166.3</v>
      </c>
      <c r="I21" s="17">
        <f t="shared" si="0"/>
        <v>1140001190.9487891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>
      <c r="A22" s="151" t="s">
        <v>1230</v>
      </c>
      <c r="B22" s="17" t="s">
        <v>1231</v>
      </c>
      <c r="C22" s="211">
        <v>532978</v>
      </c>
      <c r="D22" s="151" t="s">
        <v>1232</v>
      </c>
      <c r="E22" s="211">
        <v>1695.9</v>
      </c>
      <c r="F22" s="151" t="s">
        <v>1233</v>
      </c>
      <c r="G22" s="151" t="s">
        <v>1234</v>
      </c>
      <c r="H22" s="211">
        <v>270125.59999999998</v>
      </c>
      <c r="I22" s="17">
        <f t="shared" si="0"/>
        <v>1592815614.1281915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>
      <c r="A23" s="151" t="s">
        <v>1235</v>
      </c>
      <c r="B23" s="17" t="s">
        <v>1236</v>
      </c>
      <c r="C23" s="211">
        <v>532538</v>
      </c>
      <c r="D23" s="151" t="s">
        <v>1237</v>
      </c>
      <c r="E23" s="211">
        <v>9242.2000000000007</v>
      </c>
      <c r="F23" s="151" t="s">
        <v>1238</v>
      </c>
      <c r="G23" s="151" t="s">
        <v>1138</v>
      </c>
      <c r="H23" s="211">
        <v>266811.5</v>
      </c>
      <c r="I23" s="17">
        <f t="shared" si="0"/>
        <v>288688299.32267207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>
      <c r="A24" s="151" t="s">
        <v>1239</v>
      </c>
      <c r="B24" s="17" t="s">
        <v>1240</v>
      </c>
      <c r="C24" s="211">
        <v>532555</v>
      </c>
      <c r="D24" s="151" t="s">
        <v>1241</v>
      </c>
      <c r="E24" s="211">
        <v>274.2</v>
      </c>
      <c r="F24" s="151" t="s">
        <v>1242</v>
      </c>
      <c r="G24" s="151" t="s">
        <v>1144</v>
      </c>
      <c r="H24" s="211">
        <v>265931.09999999998</v>
      </c>
      <c r="I24" s="17">
        <f t="shared" si="0"/>
        <v>9698435448.5776806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>
      <c r="A25" s="151" t="s">
        <v>1243</v>
      </c>
      <c r="B25" s="17" t="s">
        <v>1244</v>
      </c>
      <c r="C25" s="211">
        <v>540376</v>
      </c>
      <c r="D25" s="151" t="s">
        <v>1245</v>
      </c>
      <c r="E25" s="211">
        <v>4000.2</v>
      </c>
      <c r="F25" s="151" t="s">
        <v>1246</v>
      </c>
      <c r="G25" s="151" t="s">
        <v>1247</v>
      </c>
      <c r="H25" s="211">
        <v>260306.3</v>
      </c>
      <c r="I25" s="17">
        <f t="shared" si="0"/>
        <v>650733213.33933306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>
      <c r="A26" s="151" t="s">
        <v>1248</v>
      </c>
      <c r="B26" s="17" t="s">
        <v>1249</v>
      </c>
      <c r="C26" s="211">
        <v>500312</v>
      </c>
      <c r="D26" s="151" t="s">
        <v>1250</v>
      </c>
      <c r="E26" s="211">
        <v>202.2</v>
      </c>
      <c r="F26" s="151" t="s">
        <v>1251</v>
      </c>
      <c r="G26" s="151" t="s">
        <v>1158</v>
      </c>
      <c r="H26" s="211">
        <v>259552.2</v>
      </c>
      <c r="I26" s="17">
        <f t="shared" si="0"/>
        <v>12836409495.548962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>
      <c r="A27" s="151" t="s">
        <v>1252</v>
      </c>
      <c r="B27" s="17" t="s">
        <v>1253</v>
      </c>
      <c r="C27" s="211">
        <v>500790</v>
      </c>
      <c r="D27" s="151" t="s">
        <v>1254</v>
      </c>
      <c r="E27" s="211">
        <v>24437</v>
      </c>
      <c r="F27" s="151" t="s">
        <v>1255</v>
      </c>
      <c r="G27" s="151" t="s">
        <v>1173</v>
      </c>
      <c r="H27" s="211">
        <v>235610.6</v>
      </c>
      <c r="I27" s="17">
        <f t="shared" si="0"/>
        <v>96415517.453042522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>
      <c r="A28" s="151" t="s">
        <v>1256</v>
      </c>
      <c r="B28" s="17" t="s">
        <v>1257</v>
      </c>
      <c r="C28" s="211">
        <v>500570</v>
      </c>
      <c r="D28" s="151" t="s">
        <v>1258</v>
      </c>
      <c r="E28" s="211">
        <v>707.2</v>
      </c>
      <c r="F28" s="151" t="s">
        <v>1259</v>
      </c>
      <c r="G28" s="151" t="s">
        <v>1211</v>
      </c>
      <c r="H28" s="211">
        <v>234990.8</v>
      </c>
      <c r="I28" s="17">
        <f t="shared" si="0"/>
        <v>3322833710.4072394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>
      <c r="A29" s="151" t="s">
        <v>1260</v>
      </c>
      <c r="B29" s="17" t="s">
        <v>153</v>
      </c>
      <c r="C29" s="211">
        <v>533278</v>
      </c>
      <c r="D29" s="151" t="s">
        <v>1261</v>
      </c>
      <c r="E29" s="211">
        <v>357.6</v>
      </c>
      <c r="F29" s="151" t="s">
        <v>1262</v>
      </c>
      <c r="G29" s="151" t="s">
        <v>1142</v>
      </c>
      <c r="H29" s="211">
        <v>220379.2</v>
      </c>
      <c r="I29" s="17">
        <f t="shared" si="0"/>
        <v>6162729306.4876957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>
      <c r="A30" s="151" t="s">
        <v>1263</v>
      </c>
      <c r="B30" s="17" t="s">
        <v>1264</v>
      </c>
      <c r="C30" s="211">
        <v>507685</v>
      </c>
      <c r="D30" s="151" t="s">
        <v>1265</v>
      </c>
      <c r="E30" s="211">
        <v>408.4</v>
      </c>
      <c r="F30" s="151" t="s">
        <v>1161</v>
      </c>
      <c r="G30" s="151" t="s">
        <v>1143</v>
      </c>
      <c r="H30" s="211">
        <v>213307.4</v>
      </c>
      <c r="I30" s="17">
        <f t="shared" si="0"/>
        <v>5223001958.8638592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>
      <c r="A31" s="151" t="s">
        <v>1266</v>
      </c>
      <c r="B31" s="17" t="s">
        <v>1267</v>
      </c>
      <c r="C31" s="211">
        <v>500520</v>
      </c>
      <c r="D31" s="151" t="s">
        <v>1268</v>
      </c>
      <c r="E31" s="211">
        <v>1654.8</v>
      </c>
      <c r="F31" s="151" t="s">
        <v>1210</v>
      </c>
      <c r="G31" s="151" t="s">
        <v>1211</v>
      </c>
      <c r="H31" s="211">
        <v>205785.4</v>
      </c>
      <c r="I31" s="17">
        <f t="shared" si="0"/>
        <v>1243566594.1503506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>
      <c r="A32" s="151" t="s">
        <v>1269</v>
      </c>
      <c r="B32" s="17" t="s">
        <v>1270</v>
      </c>
      <c r="C32" s="211">
        <v>500228</v>
      </c>
      <c r="D32" s="151" t="s">
        <v>1271</v>
      </c>
      <c r="E32" s="211">
        <v>820.3</v>
      </c>
      <c r="F32" s="151" t="s">
        <v>1272</v>
      </c>
      <c r="G32" s="151" t="s">
        <v>1142</v>
      </c>
      <c r="H32" s="211">
        <v>200600.6</v>
      </c>
      <c r="I32" s="17">
        <f t="shared" si="0"/>
        <v>2445454102.1577473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>
      <c r="A33" s="151" t="s">
        <v>1273</v>
      </c>
      <c r="B33" s="17" t="s">
        <v>1274</v>
      </c>
      <c r="C33" s="211">
        <v>532898</v>
      </c>
      <c r="D33" s="151" t="s">
        <v>1275</v>
      </c>
      <c r="E33" s="211">
        <v>212.5</v>
      </c>
      <c r="F33" s="151" t="s">
        <v>1242</v>
      </c>
      <c r="G33" s="151" t="s">
        <v>1144</v>
      </c>
      <c r="H33" s="211">
        <v>197637.8</v>
      </c>
      <c r="I33" s="17">
        <f t="shared" si="0"/>
        <v>9300602352.9411774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>
      <c r="A34" s="151" t="s">
        <v>1276</v>
      </c>
      <c r="B34" s="17" t="s">
        <v>1277</v>
      </c>
      <c r="C34" s="211">
        <v>532921</v>
      </c>
      <c r="D34" s="151" t="s">
        <v>1278</v>
      </c>
      <c r="E34" s="211">
        <v>873.4</v>
      </c>
      <c r="F34" s="151" t="s">
        <v>1279</v>
      </c>
      <c r="G34" s="151" t="s">
        <v>1280</v>
      </c>
      <c r="H34" s="211">
        <v>188666.5</v>
      </c>
      <c r="I34" s="17">
        <f t="shared" si="0"/>
        <v>2160138539.0428214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>
      <c r="A35" s="151" t="s">
        <v>1281</v>
      </c>
      <c r="B35" s="17" t="s">
        <v>1114</v>
      </c>
      <c r="C35" s="211">
        <v>533096</v>
      </c>
      <c r="D35" s="151" t="s">
        <v>1282</v>
      </c>
      <c r="E35" s="211">
        <v>462.8</v>
      </c>
      <c r="F35" s="151" t="s">
        <v>1242</v>
      </c>
      <c r="G35" s="151" t="s">
        <v>1144</v>
      </c>
      <c r="H35" s="211">
        <v>178499.1</v>
      </c>
      <c r="I35" s="17">
        <f t="shared" si="0"/>
        <v>3856938202.247191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>
      <c r="A36" s="151" t="s">
        <v>1283</v>
      </c>
      <c r="B36" s="17" t="s">
        <v>1284</v>
      </c>
      <c r="C36" s="211">
        <v>541450</v>
      </c>
      <c r="D36" s="151" t="s">
        <v>1285</v>
      </c>
      <c r="E36" s="211">
        <v>1106.5999999999999</v>
      </c>
      <c r="F36" s="151" t="s">
        <v>1242</v>
      </c>
      <c r="G36" s="151" t="s">
        <v>1144</v>
      </c>
      <c r="H36" s="211">
        <v>175281.1</v>
      </c>
      <c r="I36" s="17">
        <f t="shared" si="0"/>
        <v>1583960780.7699261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>
      <c r="A37" s="151" t="s">
        <v>1286</v>
      </c>
      <c r="B37" s="17" t="s">
        <v>1287</v>
      </c>
      <c r="C37" s="211">
        <v>532977</v>
      </c>
      <c r="D37" s="151" t="s">
        <v>1288</v>
      </c>
      <c r="E37" s="211">
        <v>6123.2</v>
      </c>
      <c r="F37" s="151" t="s">
        <v>1289</v>
      </c>
      <c r="G37" s="151" t="s">
        <v>1211</v>
      </c>
      <c r="H37" s="211">
        <v>173259.1</v>
      </c>
      <c r="I37" s="17">
        <f t="shared" si="0"/>
        <v>282955154.16775542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>
      <c r="A38" s="151" t="s">
        <v>1290</v>
      </c>
      <c r="B38" s="17" t="s">
        <v>1291</v>
      </c>
      <c r="C38" s="211">
        <v>541154</v>
      </c>
      <c r="D38" s="151" t="s">
        <v>1292</v>
      </c>
      <c r="E38" s="211">
        <v>2491.6</v>
      </c>
      <c r="F38" s="151" t="s">
        <v>1293</v>
      </c>
      <c r="G38" s="151" t="s">
        <v>1141</v>
      </c>
      <c r="H38" s="211">
        <v>166635.29999999999</v>
      </c>
      <c r="I38" s="17">
        <f t="shared" si="0"/>
        <v>668788328.78471673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>
      <c r="A39" s="151" t="s">
        <v>1294</v>
      </c>
      <c r="B39" s="17" t="s">
        <v>1295</v>
      </c>
      <c r="C39" s="211">
        <v>540005</v>
      </c>
      <c r="D39" s="151" t="s">
        <v>1296</v>
      </c>
      <c r="E39" s="211">
        <v>5565.4</v>
      </c>
      <c r="F39" s="151" t="s">
        <v>1161</v>
      </c>
      <c r="G39" s="151" t="s">
        <v>1143</v>
      </c>
      <c r="H39" s="211">
        <v>164690.5</v>
      </c>
      <c r="I39" s="17">
        <f t="shared" si="0"/>
        <v>295918532.36065692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>
      <c r="A40" s="151" t="s">
        <v>1297</v>
      </c>
      <c r="B40" s="17" t="s">
        <v>1298</v>
      </c>
      <c r="C40" s="211">
        <v>530965</v>
      </c>
      <c r="D40" s="151" t="s">
        <v>1299</v>
      </c>
      <c r="E40" s="211">
        <v>116</v>
      </c>
      <c r="F40" s="151" t="s">
        <v>1300</v>
      </c>
      <c r="G40" s="151" t="s">
        <v>1158</v>
      </c>
      <c r="H40" s="211">
        <v>163877</v>
      </c>
      <c r="I40" s="17">
        <f t="shared" si="0"/>
        <v>14127327586.206896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>
      <c r="A41" s="151" t="s">
        <v>1301</v>
      </c>
      <c r="B41" s="17" t="s">
        <v>1302</v>
      </c>
      <c r="C41" s="211">
        <v>500470</v>
      </c>
      <c r="D41" s="151" t="s">
        <v>1303</v>
      </c>
      <c r="E41" s="211">
        <v>130.69999999999999</v>
      </c>
      <c r="F41" s="151" t="s">
        <v>1272</v>
      </c>
      <c r="G41" s="151" t="s">
        <v>1142</v>
      </c>
      <c r="H41" s="211">
        <v>160726.20000000001</v>
      </c>
      <c r="I41" s="17">
        <f t="shared" si="0"/>
        <v>12297337413.92502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>
      <c r="A42" s="151" t="s">
        <v>1304</v>
      </c>
      <c r="B42" s="17" t="s">
        <v>1305</v>
      </c>
      <c r="C42" s="211">
        <v>532868</v>
      </c>
      <c r="D42" s="151" t="s">
        <v>1306</v>
      </c>
      <c r="E42" s="211">
        <v>645.79999999999995</v>
      </c>
      <c r="F42" s="151" t="s">
        <v>1307</v>
      </c>
      <c r="G42" s="151" t="s">
        <v>1307</v>
      </c>
      <c r="H42" s="211">
        <v>159855.6</v>
      </c>
      <c r="I42" s="17">
        <f t="shared" si="0"/>
        <v>2475311241.8705482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>
      <c r="A43" s="151" t="s">
        <v>1308</v>
      </c>
      <c r="B43" s="17" t="s">
        <v>1309</v>
      </c>
      <c r="C43" s="211">
        <v>543940</v>
      </c>
      <c r="D43" s="151" t="s">
        <v>1310</v>
      </c>
      <c r="E43" s="211">
        <v>230.8</v>
      </c>
      <c r="F43" s="151" t="s">
        <v>1194</v>
      </c>
      <c r="G43" s="151" t="s">
        <v>1137</v>
      </c>
      <c r="H43" s="211">
        <v>146602</v>
      </c>
      <c r="I43" s="17">
        <f t="shared" si="0"/>
        <v>6351906412.4783363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>
      <c r="A44" s="151" t="s">
        <v>1311</v>
      </c>
      <c r="B44" s="17" t="s">
        <v>1312</v>
      </c>
      <c r="C44" s="211">
        <v>540777</v>
      </c>
      <c r="D44" s="151" t="s">
        <v>1313</v>
      </c>
      <c r="E44" s="211">
        <v>679.3</v>
      </c>
      <c r="F44" s="151" t="s">
        <v>1198</v>
      </c>
      <c r="G44" s="151" t="s">
        <v>1137</v>
      </c>
      <c r="H44" s="211">
        <v>146073.4</v>
      </c>
      <c r="I44" s="17">
        <f t="shared" si="0"/>
        <v>2150351832.7690272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>
      <c r="A45" s="151" t="s">
        <v>1314</v>
      </c>
      <c r="B45" s="17" t="s">
        <v>150</v>
      </c>
      <c r="C45" s="211">
        <v>540719</v>
      </c>
      <c r="D45" s="151" t="s">
        <v>1315</v>
      </c>
      <c r="E45" s="211">
        <v>1445</v>
      </c>
      <c r="F45" s="151" t="s">
        <v>1198</v>
      </c>
      <c r="G45" s="151" t="s">
        <v>1137</v>
      </c>
      <c r="H45" s="211">
        <v>144667.79999999999</v>
      </c>
      <c r="I45" s="17">
        <f t="shared" si="0"/>
        <v>1001161245.6747404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>
      <c r="A46" s="151" t="s">
        <v>1316</v>
      </c>
      <c r="B46" s="17" t="s">
        <v>1317</v>
      </c>
      <c r="C46" s="211">
        <v>540180</v>
      </c>
      <c r="D46" s="151" t="s">
        <v>1318</v>
      </c>
      <c r="E46" s="211">
        <v>1079.5</v>
      </c>
      <c r="F46" s="151" t="s">
        <v>1319</v>
      </c>
      <c r="G46" s="151" t="s">
        <v>1140</v>
      </c>
      <c r="H46" s="211">
        <v>140250.29999999999</v>
      </c>
      <c r="I46" s="17">
        <f t="shared" si="0"/>
        <v>1299215377.4895785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>
      <c r="A47" s="151" t="s">
        <v>1320</v>
      </c>
      <c r="B47" s="17" t="s">
        <v>1321</v>
      </c>
      <c r="C47" s="211">
        <v>500550</v>
      </c>
      <c r="D47" s="151" t="s">
        <v>1322</v>
      </c>
      <c r="E47" s="211">
        <v>3792.2</v>
      </c>
      <c r="F47" s="151" t="s">
        <v>1323</v>
      </c>
      <c r="G47" s="151" t="s">
        <v>1141</v>
      </c>
      <c r="H47" s="211">
        <v>135049.70000000001</v>
      </c>
      <c r="I47" s="17">
        <f t="shared" si="0"/>
        <v>356124940.66768634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>
      <c r="A48" s="151" t="s">
        <v>1324</v>
      </c>
      <c r="B48" s="17" t="s">
        <v>1325</v>
      </c>
      <c r="C48" s="211">
        <v>500300</v>
      </c>
      <c r="D48" s="151" t="s">
        <v>1326</v>
      </c>
      <c r="E48" s="211">
        <v>2045</v>
      </c>
      <c r="F48" s="151" t="s">
        <v>1238</v>
      </c>
      <c r="G48" s="151" t="s">
        <v>1138</v>
      </c>
      <c r="H48" s="211">
        <v>134652.79999999999</v>
      </c>
      <c r="I48" s="17">
        <f t="shared" si="0"/>
        <v>658448899.75550127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>
      <c r="A49" s="151" t="s">
        <v>1327</v>
      </c>
      <c r="B49" s="17" t="s">
        <v>1328</v>
      </c>
      <c r="C49" s="211">
        <v>500188</v>
      </c>
      <c r="D49" s="151" t="s">
        <v>1329</v>
      </c>
      <c r="E49" s="211">
        <v>315.60000000000002</v>
      </c>
      <c r="F49" s="151" t="s">
        <v>1330</v>
      </c>
      <c r="G49" s="151" t="s">
        <v>1142</v>
      </c>
      <c r="H49" s="211">
        <v>133372.20000000001</v>
      </c>
      <c r="I49" s="17">
        <f t="shared" si="0"/>
        <v>4225988593.1558933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>
      <c r="A50" s="151" t="s">
        <v>1331</v>
      </c>
      <c r="B50" s="17" t="s">
        <v>1332</v>
      </c>
      <c r="C50" s="211">
        <v>500331</v>
      </c>
      <c r="D50" s="151" t="s">
        <v>1333</v>
      </c>
      <c r="E50" s="211">
        <v>2559.4</v>
      </c>
      <c r="F50" s="151" t="s">
        <v>1334</v>
      </c>
      <c r="G50" s="151" t="s">
        <v>1335</v>
      </c>
      <c r="H50" s="211">
        <v>130173.1</v>
      </c>
      <c r="I50" s="17">
        <f t="shared" si="0"/>
        <v>508607876.8461358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>
      <c r="A51" s="151" t="s">
        <v>1336</v>
      </c>
      <c r="B51" s="17" t="s">
        <v>1337</v>
      </c>
      <c r="C51" s="211">
        <v>532810</v>
      </c>
      <c r="D51" s="151" t="s">
        <v>1338</v>
      </c>
      <c r="E51" s="211">
        <v>376</v>
      </c>
      <c r="F51" s="151" t="s">
        <v>1194</v>
      </c>
      <c r="G51" s="151" t="s">
        <v>1137</v>
      </c>
      <c r="H51" s="211">
        <v>124100.3</v>
      </c>
      <c r="I51" s="17">
        <f t="shared" si="0"/>
        <v>3300539893.6170211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>
      <c r="A52" s="151" t="s">
        <v>1339</v>
      </c>
      <c r="B52" s="17" t="s">
        <v>1340</v>
      </c>
      <c r="C52" s="211">
        <v>532755</v>
      </c>
      <c r="D52" s="151" t="s">
        <v>1341</v>
      </c>
      <c r="E52" s="211">
        <v>1223.9000000000001</v>
      </c>
      <c r="F52" s="151" t="s">
        <v>1161</v>
      </c>
      <c r="G52" s="151" t="s">
        <v>1143</v>
      </c>
      <c r="H52" s="211">
        <v>119454.39999999999</v>
      </c>
      <c r="I52" s="17">
        <f t="shared" si="0"/>
        <v>976014380.25982511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>
      <c r="A53" s="151" t="s">
        <v>1342</v>
      </c>
      <c r="B53" s="17" t="s">
        <v>1343</v>
      </c>
      <c r="C53" s="211">
        <v>500825</v>
      </c>
      <c r="D53" s="151" t="s">
        <v>1344</v>
      </c>
      <c r="E53" s="211">
        <v>4944.5</v>
      </c>
      <c r="F53" s="151" t="s">
        <v>1255</v>
      </c>
      <c r="G53" s="151" t="s">
        <v>1173</v>
      </c>
      <c r="H53" s="211">
        <v>119097.3</v>
      </c>
      <c r="I53" s="17">
        <f t="shared" si="0"/>
        <v>240868237.43553442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>
      <c r="A54" s="151" t="s">
        <v>1345</v>
      </c>
      <c r="B54" s="17" t="s">
        <v>1346</v>
      </c>
      <c r="C54" s="211">
        <v>500440</v>
      </c>
      <c r="D54" s="151" t="s">
        <v>1347</v>
      </c>
      <c r="E54" s="211">
        <v>521</v>
      </c>
      <c r="F54" s="151" t="s">
        <v>1348</v>
      </c>
      <c r="G54" s="151" t="s">
        <v>1142</v>
      </c>
      <c r="H54" s="211">
        <v>117068.7</v>
      </c>
      <c r="I54" s="17">
        <f t="shared" si="0"/>
        <v>2247000000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>
      <c r="A55" s="151" t="s">
        <v>1349</v>
      </c>
      <c r="B55" s="17" t="s">
        <v>1350</v>
      </c>
      <c r="C55" s="211">
        <v>532187</v>
      </c>
      <c r="D55" s="151" t="s">
        <v>1351</v>
      </c>
      <c r="E55" s="211">
        <v>1486.5</v>
      </c>
      <c r="F55" s="151" t="s">
        <v>1165</v>
      </c>
      <c r="G55" s="151" t="s">
        <v>1137</v>
      </c>
      <c r="H55" s="211">
        <v>115590.7</v>
      </c>
      <c r="I55" s="17">
        <f t="shared" si="0"/>
        <v>777603094.51732254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>
      <c r="A56" s="151" t="s">
        <v>1352</v>
      </c>
      <c r="B56" s="17" t="s">
        <v>1353</v>
      </c>
      <c r="C56" s="211">
        <v>500049</v>
      </c>
      <c r="D56" s="151" t="s">
        <v>1354</v>
      </c>
      <c r="E56" s="211">
        <v>155.30000000000001</v>
      </c>
      <c r="F56" s="151" t="s">
        <v>1293</v>
      </c>
      <c r="G56" s="151" t="s">
        <v>1141</v>
      </c>
      <c r="H56" s="211">
        <v>113520.9</v>
      </c>
      <c r="I56" s="17">
        <f t="shared" si="0"/>
        <v>7309781068.8989048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>
      <c r="A57" s="151" t="s">
        <v>1355</v>
      </c>
      <c r="B57" s="17" t="s">
        <v>1356</v>
      </c>
      <c r="C57" s="211">
        <v>539448</v>
      </c>
      <c r="D57" s="151" t="s">
        <v>1357</v>
      </c>
      <c r="E57" s="211">
        <v>2845.6</v>
      </c>
      <c r="F57" s="151" t="s">
        <v>1358</v>
      </c>
      <c r="G57" s="151" t="s">
        <v>1280</v>
      </c>
      <c r="H57" s="211">
        <v>109822.6</v>
      </c>
      <c r="I57" s="17">
        <f t="shared" si="0"/>
        <v>385938290.69440544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>
      <c r="A58" s="151" t="s">
        <v>1359</v>
      </c>
      <c r="B58" s="17" t="s">
        <v>1360</v>
      </c>
      <c r="C58" s="211">
        <v>505200</v>
      </c>
      <c r="D58" s="151" t="s">
        <v>1361</v>
      </c>
      <c r="E58" s="211">
        <v>3978</v>
      </c>
      <c r="F58" s="151" t="s">
        <v>1289</v>
      </c>
      <c r="G58" s="151" t="s">
        <v>1211</v>
      </c>
      <c r="H58" s="211">
        <v>108904.6</v>
      </c>
      <c r="I58" s="17">
        <f t="shared" si="0"/>
        <v>273767219.7083962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>
      <c r="A59" s="151" t="s">
        <v>1362</v>
      </c>
      <c r="B59" s="17" t="s">
        <v>156</v>
      </c>
      <c r="C59" s="211">
        <v>532134</v>
      </c>
      <c r="D59" s="151" t="s">
        <v>1363</v>
      </c>
      <c r="E59" s="211">
        <v>209.2</v>
      </c>
      <c r="F59" s="151" t="s">
        <v>1165</v>
      </c>
      <c r="G59" s="151" t="s">
        <v>1137</v>
      </c>
      <c r="H59" s="211">
        <v>108159</v>
      </c>
      <c r="I59" s="17">
        <f t="shared" si="0"/>
        <v>5170124282.9827919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>
      <c r="A60" s="151" t="s">
        <v>1364</v>
      </c>
      <c r="B60" s="17" t="s">
        <v>1365</v>
      </c>
      <c r="C60" s="211">
        <v>532424</v>
      </c>
      <c r="D60" s="151" t="s">
        <v>1366</v>
      </c>
      <c r="E60" s="211">
        <v>1035.7</v>
      </c>
      <c r="F60" s="151" t="s">
        <v>1172</v>
      </c>
      <c r="G60" s="151" t="s">
        <v>1173</v>
      </c>
      <c r="H60" s="211">
        <v>105933.5</v>
      </c>
      <c r="I60" s="17">
        <f t="shared" si="0"/>
        <v>1022820314.7629622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>
      <c r="A61" s="151" t="s">
        <v>1367</v>
      </c>
      <c r="B61" s="17" t="s">
        <v>1368</v>
      </c>
      <c r="C61" s="211">
        <v>532955</v>
      </c>
      <c r="D61" s="151" t="s">
        <v>1369</v>
      </c>
      <c r="E61" s="211">
        <v>389</v>
      </c>
      <c r="F61" s="151" t="s">
        <v>1194</v>
      </c>
      <c r="G61" s="151" t="s">
        <v>1137</v>
      </c>
      <c r="H61" s="211">
        <v>102419.2</v>
      </c>
      <c r="I61" s="17">
        <f t="shared" si="0"/>
        <v>2632884318.766067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>
      <c r="A62" s="151" t="s">
        <v>1370</v>
      </c>
      <c r="B62" s="17" t="s">
        <v>1371</v>
      </c>
      <c r="C62" s="211">
        <v>543320</v>
      </c>
      <c r="D62" s="151" t="s">
        <v>1372</v>
      </c>
      <c r="E62" s="211">
        <v>116.9</v>
      </c>
      <c r="F62" s="151" t="s">
        <v>1373</v>
      </c>
      <c r="G62" s="151" t="s">
        <v>1143</v>
      </c>
      <c r="H62" s="211">
        <v>101830.6</v>
      </c>
      <c r="I62" s="17">
        <f t="shared" si="0"/>
        <v>8710915312.2326775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>
      <c r="A63" s="151" t="s">
        <v>1374</v>
      </c>
      <c r="B63" s="17" t="s">
        <v>1375</v>
      </c>
      <c r="C63" s="211">
        <v>532488</v>
      </c>
      <c r="D63" s="151" t="s">
        <v>1376</v>
      </c>
      <c r="E63" s="211">
        <v>3822.9</v>
      </c>
      <c r="F63" s="151" t="s">
        <v>694</v>
      </c>
      <c r="G63" s="151" t="s">
        <v>1224</v>
      </c>
      <c r="H63" s="211">
        <v>101486</v>
      </c>
      <c r="I63" s="17">
        <f t="shared" si="0"/>
        <v>265468623.29645035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>
      <c r="A64" s="151" t="s">
        <v>1377</v>
      </c>
      <c r="B64" s="17" t="s">
        <v>1378</v>
      </c>
      <c r="C64" s="211">
        <v>539254</v>
      </c>
      <c r="D64" s="151" t="s">
        <v>1379</v>
      </c>
      <c r="E64" s="211">
        <v>909.4</v>
      </c>
      <c r="F64" s="151" t="s">
        <v>1242</v>
      </c>
      <c r="G64" s="151" t="s">
        <v>1144</v>
      </c>
      <c r="H64" s="211">
        <v>101442.9</v>
      </c>
      <c r="I64" s="17">
        <f t="shared" si="0"/>
        <v>1115492632.5049484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>
      <c r="A65" s="151" t="s">
        <v>1380</v>
      </c>
      <c r="B65" s="17" t="s">
        <v>1381</v>
      </c>
      <c r="C65" s="211">
        <v>543257</v>
      </c>
      <c r="D65" s="151" t="s">
        <v>1382</v>
      </c>
      <c r="E65" s="211">
        <v>77.099999999999994</v>
      </c>
      <c r="F65" s="151" t="s">
        <v>1194</v>
      </c>
      <c r="G65" s="151" t="s">
        <v>1137</v>
      </c>
      <c r="H65" s="211">
        <v>100758.2</v>
      </c>
      <c r="I65" s="17">
        <f t="shared" si="0"/>
        <v>13068508430.609598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>
      <c r="A66" s="151" t="s">
        <v>1383</v>
      </c>
      <c r="B66" s="17" t="s">
        <v>1384</v>
      </c>
      <c r="C66" s="211">
        <v>500251</v>
      </c>
      <c r="D66" s="151" t="s">
        <v>1385</v>
      </c>
      <c r="E66" s="211">
        <v>2833.8</v>
      </c>
      <c r="F66" s="151" t="s">
        <v>1246</v>
      </c>
      <c r="G66" s="151" t="s">
        <v>1247</v>
      </c>
      <c r="H66" s="211">
        <v>100738</v>
      </c>
      <c r="I66" s="17">
        <f t="shared" si="0"/>
        <v>355487331.49834144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>
      <c r="A67" s="151" t="s">
        <v>1386</v>
      </c>
      <c r="B67" s="17" t="s">
        <v>1387</v>
      </c>
      <c r="C67" s="211">
        <v>500547</v>
      </c>
      <c r="D67" s="151" t="s">
        <v>1388</v>
      </c>
      <c r="E67" s="211">
        <v>458.1</v>
      </c>
      <c r="F67" s="151" t="s">
        <v>1157</v>
      </c>
      <c r="G67" s="151" t="s">
        <v>1158</v>
      </c>
      <c r="H67" s="211">
        <v>99373.5</v>
      </c>
      <c r="I67" s="17">
        <f t="shared" si="0"/>
        <v>2169253438.1139488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>
      <c r="A68" s="151" t="s">
        <v>1389</v>
      </c>
      <c r="B68" s="17" t="s">
        <v>1390</v>
      </c>
      <c r="C68" s="211">
        <v>500387</v>
      </c>
      <c r="D68" s="151" t="s">
        <v>1391</v>
      </c>
      <c r="E68" s="211">
        <v>27527.8</v>
      </c>
      <c r="F68" s="151" t="s">
        <v>1238</v>
      </c>
      <c r="G68" s="151" t="s">
        <v>1138</v>
      </c>
      <c r="H68" s="211">
        <v>99322.4</v>
      </c>
      <c r="I68" s="17">
        <f t="shared" si="0"/>
        <v>36080761.993330382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>
      <c r="A69" s="151" t="s">
        <v>1392</v>
      </c>
      <c r="B69" s="17" t="s">
        <v>1393</v>
      </c>
      <c r="C69" s="211">
        <v>500002</v>
      </c>
      <c r="D69" s="151" t="s">
        <v>1394</v>
      </c>
      <c r="E69" s="211">
        <v>4622</v>
      </c>
      <c r="F69" s="151" t="s">
        <v>1323</v>
      </c>
      <c r="G69" s="151" t="s">
        <v>1141</v>
      </c>
      <c r="H69" s="211">
        <v>97944.1</v>
      </c>
      <c r="I69" s="17">
        <f t="shared" si="0"/>
        <v>211908481.17697966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>
      <c r="A70" s="151" t="s">
        <v>1395</v>
      </c>
      <c r="B70" s="17" t="s">
        <v>1396</v>
      </c>
      <c r="C70" s="211">
        <v>500087</v>
      </c>
      <c r="D70" s="151" t="s">
        <v>1397</v>
      </c>
      <c r="E70" s="211">
        <v>1211.0999999999999</v>
      </c>
      <c r="F70" s="151" t="s">
        <v>694</v>
      </c>
      <c r="G70" s="151" t="s">
        <v>1224</v>
      </c>
      <c r="H70" s="211">
        <v>97778.2</v>
      </c>
      <c r="I70" s="17">
        <f t="shared" si="0"/>
        <v>807350342.66369426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>
      <c r="A71" s="151" t="s">
        <v>1398</v>
      </c>
      <c r="B71" s="17" t="s">
        <v>1399</v>
      </c>
      <c r="C71" s="211">
        <v>511243</v>
      </c>
      <c r="D71" s="151" t="s">
        <v>1400</v>
      </c>
      <c r="E71" s="211">
        <v>1155.5999999999999</v>
      </c>
      <c r="F71" s="151" t="s">
        <v>1194</v>
      </c>
      <c r="G71" s="151" t="s">
        <v>1137</v>
      </c>
      <c r="H71" s="211">
        <v>97021.5</v>
      </c>
      <c r="I71" s="17">
        <f t="shared" si="0"/>
        <v>839576843.19833863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>
      <c r="A72" s="151" t="s">
        <v>1401</v>
      </c>
      <c r="B72" s="17" t="s">
        <v>1402</v>
      </c>
      <c r="C72" s="211">
        <v>500096</v>
      </c>
      <c r="D72" s="151" t="s">
        <v>1403</v>
      </c>
      <c r="E72" s="211">
        <v>545.4</v>
      </c>
      <c r="F72" s="151" t="s">
        <v>1172</v>
      </c>
      <c r="G72" s="151" t="s">
        <v>1173</v>
      </c>
      <c r="H72" s="211">
        <v>96646.9</v>
      </c>
      <c r="I72" s="17">
        <f t="shared" si="0"/>
        <v>1772037037.0370371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>
      <c r="A73" s="151" t="s">
        <v>1404</v>
      </c>
      <c r="B73" s="17" t="s">
        <v>1405</v>
      </c>
      <c r="C73" s="211">
        <v>500124</v>
      </c>
      <c r="D73" s="151" t="s">
        <v>1406</v>
      </c>
      <c r="E73" s="211">
        <v>5758.9</v>
      </c>
      <c r="F73" s="151" t="s">
        <v>694</v>
      </c>
      <c r="G73" s="151" t="s">
        <v>1224</v>
      </c>
      <c r="H73" s="211">
        <v>96058.6</v>
      </c>
      <c r="I73" s="17">
        <f t="shared" si="0"/>
        <v>166800256.99352309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>
      <c r="A74" s="151" t="s">
        <v>1407</v>
      </c>
      <c r="B74" s="17" t="s">
        <v>1408</v>
      </c>
      <c r="C74" s="211">
        <v>532155</v>
      </c>
      <c r="D74" s="151" t="s">
        <v>1409</v>
      </c>
      <c r="E74" s="211">
        <v>141.80000000000001</v>
      </c>
      <c r="F74" s="151" t="s">
        <v>1410</v>
      </c>
      <c r="G74" s="151" t="s">
        <v>1144</v>
      </c>
      <c r="H74" s="211">
        <v>93234.9</v>
      </c>
      <c r="I74" s="17">
        <f t="shared" si="0"/>
        <v>6575098730.6064873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>
      <c r="A75" s="151" t="s">
        <v>1411</v>
      </c>
      <c r="B75" s="17" t="s">
        <v>1412</v>
      </c>
      <c r="C75" s="211">
        <v>500425</v>
      </c>
      <c r="D75" s="151" t="s">
        <v>1413</v>
      </c>
      <c r="E75" s="211">
        <v>469.2</v>
      </c>
      <c r="F75" s="151" t="s">
        <v>1238</v>
      </c>
      <c r="G75" s="151" t="s">
        <v>1138</v>
      </c>
      <c r="H75" s="211">
        <v>93166.5</v>
      </c>
      <c r="I75" s="17">
        <f t="shared" si="0"/>
        <v>1985645780.051151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>
      <c r="A76" s="151" t="s">
        <v>1414</v>
      </c>
      <c r="B76" s="17" t="s">
        <v>1415</v>
      </c>
      <c r="C76" s="211">
        <v>532461</v>
      </c>
      <c r="D76" s="151" t="s">
        <v>1416</v>
      </c>
      <c r="E76" s="211">
        <v>83.6</v>
      </c>
      <c r="F76" s="151" t="s">
        <v>1165</v>
      </c>
      <c r="G76" s="151" t="s">
        <v>1137</v>
      </c>
      <c r="H76" s="211">
        <v>92107.1</v>
      </c>
      <c r="I76" s="17">
        <f t="shared" si="0"/>
        <v>11017595693.779905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>
      <c r="A77" s="151" t="s">
        <v>1417</v>
      </c>
      <c r="B77" s="17" t="s">
        <v>1418</v>
      </c>
      <c r="C77" s="211">
        <v>532343</v>
      </c>
      <c r="D77" s="151" t="s">
        <v>1419</v>
      </c>
      <c r="E77" s="211">
        <v>1904.8</v>
      </c>
      <c r="F77" s="151" t="s">
        <v>1289</v>
      </c>
      <c r="G77" s="151" t="s">
        <v>1211</v>
      </c>
      <c r="H77" s="211">
        <v>90494.6</v>
      </c>
      <c r="I77" s="17">
        <f t="shared" si="0"/>
        <v>475087148.2570349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>
      <c r="A78" s="151" t="s">
        <v>1420</v>
      </c>
      <c r="B78" s="17" t="s">
        <v>1421</v>
      </c>
      <c r="C78" s="211">
        <v>500295</v>
      </c>
      <c r="D78" s="151" t="s">
        <v>1422</v>
      </c>
      <c r="E78" s="211">
        <v>240.9</v>
      </c>
      <c r="F78" s="151" t="s">
        <v>1348</v>
      </c>
      <c r="G78" s="151" t="s">
        <v>1142</v>
      </c>
      <c r="H78" s="211">
        <v>89547.5</v>
      </c>
      <c r="I78" s="17">
        <f t="shared" si="0"/>
        <v>3717206309.6720629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>
      <c r="A79" s="151" t="s">
        <v>1423</v>
      </c>
      <c r="B79" s="17" t="s">
        <v>1424</v>
      </c>
      <c r="C79" s="211">
        <v>543287</v>
      </c>
      <c r="D79" s="151" t="s">
        <v>1425</v>
      </c>
      <c r="E79" s="211">
        <v>927</v>
      </c>
      <c r="F79" s="151" t="s">
        <v>1307</v>
      </c>
      <c r="G79" s="151" t="s">
        <v>1307</v>
      </c>
      <c r="H79" s="211">
        <v>89403.199999999997</v>
      </c>
      <c r="I79" s="17">
        <f t="shared" si="0"/>
        <v>964435814.4552319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>
      <c r="A80" s="151" t="s">
        <v>1426</v>
      </c>
      <c r="B80" s="17" t="s">
        <v>1427</v>
      </c>
      <c r="C80" s="211">
        <v>500400</v>
      </c>
      <c r="D80" s="151" t="s">
        <v>1428</v>
      </c>
      <c r="E80" s="211">
        <v>279.39999999999998</v>
      </c>
      <c r="F80" s="151" t="s">
        <v>1242</v>
      </c>
      <c r="G80" s="151" t="s">
        <v>1144</v>
      </c>
      <c r="H80" s="211">
        <v>89277.8</v>
      </c>
      <c r="I80" s="17">
        <f t="shared" si="0"/>
        <v>3195340014.3163924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>
      <c r="A81" s="151" t="s">
        <v>1429</v>
      </c>
      <c r="B81" s="17" t="s">
        <v>1430</v>
      </c>
      <c r="C81" s="211">
        <v>500800</v>
      </c>
      <c r="D81" s="151" t="s">
        <v>1431</v>
      </c>
      <c r="E81" s="211">
        <v>950.4</v>
      </c>
      <c r="F81" s="151" t="s">
        <v>1255</v>
      </c>
      <c r="G81" s="151" t="s">
        <v>1173</v>
      </c>
      <c r="H81" s="211">
        <v>88297.9</v>
      </c>
      <c r="I81" s="17">
        <f t="shared" si="0"/>
        <v>929060395.6228956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>
      <c r="A82" s="151" t="s">
        <v>1432</v>
      </c>
      <c r="B82" s="17" t="s">
        <v>1433</v>
      </c>
      <c r="C82" s="211">
        <v>532477</v>
      </c>
      <c r="D82" s="151" t="s">
        <v>1434</v>
      </c>
      <c r="E82" s="211">
        <v>113.5</v>
      </c>
      <c r="F82" s="151" t="s">
        <v>1165</v>
      </c>
      <c r="G82" s="151" t="s">
        <v>1137</v>
      </c>
      <c r="H82" s="211">
        <v>84131.3</v>
      </c>
      <c r="I82" s="17">
        <f t="shared" si="0"/>
        <v>7412449339.2070484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>
      <c r="A83" s="151" t="s">
        <v>1435</v>
      </c>
      <c r="B83" s="17" t="s">
        <v>1436</v>
      </c>
      <c r="C83" s="211">
        <v>500490</v>
      </c>
      <c r="D83" s="151" t="s">
        <v>1437</v>
      </c>
      <c r="E83" s="211">
        <v>7499.5</v>
      </c>
      <c r="F83" s="151" t="s">
        <v>1233</v>
      </c>
      <c r="G83" s="151" t="s">
        <v>1234</v>
      </c>
      <c r="H83" s="211">
        <v>83464.600000000006</v>
      </c>
      <c r="I83" s="17">
        <f t="shared" si="0"/>
        <v>111293552.9035269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>
      <c r="A84" s="151" t="s">
        <v>1438</v>
      </c>
      <c r="B84" s="17" t="s">
        <v>35</v>
      </c>
      <c r="C84" s="211">
        <v>517354</v>
      </c>
      <c r="D84" s="151" t="s">
        <v>1439</v>
      </c>
      <c r="E84" s="211">
        <v>1315</v>
      </c>
      <c r="F84" s="151" t="s">
        <v>1440</v>
      </c>
      <c r="G84" s="151" t="s">
        <v>1441</v>
      </c>
      <c r="H84" s="211">
        <v>82408.800000000003</v>
      </c>
      <c r="I84" s="17">
        <f t="shared" si="0"/>
        <v>626682889.73384035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>
      <c r="A85" s="151" t="s">
        <v>1442</v>
      </c>
      <c r="B85" s="17" t="s">
        <v>1443</v>
      </c>
      <c r="C85" s="211">
        <v>508869</v>
      </c>
      <c r="D85" s="151" t="s">
        <v>1444</v>
      </c>
      <c r="E85" s="211">
        <v>5616.4</v>
      </c>
      <c r="F85" s="151" t="s">
        <v>1445</v>
      </c>
      <c r="G85" s="151" t="s">
        <v>1139</v>
      </c>
      <c r="H85" s="211">
        <v>80756</v>
      </c>
      <c r="I85" s="17">
        <f t="shared" si="0"/>
        <v>143786055.1242789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>
      <c r="A86" s="151" t="s">
        <v>1446</v>
      </c>
      <c r="B86" s="17" t="s">
        <v>1447</v>
      </c>
      <c r="C86" s="211">
        <v>540133</v>
      </c>
      <c r="D86" s="151" t="s">
        <v>1448</v>
      </c>
      <c r="E86" s="211">
        <v>560.79999999999995</v>
      </c>
      <c r="F86" s="151" t="s">
        <v>1198</v>
      </c>
      <c r="G86" s="151" t="s">
        <v>1137</v>
      </c>
      <c r="H86" s="211">
        <v>80746.3</v>
      </c>
      <c r="I86" s="17">
        <f t="shared" si="0"/>
        <v>1439841298.1455066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>
      <c r="A87" s="151" t="s">
        <v>1449</v>
      </c>
      <c r="B87" s="17" t="s">
        <v>1450</v>
      </c>
      <c r="C87" s="211">
        <v>542066</v>
      </c>
      <c r="D87" s="151" t="s">
        <v>1451</v>
      </c>
      <c r="E87" s="211">
        <v>730.5</v>
      </c>
      <c r="F87" s="151" t="s">
        <v>1410</v>
      </c>
      <c r="G87" s="151" t="s">
        <v>1144</v>
      </c>
      <c r="H87" s="211">
        <v>80341.100000000006</v>
      </c>
      <c r="I87" s="17">
        <f t="shared" si="0"/>
        <v>1099809719.3702943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>
      <c r="A88" s="151" t="s">
        <v>1452</v>
      </c>
      <c r="B88" s="17" t="s">
        <v>1453</v>
      </c>
      <c r="C88" s="211">
        <v>542652</v>
      </c>
      <c r="D88" s="151" t="s">
        <v>1454</v>
      </c>
      <c r="E88" s="211">
        <v>5324.2</v>
      </c>
      <c r="F88" s="151" t="s">
        <v>1440</v>
      </c>
      <c r="G88" s="151" t="s">
        <v>1441</v>
      </c>
      <c r="H88" s="211">
        <v>79939.399999999994</v>
      </c>
      <c r="I88" s="17">
        <f t="shared" si="0"/>
        <v>150143495.73644868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>
      <c r="A89" s="151" t="s">
        <v>1455</v>
      </c>
      <c r="B89" s="17" t="s">
        <v>1456</v>
      </c>
      <c r="C89" s="211">
        <v>543904</v>
      </c>
      <c r="D89" s="151" t="s">
        <v>1457</v>
      </c>
      <c r="E89" s="211">
        <v>1956.7</v>
      </c>
      <c r="F89" s="151" t="s">
        <v>694</v>
      </c>
      <c r="G89" s="151" t="s">
        <v>1224</v>
      </c>
      <c r="H89" s="211">
        <v>78383.100000000006</v>
      </c>
      <c r="I89" s="17">
        <f t="shared" si="0"/>
        <v>400588235.29411763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>
      <c r="A90" s="151" t="s">
        <v>1458</v>
      </c>
      <c r="B90" s="17" t="s">
        <v>1135</v>
      </c>
      <c r="C90" s="211">
        <v>532483</v>
      </c>
      <c r="D90" s="151" t="s">
        <v>1459</v>
      </c>
      <c r="E90" s="211">
        <v>426</v>
      </c>
      <c r="F90" s="151" t="s">
        <v>1165</v>
      </c>
      <c r="G90" s="151" t="s">
        <v>1137</v>
      </c>
      <c r="H90" s="211">
        <v>77272.899999999994</v>
      </c>
      <c r="I90" s="17">
        <f t="shared" si="0"/>
        <v>1813917840.3755867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>
      <c r="A91" s="151" t="s">
        <v>1460</v>
      </c>
      <c r="B91" s="17" t="s">
        <v>76</v>
      </c>
      <c r="C91" s="211">
        <v>511218</v>
      </c>
      <c r="D91" s="151" t="s">
        <v>1461</v>
      </c>
      <c r="E91" s="211">
        <v>2052</v>
      </c>
      <c r="F91" s="151" t="s">
        <v>1194</v>
      </c>
      <c r="G91" s="151" t="s">
        <v>1137</v>
      </c>
      <c r="H91" s="211">
        <v>77059.199999999997</v>
      </c>
      <c r="I91" s="17">
        <f t="shared" si="0"/>
        <v>375532163.74269009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>
      <c r="A92" s="151" t="s">
        <v>1462</v>
      </c>
      <c r="B92" s="17" t="s">
        <v>227</v>
      </c>
      <c r="C92" s="211">
        <v>532388</v>
      </c>
      <c r="D92" s="151" t="s">
        <v>1463</v>
      </c>
      <c r="E92" s="211">
        <v>40.799999999999997</v>
      </c>
      <c r="F92" s="151" t="s">
        <v>1165</v>
      </c>
      <c r="G92" s="151" t="s">
        <v>1137</v>
      </c>
      <c r="H92" s="211">
        <v>77027.3</v>
      </c>
      <c r="I92" s="17">
        <f t="shared" si="0"/>
        <v>18879240196.078434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>
      <c r="A93" s="151" t="s">
        <v>1464</v>
      </c>
      <c r="B93" s="17" t="s">
        <v>1465</v>
      </c>
      <c r="C93" s="211">
        <v>500182</v>
      </c>
      <c r="D93" s="151" t="s">
        <v>1466</v>
      </c>
      <c r="E93" s="211">
        <v>3835.1</v>
      </c>
      <c r="F93" s="151" t="s">
        <v>1289</v>
      </c>
      <c r="G93" s="151" t="s">
        <v>1211</v>
      </c>
      <c r="H93" s="211">
        <v>76658.7</v>
      </c>
      <c r="I93" s="17">
        <f t="shared" si="0"/>
        <v>199887095.51250294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>
      <c r="A94" s="151" t="s">
        <v>1467</v>
      </c>
      <c r="B94" s="17" t="s">
        <v>1468</v>
      </c>
      <c r="C94" s="211">
        <v>532432</v>
      </c>
      <c r="D94" s="151" t="s">
        <v>1469</v>
      </c>
      <c r="E94" s="211">
        <v>1051.2</v>
      </c>
      <c r="F94" s="151" t="s">
        <v>1470</v>
      </c>
      <c r="G94" s="151" t="s">
        <v>1140</v>
      </c>
      <c r="H94" s="211">
        <v>76459.100000000006</v>
      </c>
      <c r="I94" s="17">
        <f t="shared" si="0"/>
        <v>727350646.87975645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>
      <c r="A95" s="151" t="s">
        <v>1471</v>
      </c>
      <c r="B95" s="17" t="s">
        <v>1472</v>
      </c>
      <c r="C95" s="211">
        <v>500420</v>
      </c>
      <c r="D95" s="151" t="s">
        <v>1473</v>
      </c>
      <c r="E95" s="211">
        <v>2142.1999999999998</v>
      </c>
      <c r="F95" s="151" t="s">
        <v>694</v>
      </c>
      <c r="G95" s="151" t="s">
        <v>1224</v>
      </c>
      <c r="H95" s="211">
        <v>72501.8</v>
      </c>
      <c r="I95" s="17">
        <f t="shared" si="0"/>
        <v>338445523.29381013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>
      <c r="A96" s="151" t="s">
        <v>1474</v>
      </c>
      <c r="B96" s="17" t="s">
        <v>1475</v>
      </c>
      <c r="C96" s="211">
        <v>543066</v>
      </c>
      <c r="D96" s="151" t="s">
        <v>1476</v>
      </c>
      <c r="E96" s="211">
        <v>755</v>
      </c>
      <c r="F96" s="151" t="s">
        <v>1194</v>
      </c>
      <c r="G96" s="151" t="s">
        <v>1137</v>
      </c>
      <c r="H96" s="211">
        <v>71775.600000000006</v>
      </c>
      <c r="I96" s="17">
        <f t="shared" si="0"/>
        <v>950670198.6754967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>
      <c r="A97" s="151" t="s">
        <v>1477</v>
      </c>
      <c r="B97" s="17" t="s">
        <v>1478</v>
      </c>
      <c r="C97" s="211">
        <v>503806</v>
      </c>
      <c r="D97" s="151" t="s">
        <v>1479</v>
      </c>
      <c r="E97" s="211">
        <v>2420.3000000000002</v>
      </c>
      <c r="F97" s="151" t="s">
        <v>1334</v>
      </c>
      <c r="G97" s="151" t="s">
        <v>1335</v>
      </c>
      <c r="H97" s="211">
        <v>71743.7</v>
      </c>
      <c r="I97" s="17">
        <f t="shared" si="0"/>
        <v>296424823.36900383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>
      <c r="A98" s="151" t="s">
        <v>1480</v>
      </c>
      <c r="B98" s="17" t="s">
        <v>1481</v>
      </c>
      <c r="C98" s="211">
        <v>540716</v>
      </c>
      <c r="D98" s="151" t="s">
        <v>1482</v>
      </c>
      <c r="E98" s="211">
        <v>1458</v>
      </c>
      <c r="F98" s="151" t="s">
        <v>1483</v>
      </c>
      <c r="G98" s="151" t="s">
        <v>1137</v>
      </c>
      <c r="H98" s="211">
        <v>71675.3</v>
      </c>
      <c r="I98" s="17">
        <f t="shared" si="0"/>
        <v>491600137.17421126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>
      <c r="A99" s="151" t="s">
        <v>1484</v>
      </c>
      <c r="B99" s="17" t="s">
        <v>1485</v>
      </c>
      <c r="C99" s="211">
        <v>500093</v>
      </c>
      <c r="D99" s="151" t="s">
        <v>1486</v>
      </c>
      <c r="E99" s="211">
        <v>467.4</v>
      </c>
      <c r="F99" s="151" t="s">
        <v>1323</v>
      </c>
      <c r="G99" s="151" t="s">
        <v>1141</v>
      </c>
      <c r="H99" s="211">
        <v>71392.899999999994</v>
      </c>
      <c r="I99" s="17">
        <f t="shared" si="0"/>
        <v>1527447582.3705606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>
      <c r="A100" s="151" t="s">
        <v>1487</v>
      </c>
      <c r="B100" s="17" t="s">
        <v>51</v>
      </c>
      <c r="C100" s="211">
        <v>533148</v>
      </c>
      <c r="D100" s="151" t="s">
        <v>1488</v>
      </c>
      <c r="E100" s="211">
        <v>427</v>
      </c>
      <c r="F100" s="151" t="s">
        <v>1242</v>
      </c>
      <c r="G100" s="151" t="s">
        <v>1144</v>
      </c>
      <c r="H100" s="211">
        <v>70227.7</v>
      </c>
      <c r="I100" s="17">
        <f t="shared" si="0"/>
        <v>1644676814.9882903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>
      <c r="A101" s="151" t="s">
        <v>1489</v>
      </c>
      <c r="B101" s="17" t="s">
        <v>1490</v>
      </c>
      <c r="C101" s="211">
        <v>531642</v>
      </c>
      <c r="D101" s="151" t="s">
        <v>1491</v>
      </c>
      <c r="E101" s="211">
        <v>539</v>
      </c>
      <c r="F101" s="151" t="s">
        <v>1172</v>
      </c>
      <c r="G101" s="151" t="s">
        <v>1173</v>
      </c>
      <c r="H101" s="211">
        <v>69737.399999999994</v>
      </c>
      <c r="I101" s="17">
        <f t="shared" si="0"/>
        <v>1293829313.5435994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>
      <c r="A102" s="151" t="s">
        <v>1492</v>
      </c>
      <c r="B102" s="17" t="s">
        <v>1493</v>
      </c>
      <c r="C102" s="211">
        <v>532286</v>
      </c>
      <c r="D102" s="151" t="s">
        <v>1494</v>
      </c>
      <c r="E102" s="211">
        <v>682.9</v>
      </c>
      <c r="F102" s="151" t="s">
        <v>1272</v>
      </c>
      <c r="G102" s="151" t="s">
        <v>1142</v>
      </c>
      <c r="H102" s="211">
        <v>69661.8</v>
      </c>
      <c r="I102" s="17">
        <f t="shared" si="0"/>
        <v>1020087860.5945234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>
      <c r="A103" s="151" t="s">
        <v>1495</v>
      </c>
      <c r="B103" s="17" t="s">
        <v>1496</v>
      </c>
      <c r="C103" s="211">
        <v>509480</v>
      </c>
      <c r="D103" s="151" t="s">
        <v>1497</v>
      </c>
      <c r="E103" s="211">
        <v>586.5</v>
      </c>
      <c r="F103" s="151" t="s">
        <v>1220</v>
      </c>
      <c r="G103" s="151" t="s">
        <v>1139</v>
      </c>
      <c r="H103" s="211">
        <v>68368.7</v>
      </c>
      <c r="I103" s="17">
        <f t="shared" si="0"/>
        <v>1165706734.8678601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>
      <c r="A104" s="151" t="s">
        <v>1498</v>
      </c>
      <c r="B104" s="17" t="s">
        <v>1499</v>
      </c>
      <c r="C104" s="211">
        <v>500116</v>
      </c>
      <c r="D104" s="151" t="s">
        <v>1500</v>
      </c>
      <c r="E104" s="211">
        <v>63.4</v>
      </c>
      <c r="F104" s="151" t="s">
        <v>1165</v>
      </c>
      <c r="G104" s="151" t="s">
        <v>1137</v>
      </c>
      <c r="H104" s="211">
        <v>68224</v>
      </c>
      <c r="I104" s="17">
        <f t="shared" si="0"/>
        <v>10760883280.757097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>
      <c r="A105" s="151" t="s">
        <v>1501</v>
      </c>
      <c r="B105" s="17" t="s">
        <v>1502</v>
      </c>
      <c r="C105" s="211">
        <v>532822</v>
      </c>
      <c r="D105" s="151" t="s">
        <v>1503</v>
      </c>
      <c r="E105" s="211">
        <v>13.4</v>
      </c>
      <c r="F105" s="151" t="s">
        <v>1179</v>
      </c>
      <c r="G105" s="151" t="s">
        <v>1179</v>
      </c>
      <c r="H105" s="211">
        <v>64987.4</v>
      </c>
      <c r="I105" s="17">
        <f t="shared" si="0"/>
        <v>48498059701.492538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>
      <c r="A106" s="151" t="s">
        <v>1504</v>
      </c>
      <c r="B106" s="17" t="s">
        <v>1505</v>
      </c>
      <c r="C106" s="211">
        <v>500530</v>
      </c>
      <c r="D106" s="151" t="s">
        <v>1506</v>
      </c>
      <c r="E106" s="211">
        <v>21854.6</v>
      </c>
      <c r="F106" s="151" t="s">
        <v>1507</v>
      </c>
      <c r="G106" s="151" t="s">
        <v>1211</v>
      </c>
      <c r="H106" s="211">
        <v>64457.2</v>
      </c>
      <c r="I106" s="17">
        <f t="shared" si="0"/>
        <v>29493653.510016199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>
      <c r="A107" s="151" t="s">
        <v>1508</v>
      </c>
      <c r="B107" s="17" t="s">
        <v>1509</v>
      </c>
      <c r="C107" s="211">
        <v>532321</v>
      </c>
      <c r="D107" s="151" t="s">
        <v>1510</v>
      </c>
      <c r="E107" s="211">
        <v>634.6</v>
      </c>
      <c r="F107" s="151" t="s">
        <v>694</v>
      </c>
      <c r="G107" s="151" t="s">
        <v>1224</v>
      </c>
      <c r="H107" s="211">
        <v>64239.5</v>
      </c>
      <c r="I107" s="17">
        <f t="shared" si="0"/>
        <v>1012283328.0806807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>
      <c r="A108" s="151" t="s">
        <v>1511</v>
      </c>
      <c r="B108" s="17" t="s">
        <v>1512</v>
      </c>
      <c r="C108" s="211">
        <v>543220</v>
      </c>
      <c r="D108" s="151" t="s">
        <v>1513</v>
      </c>
      <c r="E108" s="211">
        <v>659.8</v>
      </c>
      <c r="F108" s="151" t="s">
        <v>1445</v>
      </c>
      <c r="G108" s="151" t="s">
        <v>1139</v>
      </c>
      <c r="H108" s="211">
        <v>64121.1</v>
      </c>
      <c r="I108" s="17">
        <f t="shared" si="0"/>
        <v>971826311.0033344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>
      <c r="A109" s="151" t="s">
        <v>1514</v>
      </c>
      <c r="B109" s="17" t="s">
        <v>1515</v>
      </c>
      <c r="C109" s="211">
        <v>541729</v>
      </c>
      <c r="D109" s="151" t="s">
        <v>1516</v>
      </c>
      <c r="E109" s="211">
        <v>2968</v>
      </c>
      <c r="F109" s="151" t="s">
        <v>1517</v>
      </c>
      <c r="G109" s="151" t="s">
        <v>1137</v>
      </c>
      <c r="H109" s="211">
        <v>63361</v>
      </c>
      <c r="I109" s="17">
        <f t="shared" si="0"/>
        <v>213480458.22102425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>
      <c r="A110" s="151" t="s">
        <v>1518</v>
      </c>
      <c r="B110" s="17" t="s">
        <v>1519</v>
      </c>
      <c r="C110" s="211">
        <v>517334</v>
      </c>
      <c r="D110" s="151" t="s">
        <v>1520</v>
      </c>
      <c r="E110" s="211">
        <v>93.5</v>
      </c>
      <c r="F110" s="151" t="s">
        <v>1507</v>
      </c>
      <c r="G110" s="151" t="s">
        <v>1211</v>
      </c>
      <c r="H110" s="211">
        <v>63359.5</v>
      </c>
      <c r="I110" s="17">
        <f t="shared" si="0"/>
        <v>6776417112.2994652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>
      <c r="A111" s="151" t="s">
        <v>1521</v>
      </c>
      <c r="B111" s="17" t="s">
        <v>1522</v>
      </c>
      <c r="C111" s="211">
        <v>540762</v>
      </c>
      <c r="D111" s="151" t="s">
        <v>1523</v>
      </c>
      <c r="E111" s="211">
        <v>3276.3</v>
      </c>
      <c r="F111" s="151" t="s">
        <v>1507</v>
      </c>
      <c r="G111" s="151" t="s">
        <v>1211</v>
      </c>
      <c r="H111" s="211">
        <v>63337.4</v>
      </c>
      <c r="I111" s="17">
        <f t="shared" si="0"/>
        <v>193319903.54973596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>
      <c r="A112" s="151" t="s">
        <v>1524</v>
      </c>
      <c r="B112" s="17" t="s">
        <v>1525</v>
      </c>
      <c r="C112" s="211">
        <v>500830</v>
      </c>
      <c r="D112" s="151" t="s">
        <v>1526</v>
      </c>
      <c r="E112" s="211">
        <v>2282.6999999999998</v>
      </c>
      <c r="F112" s="151" t="s">
        <v>1172</v>
      </c>
      <c r="G112" s="151" t="s">
        <v>1173</v>
      </c>
      <c r="H112" s="211">
        <v>62086.2</v>
      </c>
      <c r="I112" s="17">
        <f t="shared" si="0"/>
        <v>271985806.28203446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>
      <c r="A113" s="151" t="s">
        <v>1527</v>
      </c>
      <c r="B113" s="17" t="s">
        <v>1528</v>
      </c>
      <c r="C113" s="211">
        <v>539437</v>
      </c>
      <c r="D113" s="151" t="s">
        <v>1529</v>
      </c>
      <c r="E113" s="211">
        <v>87.1</v>
      </c>
      <c r="F113" s="151" t="s">
        <v>1165</v>
      </c>
      <c r="G113" s="151" t="s">
        <v>1137</v>
      </c>
      <c r="H113" s="211">
        <v>61506</v>
      </c>
      <c r="I113" s="17">
        <f t="shared" si="0"/>
        <v>7061538461.5384617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>
      <c r="A114" s="151" t="s">
        <v>1530</v>
      </c>
      <c r="B114" s="17" t="s">
        <v>47</v>
      </c>
      <c r="C114" s="211">
        <v>500850</v>
      </c>
      <c r="D114" s="151" t="s">
        <v>1531</v>
      </c>
      <c r="E114" s="211">
        <v>429.4</v>
      </c>
      <c r="F114" s="151" t="s">
        <v>1532</v>
      </c>
      <c r="G114" s="151" t="s">
        <v>1533</v>
      </c>
      <c r="H114" s="211">
        <v>60984.9</v>
      </c>
      <c r="I114" s="17">
        <f t="shared" si="0"/>
        <v>1420235211.9236145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>
      <c r="A115" s="151" t="s">
        <v>1534</v>
      </c>
      <c r="B115" s="17" t="s">
        <v>1535</v>
      </c>
      <c r="C115" s="211">
        <v>524804</v>
      </c>
      <c r="D115" s="151" t="s">
        <v>1536</v>
      </c>
      <c r="E115" s="211">
        <v>1031.4000000000001</v>
      </c>
      <c r="F115" s="151" t="s">
        <v>694</v>
      </c>
      <c r="G115" s="151" t="s">
        <v>1224</v>
      </c>
      <c r="H115" s="211">
        <v>60433.7</v>
      </c>
      <c r="I115" s="17">
        <f t="shared" si="0"/>
        <v>585938530.15318978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>
      <c r="A116" s="151" t="s">
        <v>1537</v>
      </c>
      <c r="B116" s="17" t="s">
        <v>1538</v>
      </c>
      <c r="C116" s="211">
        <v>500103</v>
      </c>
      <c r="D116" s="151" t="s">
        <v>1539</v>
      </c>
      <c r="E116" s="211">
        <v>172.4</v>
      </c>
      <c r="F116" s="151" t="s">
        <v>1323</v>
      </c>
      <c r="G116" s="151" t="s">
        <v>1141</v>
      </c>
      <c r="H116" s="211">
        <v>60048.2</v>
      </c>
      <c r="I116" s="17">
        <f t="shared" si="0"/>
        <v>3483074245.9396749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>
      <c r="A117" s="151" t="s">
        <v>1540</v>
      </c>
      <c r="B117" s="17" t="s">
        <v>1541</v>
      </c>
      <c r="C117" s="211">
        <v>532777</v>
      </c>
      <c r="D117" s="151" t="s">
        <v>1542</v>
      </c>
      <c r="E117" s="211">
        <v>4608.6000000000004</v>
      </c>
      <c r="F117" s="151" t="s">
        <v>1373</v>
      </c>
      <c r="G117" s="151" t="s">
        <v>1143</v>
      </c>
      <c r="H117" s="211">
        <v>59628.6</v>
      </c>
      <c r="I117" s="17">
        <f t="shared" si="0"/>
        <v>129385496.68011977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>
      <c r="A118" s="151" t="s">
        <v>1543</v>
      </c>
      <c r="B118" s="17" t="s">
        <v>1544</v>
      </c>
      <c r="C118" s="211">
        <v>509930</v>
      </c>
      <c r="D118" s="151" t="s">
        <v>1545</v>
      </c>
      <c r="E118" s="211">
        <v>4643.8</v>
      </c>
      <c r="F118" s="151" t="s">
        <v>1546</v>
      </c>
      <c r="G118" s="151" t="s">
        <v>1141</v>
      </c>
      <c r="H118" s="211">
        <v>58989.4</v>
      </c>
      <c r="I118" s="17">
        <f t="shared" si="0"/>
        <v>127028295.79223911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>
      <c r="A119" s="151" t="s">
        <v>1547</v>
      </c>
      <c r="B119" s="17" t="s">
        <v>62</v>
      </c>
      <c r="C119" s="211">
        <v>533398</v>
      </c>
      <c r="D119" s="151" t="s">
        <v>1548</v>
      </c>
      <c r="E119" s="211">
        <v>1464.4</v>
      </c>
      <c r="F119" s="151" t="s">
        <v>1194</v>
      </c>
      <c r="G119" s="151" t="s">
        <v>1137</v>
      </c>
      <c r="H119" s="211">
        <v>58791.5</v>
      </c>
      <c r="I119" s="17">
        <f t="shared" si="0"/>
        <v>401471592.4610762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>
      <c r="A120" s="151" t="s">
        <v>1549</v>
      </c>
      <c r="B120" s="17" t="s">
        <v>1550</v>
      </c>
      <c r="C120" s="211">
        <v>523642</v>
      </c>
      <c r="D120" s="151" t="s">
        <v>1551</v>
      </c>
      <c r="E120" s="211">
        <v>3843.2</v>
      </c>
      <c r="F120" s="151" t="s">
        <v>1552</v>
      </c>
      <c r="G120" s="151" t="s">
        <v>1335</v>
      </c>
      <c r="H120" s="211">
        <v>58309.1</v>
      </c>
      <c r="I120" s="17">
        <f t="shared" si="0"/>
        <v>151720181.09908411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>
      <c r="A121" s="151" t="s">
        <v>1553</v>
      </c>
      <c r="B121" s="17" t="s">
        <v>1554</v>
      </c>
      <c r="C121" s="211">
        <v>533098</v>
      </c>
      <c r="D121" s="151" t="s">
        <v>1555</v>
      </c>
      <c r="E121" s="211">
        <v>57.7</v>
      </c>
      <c r="F121" s="151" t="s">
        <v>1242</v>
      </c>
      <c r="G121" s="151" t="s">
        <v>1144</v>
      </c>
      <c r="H121" s="211">
        <v>57959.9</v>
      </c>
      <c r="I121" s="17">
        <f t="shared" si="0"/>
        <v>10045043327.556326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>
      <c r="A122" s="151" t="s">
        <v>1556</v>
      </c>
      <c r="B122" s="17" t="s">
        <v>1557</v>
      </c>
      <c r="C122" s="211">
        <v>542830</v>
      </c>
      <c r="D122" s="151" t="s">
        <v>1558</v>
      </c>
      <c r="E122" s="211">
        <v>721.4</v>
      </c>
      <c r="F122" s="151" t="s">
        <v>1559</v>
      </c>
      <c r="G122" s="151" t="s">
        <v>1139</v>
      </c>
      <c r="H122" s="211">
        <v>57716</v>
      </c>
      <c r="I122" s="17">
        <f t="shared" si="0"/>
        <v>800055447.74050462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>
      <c r="A123" s="151" t="s">
        <v>1560</v>
      </c>
      <c r="B123" s="17" t="s">
        <v>1561</v>
      </c>
      <c r="C123" s="211">
        <v>500257</v>
      </c>
      <c r="D123" s="151" t="s">
        <v>1562</v>
      </c>
      <c r="E123" s="211">
        <v>1264</v>
      </c>
      <c r="F123" s="151" t="s">
        <v>694</v>
      </c>
      <c r="G123" s="151" t="s">
        <v>1224</v>
      </c>
      <c r="H123" s="211">
        <v>57546.2</v>
      </c>
      <c r="I123" s="17">
        <f t="shared" si="0"/>
        <v>455270569.62025315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>
      <c r="A124" s="151" t="s">
        <v>1563</v>
      </c>
      <c r="B124" s="17" t="s">
        <v>1564</v>
      </c>
      <c r="C124" s="211">
        <v>500459</v>
      </c>
      <c r="D124" s="151" t="s">
        <v>1565</v>
      </c>
      <c r="E124" s="211">
        <v>17506.8</v>
      </c>
      <c r="F124" s="151" t="s">
        <v>1172</v>
      </c>
      <c r="G124" s="151" t="s">
        <v>1173</v>
      </c>
      <c r="H124" s="211">
        <v>56828.3</v>
      </c>
      <c r="I124" s="17">
        <f t="shared" si="0"/>
        <v>32460700.98476021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>
      <c r="A125" s="151" t="s">
        <v>1566</v>
      </c>
      <c r="B125" s="17" t="s">
        <v>1567</v>
      </c>
      <c r="C125" s="211">
        <v>532648</v>
      </c>
      <c r="D125" s="151" t="s">
        <v>1568</v>
      </c>
      <c r="E125" s="211">
        <v>19.5</v>
      </c>
      <c r="F125" s="151" t="s">
        <v>1165</v>
      </c>
      <c r="G125" s="151" t="s">
        <v>1137</v>
      </c>
      <c r="H125" s="211">
        <v>56081.2</v>
      </c>
      <c r="I125" s="17">
        <f t="shared" si="0"/>
        <v>28759589743.589745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>
      <c r="A126" s="151" t="s">
        <v>1569</v>
      </c>
      <c r="B126" s="17" t="s">
        <v>1570</v>
      </c>
      <c r="C126" s="211">
        <v>539523</v>
      </c>
      <c r="D126" s="151" t="s">
        <v>1571</v>
      </c>
      <c r="E126" s="211">
        <v>4614</v>
      </c>
      <c r="F126" s="151" t="s">
        <v>694</v>
      </c>
      <c r="G126" s="151" t="s">
        <v>1224</v>
      </c>
      <c r="H126" s="211">
        <v>55167.3</v>
      </c>
      <c r="I126" s="17">
        <f t="shared" si="0"/>
        <v>119565019.50585176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>
      <c r="A127" s="151" t="s">
        <v>1572</v>
      </c>
      <c r="B127" s="17" t="s">
        <v>1573</v>
      </c>
      <c r="C127" s="211">
        <v>543396</v>
      </c>
      <c r="D127" s="151" t="s">
        <v>1574</v>
      </c>
      <c r="E127" s="211">
        <v>866.9</v>
      </c>
      <c r="F127" s="151" t="s">
        <v>1373</v>
      </c>
      <c r="G127" s="151" t="s">
        <v>1143</v>
      </c>
      <c r="H127" s="211">
        <v>55018.7</v>
      </c>
      <c r="I127" s="17">
        <f t="shared" si="0"/>
        <v>634660283.76975429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>
      <c r="A128" s="151" t="s">
        <v>1575</v>
      </c>
      <c r="B128" s="17" t="s">
        <v>66</v>
      </c>
      <c r="C128" s="211">
        <v>532725</v>
      </c>
      <c r="D128" s="151" t="s">
        <v>1576</v>
      </c>
      <c r="E128" s="211">
        <v>6060</v>
      </c>
      <c r="F128" s="151" t="s">
        <v>1577</v>
      </c>
      <c r="G128" s="151" t="s">
        <v>1141</v>
      </c>
      <c r="H128" s="211">
        <v>54837.5</v>
      </c>
      <c r="I128" s="17">
        <f t="shared" si="0"/>
        <v>90490924.092409238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>
      <c r="A129" s="151" t="s">
        <v>1578</v>
      </c>
      <c r="B129" s="17" t="s">
        <v>1579</v>
      </c>
      <c r="C129" s="211">
        <v>540755</v>
      </c>
      <c r="D129" s="151" t="s">
        <v>1580</v>
      </c>
      <c r="E129" s="211">
        <v>311.60000000000002</v>
      </c>
      <c r="F129" s="151" t="s">
        <v>1483</v>
      </c>
      <c r="G129" s="151" t="s">
        <v>1137</v>
      </c>
      <c r="H129" s="211">
        <v>54658.3</v>
      </c>
      <c r="I129" s="17">
        <f t="shared" si="0"/>
        <v>1754117458.2798457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>
      <c r="A130" s="151" t="s">
        <v>1581</v>
      </c>
      <c r="B130" s="17" t="s">
        <v>1582</v>
      </c>
      <c r="C130" s="211">
        <v>532667</v>
      </c>
      <c r="D130" s="151" t="s">
        <v>1583</v>
      </c>
      <c r="E130" s="211">
        <v>40.1</v>
      </c>
      <c r="F130" s="151" t="s">
        <v>1323</v>
      </c>
      <c r="G130" s="151" t="s">
        <v>1141</v>
      </c>
      <c r="H130" s="211">
        <v>54513</v>
      </c>
      <c r="I130" s="17">
        <f t="shared" si="0"/>
        <v>13594264339.152119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>
      <c r="A131" s="151" t="s">
        <v>1584</v>
      </c>
      <c r="B131" s="17" t="s">
        <v>1585</v>
      </c>
      <c r="C131" s="211">
        <v>500480</v>
      </c>
      <c r="D131" s="151" t="s">
        <v>1586</v>
      </c>
      <c r="E131" s="211">
        <v>1948.8</v>
      </c>
      <c r="F131" s="151" t="s">
        <v>1587</v>
      </c>
      <c r="G131" s="151" t="s">
        <v>1141</v>
      </c>
      <c r="H131" s="211">
        <v>54022.1</v>
      </c>
      <c r="I131" s="17">
        <f t="shared" si="0"/>
        <v>277206999.17898196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>
      <c r="A132" s="151" t="s">
        <v>1588</v>
      </c>
      <c r="B132" s="17" t="s">
        <v>1589</v>
      </c>
      <c r="C132" s="211">
        <v>526371</v>
      </c>
      <c r="D132" s="151" t="s">
        <v>1590</v>
      </c>
      <c r="E132" s="211">
        <v>184.1</v>
      </c>
      <c r="F132" s="151" t="s">
        <v>1591</v>
      </c>
      <c r="G132" s="151" t="s">
        <v>1142</v>
      </c>
      <c r="H132" s="211">
        <v>53952.5</v>
      </c>
      <c r="I132" s="17">
        <f t="shared" si="0"/>
        <v>2930608365.0190115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>
      <c r="A133" s="151" t="s">
        <v>1592</v>
      </c>
      <c r="B133" s="17" t="s">
        <v>1593</v>
      </c>
      <c r="C133" s="211">
        <v>500493</v>
      </c>
      <c r="D133" s="151" t="s">
        <v>1594</v>
      </c>
      <c r="E133" s="211">
        <v>1157.5999999999999</v>
      </c>
      <c r="F133" s="151" t="s">
        <v>1577</v>
      </c>
      <c r="G133" s="151" t="s">
        <v>1141</v>
      </c>
      <c r="H133" s="211">
        <v>53894.2</v>
      </c>
      <c r="I133" s="17">
        <f t="shared" si="0"/>
        <v>465568417.41534215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>
      <c r="A134" s="151" t="s">
        <v>1595</v>
      </c>
      <c r="B134" s="17" t="s">
        <v>1596</v>
      </c>
      <c r="C134" s="211">
        <v>533150</v>
      </c>
      <c r="D134" s="151" t="s">
        <v>1597</v>
      </c>
      <c r="E134" s="211">
        <v>1930.9</v>
      </c>
      <c r="F134" s="151" t="s">
        <v>1307</v>
      </c>
      <c r="G134" s="151" t="s">
        <v>1307</v>
      </c>
      <c r="H134" s="211">
        <v>53686.7</v>
      </c>
      <c r="I134" s="17">
        <f t="shared" si="0"/>
        <v>278039774.19856024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>
      <c r="A135" s="151" t="s">
        <v>1598</v>
      </c>
      <c r="B135" s="17" t="s">
        <v>1599</v>
      </c>
      <c r="C135" s="211">
        <v>532830</v>
      </c>
      <c r="D135" s="151" t="s">
        <v>1600</v>
      </c>
      <c r="E135" s="211">
        <v>1993.9</v>
      </c>
      <c r="F135" s="151" t="s">
        <v>1546</v>
      </c>
      <c r="G135" s="151" t="s">
        <v>1141</v>
      </c>
      <c r="H135" s="211">
        <v>53561.5</v>
      </c>
      <c r="I135" s="17">
        <f t="shared" si="0"/>
        <v>268626811.77591652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>
      <c r="A136" s="151" t="s">
        <v>1601</v>
      </c>
      <c r="B136" s="17" t="s">
        <v>1602</v>
      </c>
      <c r="C136" s="211">
        <v>533273</v>
      </c>
      <c r="D136" s="151" t="s">
        <v>1603</v>
      </c>
      <c r="E136" s="211">
        <v>1445.6</v>
      </c>
      <c r="F136" s="151" t="s">
        <v>1307</v>
      </c>
      <c r="G136" s="151" t="s">
        <v>1307</v>
      </c>
      <c r="H136" s="211">
        <v>52564.2</v>
      </c>
      <c r="I136" s="17">
        <f t="shared" si="0"/>
        <v>363615107.91366911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>
      <c r="A137" s="151" t="s">
        <v>1604</v>
      </c>
      <c r="B137" s="17" t="s">
        <v>1605</v>
      </c>
      <c r="C137" s="211">
        <v>500104</v>
      </c>
      <c r="D137" s="151" t="s">
        <v>1606</v>
      </c>
      <c r="E137" s="211">
        <v>368.4</v>
      </c>
      <c r="F137" s="151" t="s">
        <v>1157</v>
      </c>
      <c r="G137" s="151" t="s">
        <v>1158</v>
      </c>
      <c r="H137" s="211">
        <v>52266.400000000001</v>
      </c>
      <c r="I137" s="17">
        <f t="shared" si="0"/>
        <v>1418740499.4571118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>
      <c r="A138" s="151" t="s">
        <v>1607</v>
      </c>
      <c r="B138" s="17" t="s">
        <v>1608</v>
      </c>
      <c r="C138" s="211">
        <v>500408</v>
      </c>
      <c r="D138" s="151" t="s">
        <v>1609</v>
      </c>
      <c r="E138" s="211">
        <v>8347.1</v>
      </c>
      <c r="F138" s="151" t="s">
        <v>1161</v>
      </c>
      <c r="G138" s="151" t="s">
        <v>1143</v>
      </c>
      <c r="H138" s="211">
        <v>51982.7</v>
      </c>
      <c r="I138" s="17">
        <f t="shared" si="0"/>
        <v>62276359.454181686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>
      <c r="A139" s="151" t="s">
        <v>1610</v>
      </c>
      <c r="B139" s="17" t="s">
        <v>1611</v>
      </c>
      <c r="C139" s="211">
        <v>500477</v>
      </c>
      <c r="D139" s="151" t="s">
        <v>1612</v>
      </c>
      <c r="E139" s="211">
        <v>175.6</v>
      </c>
      <c r="F139" s="151" t="s">
        <v>1259</v>
      </c>
      <c r="G139" s="151" t="s">
        <v>1211</v>
      </c>
      <c r="H139" s="211">
        <v>51558.400000000001</v>
      </c>
      <c r="I139" s="17">
        <f t="shared" si="0"/>
        <v>2936127562.6423693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>
      <c r="A140" s="151" t="s">
        <v>1613</v>
      </c>
      <c r="B140" s="17" t="s">
        <v>1614</v>
      </c>
      <c r="C140" s="211">
        <v>500368</v>
      </c>
      <c r="D140" s="151" t="s">
        <v>1615</v>
      </c>
      <c r="E140" s="211">
        <v>1419</v>
      </c>
      <c r="F140" s="151" t="s">
        <v>1616</v>
      </c>
      <c r="G140" s="151" t="s">
        <v>1173</v>
      </c>
      <c r="H140" s="211">
        <v>51367.1</v>
      </c>
      <c r="I140" s="17">
        <f t="shared" si="0"/>
        <v>361995066.94855535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>
      <c r="A141" s="151" t="s">
        <v>1617</v>
      </c>
      <c r="B141" s="17" t="s">
        <v>36</v>
      </c>
      <c r="C141" s="211">
        <v>532814</v>
      </c>
      <c r="D141" s="151" t="s">
        <v>1618</v>
      </c>
      <c r="E141" s="211">
        <v>410.1</v>
      </c>
      <c r="F141" s="151" t="s">
        <v>1165</v>
      </c>
      <c r="G141" s="151" t="s">
        <v>1137</v>
      </c>
      <c r="H141" s="211">
        <v>51075.5</v>
      </c>
      <c r="I141" s="17">
        <f t="shared" si="0"/>
        <v>1245440136.5520604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>
      <c r="A142" s="151" t="s">
        <v>1619</v>
      </c>
      <c r="B142" s="17" t="s">
        <v>1620</v>
      </c>
      <c r="C142" s="211">
        <v>534816</v>
      </c>
      <c r="D142" s="151" t="s">
        <v>1621</v>
      </c>
      <c r="E142" s="211">
        <v>187.8</v>
      </c>
      <c r="F142" s="151" t="s">
        <v>1622</v>
      </c>
      <c r="G142" s="151" t="s">
        <v>1179</v>
      </c>
      <c r="H142" s="211">
        <v>50610.9</v>
      </c>
      <c r="I142" s="17">
        <f t="shared" si="0"/>
        <v>2694936102.2364216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>
      <c r="A143" s="151" t="s">
        <v>1623</v>
      </c>
      <c r="B143" s="17" t="s">
        <v>1624</v>
      </c>
      <c r="C143" s="211">
        <v>543384</v>
      </c>
      <c r="D143" s="151" t="s">
        <v>1625</v>
      </c>
      <c r="E143" s="211">
        <v>176.4</v>
      </c>
      <c r="F143" s="151" t="s">
        <v>1626</v>
      </c>
      <c r="G143" s="151" t="s">
        <v>1143</v>
      </c>
      <c r="H143" s="211">
        <v>50366.2</v>
      </c>
      <c r="I143" s="17">
        <f t="shared" si="0"/>
        <v>2855226757.3696146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>
      <c r="A144" s="151" t="s">
        <v>1627</v>
      </c>
      <c r="B144" s="17" t="s">
        <v>1628</v>
      </c>
      <c r="C144" s="211">
        <v>540611</v>
      </c>
      <c r="D144" s="151" t="s">
        <v>1629</v>
      </c>
      <c r="E144" s="211">
        <v>753</v>
      </c>
      <c r="F144" s="151" t="s">
        <v>1165</v>
      </c>
      <c r="G144" s="151" t="s">
        <v>1137</v>
      </c>
      <c r="H144" s="211">
        <v>50346.2</v>
      </c>
      <c r="I144" s="17">
        <f t="shared" si="0"/>
        <v>668608233.73173976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>
      <c r="A145" s="151" t="s">
        <v>1630</v>
      </c>
      <c r="B145" s="17" t="s">
        <v>1631</v>
      </c>
      <c r="C145" s="211">
        <v>500488</v>
      </c>
      <c r="D145" s="151" t="s">
        <v>1632</v>
      </c>
      <c r="E145" s="211">
        <v>23682.6</v>
      </c>
      <c r="F145" s="151" t="s">
        <v>694</v>
      </c>
      <c r="G145" s="151" t="s">
        <v>1224</v>
      </c>
      <c r="H145" s="211">
        <v>50323.9</v>
      </c>
      <c r="I145" s="17">
        <f t="shared" si="0"/>
        <v>21249313.842230164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>
      <c r="A146" s="151" t="s">
        <v>1633</v>
      </c>
      <c r="B146" s="17" t="s">
        <v>1634</v>
      </c>
      <c r="C146" s="211">
        <v>523457</v>
      </c>
      <c r="D146" s="151" t="s">
        <v>1635</v>
      </c>
      <c r="E146" s="211">
        <v>5887.2</v>
      </c>
      <c r="F146" s="151" t="s">
        <v>1636</v>
      </c>
      <c r="G146" s="151" t="s">
        <v>1141</v>
      </c>
      <c r="H146" s="211">
        <v>50208.9</v>
      </c>
      <c r="I146" s="17">
        <f t="shared" si="0"/>
        <v>85284855.279249907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>
      <c r="A147" s="151" t="s">
        <v>1637</v>
      </c>
      <c r="B147" s="17" t="s">
        <v>1638</v>
      </c>
      <c r="C147" s="211">
        <v>540115</v>
      </c>
      <c r="D147" s="151" t="s">
        <v>1639</v>
      </c>
      <c r="E147" s="211">
        <v>4740.3999999999996</v>
      </c>
      <c r="F147" s="151" t="s">
        <v>1161</v>
      </c>
      <c r="G147" s="151" t="s">
        <v>1143</v>
      </c>
      <c r="H147" s="211">
        <v>50118.400000000001</v>
      </c>
      <c r="I147" s="17">
        <f t="shared" si="0"/>
        <v>105726099.06337018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>
      <c r="A148" s="151" t="s">
        <v>1640</v>
      </c>
      <c r="B148" s="17" t="s">
        <v>1641</v>
      </c>
      <c r="C148" s="211">
        <v>533179</v>
      </c>
      <c r="D148" s="151" t="s">
        <v>1642</v>
      </c>
      <c r="E148" s="211">
        <v>6422.6</v>
      </c>
      <c r="F148" s="151" t="s">
        <v>1161</v>
      </c>
      <c r="G148" s="151" t="s">
        <v>1143</v>
      </c>
      <c r="H148" s="211">
        <v>49405.9</v>
      </c>
      <c r="I148" s="17">
        <f t="shared" si="0"/>
        <v>76925077.071590945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>
      <c r="A149" s="151" t="s">
        <v>1643</v>
      </c>
      <c r="B149" s="17" t="s">
        <v>1644</v>
      </c>
      <c r="C149" s="211">
        <v>502355</v>
      </c>
      <c r="D149" s="151" t="s">
        <v>1645</v>
      </c>
      <c r="E149" s="211">
        <v>2555</v>
      </c>
      <c r="F149" s="151" t="s">
        <v>1646</v>
      </c>
      <c r="G149" s="151" t="s">
        <v>1211</v>
      </c>
      <c r="H149" s="211">
        <v>49392.5</v>
      </c>
      <c r="I149" s="17">
        <f t="shared" si="0"/>
        <v>193317025.4403131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>
      <c r="A150" s="151" t="s">
        <v>1647</v>
      </c>
      <c r="B150" s="17" t="s">
        <v>1648</v>
      </c>
      <c r="C150" s="211">
        <v>590024</v>
      </c>
      <c r="D150" s="151" t="s">
        <v>1649</v>
      </c>
      <c r="E150" s="211">
        <v>752</v>
      </c>
      <c r="F150" s="151" t="s">
        <v>1650</v>
      </c>
      <c r="G150" s="151" t="s">
        <v>1650</v>
      </c>
      <c r="H150" s="211">
        <v>48659.8</v>
      </c>
      <c r="I150" s="17">
        <f t="shared" si="0"/>
        <v>647071808.51063836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>
      <c r="A151" s="151" t="s">
        <v>1651</v>
      </c>
      <c r="B151" s="17" t="s">
        <v>1652</v>
      </c>
      <c r="C151" s="211">
        <v>531344</v>
      </c>
      <c r="D151" s="151" t="s">
        <v>1653</v>
      </c>
      <c r="E151" s="211">
        <v>798.6</v>
      </c>
      <c r="F151" s="151" t="s">
        <v>1654</v>
      </c>
      <c r="G151" s="151" t="s">
        <v>1229</v>
      </c>
      <c r="H151" s="211">
        <v>48655.199999999997</v>
      </c>
      <c r="I151" s="17">
        <f t="shared" si="0"/>
        <v>609256198.34710741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>
      <c r="A152" s="151" t="s">
        <v>1655</v>
      </c>
      <c r="B152" s="17" t="s">
        <v>1656</v>
      </c>
      <c r="C152" s="211">
        <v>544028</v>
      </c>
      <c r="D152" s="151" t="s">
        <v>1657</v>
      </c>
      <c r="E152" s="211">
        <v>1172.3</v>
      </c>
      <c r="F152" s="151" t="s">
        <v>1161</v>
      </c>
      <c r="G152" s="151" t="s">
        <v>1143</v>
      </c>
      <c r="H152" s="211">
        <v>47556.5</v>
      </c>
      <c r="I152" s="17">
        <f t="shared" si="0"/>
        <v>405668344.28047431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>
      <c r="A153" s="151" t="s">
        <v>1658</v>
      </c>
      <c r="B153" s="17" t="s">
        <v>1659</v>
      </c>
      <c r="C153" s="211">
        <v>500483</v>
      </c>
      <c r="D153" s="151" t="s">
        <v>1660</v>
      </c>
      <c r="E153" s="211">
        <v>1668.5</v>
      </c>
      <c r="F153" s="151" t="s">
        <v>1622</v>
      </c>
      <c r="G153" s="151" t="s">
        <v>1179</v>
      </c>
      <c r="H153" s="211">
        <v>47552.2</v>
      </c>
      <c r="I153" s="17">
        <f t="shared" si="0"/>
        <v>284999700.32963741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>
      <c r="A154" s="151" t="s">
        <v>1661</v>
      </c>
      <c r="B154" s="17" t="s">
        <v>1662</v>
      </c>
      <c r="C154" s="211">
        <v>500290</v>
      </c>
      <c r="D154" s="151" t="s">
        <v>1663</v>
      </c>
      <c r="E154" s="211">
        <v>111375</v>
      </c>
      <c r="F154" s="151" t="s">
        <v>1646</v>
      </c>
      <c r="G154" s="151" t="s">
        <v>1211</v>
      </c>
      <c r="H154" s="211">
        <v>47235.3</v>
      </c>
      <c r="I154" s="17">
        <f t="shared" si="0"/>
        <v>4241104.3771043774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>
      <c r="A155" s="151" t="s">
        <v>1664</v>
      </c>
      <c r="B155" s="17" t="s">
        <v>1665</v>
      </c>
      <c r="C155" s="211">
        <v>532779</v>
      </c>
      <c r="D155" s="151" t="s">
        <v>1666</v>
      </c>
      <c r="E155" s="211">
        <v>969.6</v>
      </c>
      <c r="F155" s="151" t="s">
        <v>1242</v>
      </c>
      <c r="G155" s="151" t="s">
        <v>1144</v>
      </c>
      <c r="H155" s="211">
        <v>46600.6</v>
      </c>
      <c r="I155" s="17">
        <f t="shared" si="0"/>
        <v>480616749.17491746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>
      <c r="A156" s="151" t="s">
        <v>1667</v>
      </c>
      <c r="B156" s="17" t="s">
        <v>231</v>
      </c>
      <c r="C156" s="211">
        <v>532505</v>
      </c>
      <c r="D156" s="151" t="s">
        <v>1668</v>
      </c>
      <c r="E156" s="211">
        <v>38.9</v>
      </c>
      <c r="F156" s="151" t="s">
        <v>1165</v>
      </c>
      <c r="G156" s="151" t="s">
        <v>1137</v>
      </c>
      <c r="H156" s="211">
        <v>46508.7</v>
      </c>
      <c r="I156" s="17">
        <f t="shared" si="0"/>
        <v>11955964010.282776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>
      <c r="A157" s="151" t="s">
        <v>1669</v>
      </c>
      <c r="B157" s="17" t="s">
        <v>1670</v>
      </c>
      <c r="C157" s="211">
        <v>543994</v>
      </c>
      <c r="D157" s="151" t="s">
        <v>1671</v>
      </c>
      <c r="E157" s="211">
        <v>220.9</v>
      </c>
      <c r="F157" s="151" t="s">
        <v>1279</v>
      </c>
      <c r="G157" s="151" t="s">
        <v>1280</v>
      </c>
      <c r="H157" s="211">
        <v>46389</v>
      </c>
      <c r="I157" s="17">
        <f t="shared" si="0"/>
        <v>2100000000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>
      <c r="A158" s="151" t="s">
        <v>1672</v>
      </c>
      <c r="B158" s="17" t="s">
        <v>1673</v>
      </c>
      <c r="C158" s="211">
        <v>533758</v>
      </c>
      <c r="D158" s="151" t="s">
        <v>1674</v>
      </c>
      <c r="E158" s="211">
        <v>1649.1</v>
      </c>
      <c r="F158" s="151" t="s">
        <v>1675</v>
      </c>
      <c r="G158" s="151" t="s">
        <v>1142</v>
      </c>
      <c r="H158" s="211">
        <v>45764.5</v>
      </c>
      <c r="I158" s="17">
        <f t="shared" si="0"/>
        <v>277511976.22945851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>
      <c r="A159" s="151" t="s">
        <v>1676</v>
      </c>
      <c r="B159" s="17" t="s">
        <v>1677</v>
      </c>
      <c r="C159" s="211">
        <v>505790</v>
      </c>
      <c r="D159" s="151" t="s">
        <v>1678</v>
      </c>
      <c r="E159" s="211">
        <v>2902.9</v>
      </c>
      <c r="F159" s="151" t="s">
        <v>1507</v>
      </c>
      <c r="G159" s="151" t="s">
        <v>1211</v>
      </c>
      <c r="H159" s="211">
        <v>45373.4</v>
      </c>
      <c r="I159" s="17">
        <f t="shared" si="0"/>
        <v>156303696.3036963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>
      <c r="A160" s="151" t="s">
        <v>1679</v>
      </c>
      <c r="B160" s="17" t="s">
        <v>1680</v>
      </c>
      <c r="C160" s="211">
        <v>543458</v>
      </c>
      <c r="D160" s="151" t="s">
        <v>1681</v>
      </c>
      <c r="E160" s="211">
        <v>349</v>
      </c>
      <c r="F160" s="151" t="s">
        <v>1616</v>
      </c>
      <c r="G160" s="151" t="s">
        <v>1173</v>
      </c>
      <c r="H160" s="211">
        <v>45352.3</v>
      </c>
      <c r="I160" s="17">
        <f t="shared" si="0"/>
        <v>1299492836.6762178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>
      <c r="A161" s="151" t="s">
        <v>1682</v>
      </c>
      <c r="B161" s="17" t="s">
        <v>1683</v>
      </c>
      <c r="C161" s="211">
        <v>540691</v>
      </c>
      <c r="D161" s="151" t="s">
        <v>1684</v>
      </c>
      <c r="E161" s="211">
        <v>173.1</v>
      </c>
      <c r="F161" s="151" t="s">
        <v>1233</v>
      </c>
      <c r="G161" s="151" t="s">
        <v>1234</v>
      </c>
      <c r="H161" s="211">
        <v>44998</v>
      </c>
      <c r="I161" s="17">
        <f t="shared" si="0"/>
        <v>2599537839.3991914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>
      <c r="A162" s="151" t="s">
        <v>1685</v>
      </c>
      <c r="B162" s="17" t="s">
        <v>11</v>
      </c>
      <c r="C162" s="211">
        <v>532149</v>
      </c>
      <c r="D162" s="151" t="s">
        <v>1686</v>
      </c>
      <c r="E162" s="211">
        <v>109.6</v>
      </c>
      <c r="F162" s="151" t="s">
        <v>1165</v>
      </c>
      <c r="G162" s="151" t="s">
        <v>1137</v>
      </c>
      <c r="H162" s="211">
        <v>44975.1</v>
      </c>
      <c r="I162" s="17">
        <f t="shared" si="0"/>
        <v>4103567518.2481756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>
      <c r="A163" s="151" t="s">
        <v>1687</v>
      </c>
      <c r="B163" s="17" t="s">
        <v>1688</v>
      </c>
      <c r="C163" s="211">
        <v>532478</v>
      </c>
      <c r="D163" s="151" t="s">
        <v>1689</v>
      </c>
      <c r="E163" s="211">
        <v>1699.5</v>
      </c>
      <c r="F163" s="151" t="s">
        <v>1470</v>
      </c>
      <c r="G163" s="151" t="s">
        <v>1140</v>
      </c>
      <c r="H163" s="211">
        <v>44935.6</v>
      </c>
      <c r="I163" s="17">
        <f t="shared" si="0"/>
        <v>264404824.94851428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>
      <c r="A164" s="151" t="s">
        <v>1690</v>
      </c>
      <c r="B164" s="17" t="s">
        <v>1691</v>
      </c>
      <c r="C164" s="211">
        <v>526299</v>
      </c>
      <c r="D164" s="151" t="s">
        <v>1692</v>
      </c>
      <c r="E164" s="211">
        <v>2372.8000000000002</v>
      </c>
      <c r="F164" s="151" t="s">
        <v>1161</v>
      </c>
      <c r="G164" s="151" t="s">
        <v>1143</v>
      </c>
      <c r="H164" s="211">
        <v>44746.5</v>
      </c>
      <c r="I164" s="17">
        <f t="shared" si="0"/>
        <v>188581001.34861764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>
      <c r="A165" s="151" t="s">
        <v>1693</v>
      </c>
      <c r="B165" s="17" t="s">
        <v>1694</v>
      </c>
      <c r="C165" s="211">
        <v>533274</v>
      </c>
      <c r="D165" s="151" t="s">
        <v>1695</v>
      </c>
      <c r="E165" s="211">
        <v>1100</v>
      </c>
      <c r="F165" s="151" t="s">
        <v>1307</v>
      </c>
      <c r="G165" s="151" t="s">
        <v>1307</v>
      </c>
      <c r="H165" s="211">
        <v>44094.8</v>
      </c>
      <c r="I165" s="17">
        <f t="shared" si="0"/>
        <v>400861818.18181819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>
      <c r="A166" s="151" t="s">
        <v>1696</v>
      </c>
      <c r="B166" s="17" t="s">
        <v>1697</v>
      </c>
      <c r="C166" s="211">
        <v>512070</v>
      </c>
      <c r="D166" s="151" t="s">
        <v>1698</v>
      </c>
      <c r="E166" s="211">
        <v>581</v>
      </c>
      <c r="F166" s="151" t="s">
        <v>1552</v>
      </c>
      <c r="G166" s="151" t="s">
        <v>1335</v>
      </c>
      <c r="H166" s="211">
        <v>43610.3</v>
      </c>
      <c r="I166" s="17">
        <f t="shared" si="0"/>
        <v>750607573.14974177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>
      <c r="A167" s="151" t="s">
        <v>1699</v>
      </c>
      <c r="B167" s="17" t="s">
        <v>149</v>
      </c>
      <c r="C167" s="211">
        <v>542216</v>
      </c>
      <c r="D167" s="151" t="s">
        <v>1700</v>
      </c>
      <c r="E167" s="211">
        <v>2299.8000000000002</v>
      </c>
      <c r="F167" s="151" t="s">
        <v>1238</v>
      </c>
      <c r="G167" s="151" t="s">
        <v>1138</v>
      </c>
      <c r="H167" s="211">
        <v>43131.1</v>
      </c>
      <c r="I167" s="17">
        <f t="shared" si="0"/>
        <v>187542829.81128791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>
      <c r="A168" s="151" t="s">
        <v>1701</v>
      </c>
      <c r="B168" s="17" t="s">
        <v>1702</v>
      </c>
      <c r="C168" s="211">
        <v>532508</v>
      </c>
      <c r="D168" s="151" t="s">
        <v>1703</v>
      </c>
      <c r="E168" s="211">
        <v>522.9</v>
      </c>
      <c r="F168" s="151" t="s">
        <v>1272</v>
      </c>
      <c r="G168" s="151" t="s">
        <v>1142</v>
      </c>
      <c r="H168" s="211">
        <v>43057.4</v>
      </c>
      <c r="I168" s="17">
        <f t="shared" si="0"/>
        <v>823434691.14553452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>
      <c r="A169" s="151" t="s">
        <v>1704</v>
      </c>
      <c r="B169" s="17" t="s">
        <v>1705</v>
      </c>
      <c r="C169" s="211">
        <v>503100</v>
      </c>
      <c r="D169" s="151" t="s">
        <v>1706</v>
      </c>
      <c r="E169" s="211">
        <v>2383.1999999999998</v>
      </c>
      <c r="F169" s="151" t="s">
        <v>1307</v>
      </c>
      <c r="G169" s="151" t="s">
        <v>1307</v>
      </c>
      <c r="H169" s="211">
        <v>42580.2</v>
      </c>
      <c r="I169" s="17">
        <f t="shared" si="0"/>
        <v>178668177.24068481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>
      <c r="A170" s="151" t="s">
        <v>1707</v>
      </c>
      <c r="B170" s="17" t="s">
        <v>1708</v>
      </c>
      <c r="C170" s="211">
        <v>532827</v>
      </c>
      <c r="D170" s="151" t="s">
        <v>1709</v>
      </c>
      <c r="E170" s="211">
        <v>37525</v>
      </c>
      <c r="F170" s="151" t="s">
        <v>1710</v>
      </c>
      <c r="G170" s="151" t="s">
        <v>1216</v>
      </c>
      <c r="H170" s="211">
        <v>41855</v>
      </c>
      <c r="I170" s="17">
        <f t="shared" si="0"/>
        <v>11153897.401732178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>
      <c r="A171" s="151" t="s">
        <v>1711</v>
      </c>
      <c r="B171" s="17" t="s">
        <v>1712</v>
      </c>
      <c r="C171" s="211">
        <v>532885</v>
      </c>
      <c r="D171" s="151" t="s">
        <v>1713</v>
      </c>
      <c r="E171" s="211">
        <v>47.4</v>
      </c>
      <c r="F171" s="151" t="s">
        <v>1165</v>
      </c>
      <c r="G171" s="151" t="s">
        <v>1137</v>
      </c>
      <c r="H171" s="211">
        <v>41191.1</v>
      </c>
      <c r="I171" s="17">
        <f t="shared" si="0"/>
        <v>8690105485.2320671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>
      <c r="A172" s="151" t="s">
        <v>1714</v>
      </c>
      <c r="B172" s="17" t="s">
        <v>1715</v>
      </c>
      <c r="C172" s="211">
        <v>542651</v>
      </c>
      <c r="D172" s="151" t="s">
        <v>1716</v>
      </c>
      <c r="E172" s="211">
        <v>1499.5</v>
      </c>
      <c r="F172" s="151" t="s">
        <v>1161</v>
      </c>
      <c r="G172" s="151" t="s">
        <v>1143</v>
      </c>
      <c r="H172" s="211">
        <v>41107.9</v>
      </c>
      <c r="I172" s="17">
        <f t="shared" si="0"/>
        <v>274144048.01600534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>
      <c r="A173" s="151" t="s">
        <v>1717</v>
      </c>
      <c r="B173" s="17" t="s">
        <v>1718</v>
      </c>
      <c r="C173" s="211">
        <v>543237</v>
      </c>
      <c r="D173" s="151" t="s">
        <v>1719</v>
      </c>
      <c r="E173" s="211">
        <v>2028.6</v>
      </c>
      <c r="F173" s="151" t="s">
        <v>1720</v>
      </c>
      <c r="G173" s="151" t="s">
        <v>1280</v>
      </c>
      <c r="H173" s="211">
        <v>40915.800000000003</v>
      </c>
      <c r="I173" s="17">
        <f t="shared" si="0"/>
        <v>201694764.86246672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>
      <c r="A174" s="151" t="s">
        <v>1721</v>
      </c>
      <c r="B174" s="17" t="s">
        <v>177</v>
      </c>
      <c r="C174" s="211">
        <v>540769</v>
      </c>
      <c r="D174" s="151" t="s">
        <v>1722</v>
      </c>
      <c r="E174" s="211">
        <v>239.4</v>
      </c>
      <c r="F174" s="151" t="s">
        <v>1483</v>
      </c>
      <c r="G174" s="151" t="s">
        <v>1137</v>
      </c>
      <c r="H174" s="211">
        <v>39461.4</v>
      </c>
      <c r="I174" s="17">
        <f t="shared" si="0"/>
        <v>1648345864.661654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>
      <c r="A175" s="151" t="s">
        <v>1723</v>
      </c>
      <c r="B175" s="17" t="s">
        <v>80</v>
      </c>
      <c r="C175" s="211">
        <v>500113</v>
      </c>
      <c r="D175" s="151" t="s">
        <v>1724</v>
      </c>
      <c r="E175" s="211">
        <v>94.1</v>
      </c>
      <c r="F175" s="151" t="s">
        <v>1272</v>
      </c>
      <c r="G175" s="151" t="s">
        <v>1142</v>
      </c>
      <c r="H175" s="211">
        <v>38868.199999999997</v>
      </c>
      <c r="I175" s="17">
        <f t="shared" si="0"/>
        <v>4130520722.6354942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>
      <c r="A176" s="151" t="s">
        <v>1725</v>
      </c>
      <c r="B176" s="17" t="s">
        <v>1726</v>
      </c>
      <c r="C176" s="211">
        <v>543390</v>
      </c>
      <c r="D176" s="151" t="s">
        <v>1727</v>
      </c>
      <c r="E176" s="211">
        <v>852.3</v>
      </c>
      <c r="F176" s="151" t="s">
        <v>1373</v>
      </c>
      <c r="G176" s="151" t="s">
        <v>1143</v>
      </c>
      <c r="H176" s="211">
        <v>38407.599999999999</v>
      </c>
      <c r="I176" s="17">
        <f t="shared" si="0"/>
        <v>450634753.02123666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>
      <c r="A177" s="151" t="s">
        <v>1728</v>
      </c>
      <c r="B177" s="17" t="s">
        <v>1729</v>
      </c>
      <c r="C177" s="211">
        <v>533519</v>
      </c>
      <c r="D177" s="151" t="s">
        <v>1730</v>
      </c>
      <c r="E177" s="211">
        <v>154.19999999999999</v>
      </c>
      <c r="F177" s="151" t="s">
        <v>1233</v>
      </c>
      <c r="G177" s="151" t="s">
        <v>1234</v>
      </c>
      <c r="H177" s="211">
        <v>38358.5</v>
      </c>
      <c r="I177" s="17">
        <f t="shared" si="0"/>
        <v>2487581063.5538263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>
      <c r="A178" s="151" t="s">
        <v>1731</v>
      </c>
      <c r="B178" s="17" t="s">
        <v>1732</v>
      </c>
      <c r="C178" s="211">
        <v>500410</v>
      </c>
      <c r="D178" s="151" t="s">
        <v>1733</v>
      </c>
      <c r="E178" s="211">
        <v>2026</v>
      </c>
      <c r="F178" s="151" t="s">
        <v>1238</v>
      </c>
      <c r="G178" s="151" t="s">
        <v>1138</v>
      </c>
      <c r="H178" s="211">
        <v>38045.699999999997</v>
      </c>
      <c r="I178" s="17">
        <f t="shared" si="0"/>
        <v>187787265.54787758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>
      <c r="A179" s="151" t="s">
        <v>1734</v>
      </c>
      <c r="B179" s="17" t="s">
        <v>482</v>
      </c>
      <c r="C179" s="211">
        <v>532539</v>
      </c>
      <c r="D179" s="151" t="s">
        <v>1735</v>
      </c>
      <c r="E179" s="211">
        <v>663.6</v>
      </c>
      <c r="F179" s="151" t="s">
        <v>1507</v>
      </c>
      <c r="G179" s="151" t="s">
        <v>1211</v>
      </c>
      <c r="H179" s="211">
        <v>38036.5</v>
      </c>
      <c r="I179" s="17">
        <f t="shared" si="0"/>
        <v>573184147.07655215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>
      <c r="A180" s="151" t="s">
        <v>1736</v>
      </c>
      <c r="B180" s="17" t="s">
        <v>1737</v>
      </c>
      <c r="C180" s="211">
        <v>590071</v>
      </c>
      <c r="D180" s="151" t="s">
        <v>1738</v>
      </c>
      <c r="E180" s="211">
        <v>3398.8</v>
      </c>
      <c r="F180" s="151" t="s">
        <v>1194</v>
      </c>
      <c r="G180" s="151" t="s">
        <v>1137</v>
      </c>
      <c r="H180" s="211">
        <v>37762</v>
      </c>
      <c r="I180" s="17">
        <f t="shared" si="0"/>
        <v>111103919.03024596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>
      <c r="A181" s="151" t="s">
        <v>1739</v>
      </c>
      <c r="B181" s="17" t="s">
        <v>1740</v>
      </c>
      <c r="C181" s="211">
        <v>532754</v>
      </c>
      <c r="D181" s="151" t="s">
        <v>1741</v>
      </c>
      <c r="E181" s="211">
        <v>62.4</v>
      </c>
      <c r="F181" s="151" t="s">
        <v>1190</v>
      </c>
      <c r="G181" s="151" t="s">
        <v>1138</v>
      </c>
      <c r="H181" s="211">
        <v>37634.1</v>
      </c>
      <c r="I181" s="17">
        <f t="shared" si="0"/>
        <v>6031105769.2307692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>
      <c r="A182" s="151" t="s">
        <v>1742</v>
      </c>
      <c r="B182" s="17" t="s">
        <v>1743</v>
      </c>
      <c r="C182" s="211">
        <v>541153</v>
      </c>
      <c r="D182" s="151" t="s">
        <v>1744</v>
      </c>
      <c r="E182" s="211">
        <v>232.4</v>
      </c>
      <c r="F182" s="151" t="s">
        <v>1165</v>
      </c>
      <c r="G182" s="151" t="s">
        <v>1137</v>
      </c>
      <c r="H182" s="211">
        <v>37445.5</v>
      </c>
      <c r="I182" s="17">
        <f t="shared" si="0"/>
        <v>1611252151.4629948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>
      <c r="A183" s="151" t="s">
        <v>1745</v>
      </c>
      <c r="B183" s="17" t="s">
        <v>1746</v>
      </c>
      <c r="C183" s="211">
        <v>543426</v>
      </c>
      <c r="D183" s="151" t="s">
        <v>1747</v>
      </c>
      <c r="E183" s="211">
        <v>1371.8</v>
      </c>
      <c r="F183" s="151" t="s">
        <v>1748</v>
      </c>
      <c r="G183" s="151" t="s">
        <v>1247</v>
      </c>
      <c r="H183" s="211">
        <v>37282.400000000001</v>
      </c>
      <c r="I183" s="17">
        <f t="shared" si="0"/>
        <v>271777227.00102055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>
      <c r="A184" s="151" t="s">
        <v>1749</v>
      </c>
      <c r="B184" s="17" t="s">
        <v>1750</v>
      </c>
      <c r="C184" s="211">
        <v>533155</v>
      </c>
      <c r="D184" s="151" t="s">
        <v>1751</v>
      </c>
      <c r="E184" s="211">
        <v>565</v>
      </c>
      <c r="F184" s="151" t="s">
        <v>1752</v>
      </c>
      <c r="G184" s="151" t="s">
        <v>1533</v>
      </c>
      <c r="H184" s="211">
        <v>37281.300000000003</v>
      </c>
      <c r="I184" s="17">
        <f t="shared" si="0"/>
        <v>659846017.69911504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>
      <c r="A185" s="151" t="s">
        <v>1753</v>
      </c>
      <c r="B185" s="17" t="s">
        <v>1754</v>
      </c>
      <c r="C185" s="211">
        <v>500469</v>
      </c>
      <c r="D185" s="151" t="s">
        <v>1755</v>
      </c>
      <c r="E185" s="211">
        <v>152.6</v>
      </c>
      <c r="F185" s="151" t="s">
        <v>1165</v>
      </c>
      <c r="G185" s="151" t="s">
        <v>1137</v>
      </c>
      <c r="H185" s="211">
        <v>37107</v>
      </c>
      <c r="I185" s="17">
        <f t="shared" si="0"/>
        <v>2431651376.1467891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>
      <c r="A186" s="151" t="s">
        <v>1756</v>
      </c>
      <c r="B186" s="17" t="s">
        <v>1757</v>
      </c>
      <c r="C186" s="211">
        <v>542649</v>
      </c>
      <c r="D186" s="151" t="s">
        <v>1758</v>
      </c>
      <c r="E186" s="211">
        <v>173.8</v>
      </c>
      <c r="F186" s="151" t="s">
        <v>1190</v>
      </c>
      <c r="G186" s="151" t="s">
        <v>1138</v>
      </c>
      <c r="H186" s="211">
        <v>36237.599999999999</v>
      </c>
      <c r="I186" s="17">
        <f t="shared" si="0"/>
        <v>2085017261.2197928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>
      <c r="A187" s="151" t="s">
        <v>1759</v>
      </c>
      <c r="B187" s="17" t="s">
        <v>1760</v>
      </c>
      <c r="C187" s="211">
        <v>533106</v>
      </c>
      <c r="D187" s="151" t="s">
        <v>1761</v>
      </c>
      <c r="E187" s="211">
        <v>332.6</v>
      </c>
      <c r="F187" s="151" t="s">
        <v>1251</v>
      </c>
      <c r="G187" s="151" t="s">
        <v>1158</v>
      </c>
      <c r="H187" s="211">
        <v>36067.300000000003</v>
      </c>
      <c r="I187" s="17">
        <f t="shared" si="0"/>
        <v>1084404690.318701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>
      <c r="A188" s="151" t="s">
        <v>1762</v>
      </c>
      <c r="B188" s="17" t="s">
        <v>1763</v>
      </c>
      <c r="C188" s="211">
        <v>523395</v>
      </c>
      <c r="D188" s="151" t="s">
        <v>1764</v>
      </c>
      <c r="E188" s="211">
        <v>31500</v>
      </c>
      <c r="F188" s="151" t="s">
        <v>1587</v>
      </c>
      <c r="G188" s="151" t="s">
        <v>1141</v>
      </c>
      <c r="H188" s="211">
        <v>35485</v>
      </c>
      <c r="I188" s="17">
        <f t="shared" si="0"/>
        <v>11265079.365079366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>
      <c r="A189" s="151" t="s">
        <v>1765</v>
      </c>
      <c r="B189" s="17" t="s">
        <v>1766</v>
      </c>
      <c r="C189" s="211">
        <v>500495</v>
      </c>
      <c r="D189" s="151" t="s">
        <v>1767</v>
      </c>
      <c r="E189" s="211">
        <v>3204.9</v>
      </c>
      <c r="F189" s="151" t="s">
        <v>1259</v>
      </c>
      <c r="G189" s="151" t="s">
        <v>1211</v>
      </c>
      <c r="H189" s="211">
        <v>35413.599999999999</v>
      </c>
      <c r="I189" s="17">
        <f t="shared" si="0"/>
        <v>110498299.4789229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>
      <c r="A190" s="151" t="s">
        <v>1768</v>
      </c>
      <c r="B190" s="17" t="s">
        <v>21</v>
      </c>
      <c r="C190" s="211">
        <v>540699</v>
      </c>
      <c r="D190" s="151" t="s">
        <v>1769</v>
      </c>
      <c r="E190" s="211">
        <v>5912</v>
      </c>
      <c r="F190" s="151" t="s">
        <v>1770</v>
      </c>
      <c r="G190" s="151" t="s">
        <v>1441</v>
      </c>
      <c r="H190" s="211">
        <v>35352.9</v>
      </c>
      <c r="I190" s="17">
        <f t="shared" si="0"/>
        <v>59798545.331529096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>
      <c r="A191" s="151" t="s">
        <v>1771</v>
      </c>
      <c r="B191" s="17" t="s">
        <v>1772</v>
      </c>
      <c r="C191" s="211">
        <v>532466</v>
      </c>
      <c r="D191" s="151" t="s">
        <v>1773</v>
      </c>
      <c r="E191" s="211">
        <v>4056.4</v>
      </c>
      <c r="F191" s="151" t="s">
        <v>1161</v>
      </c>
      <c r="G191" s="151" t="s">
        <v>1143</v>
      </c>
      <c r="H191" s="211">
        <v>35135.199999999997</v>
      </c>
      <c r="I191" s="17">
        <f t="shared" si="0"/>
        <v>86616704.467015088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>
      <c r="A192" s="151" t="s">
        <v>1774</v>
      </c>
      <c r="B192" s="17" t="s">
        <v>1775</v>
      </c>
      <c r="C192" s="211">
        <v>500271</v>
      </c>
      <c r="D192" s="151" t="s">
        <v>1776</v>
      </c>
      <c r="E192" s="211">
        <v>1014.8</v>
      </c>
      <c r="F192" s="151" t="s">
        <v>1198</v>
      </c>
      <c r="G192" s="151" t="s">
        <v>1137</v>
      </c>
      <c r="H192" s="211">
        <v>35022.199999999997</v>
      </c>
      <c r="I192" s="17">
        <f t="shared" si="0"/>
        <v>345114308.23807651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>
      <c r="A193" s="151" t="s">
        <v>1777</v>
      </c>
      <c r="B193" s="17" t="s">
        <v>1778</v>
      </c>
      <c r="C193" s="211">
        <v>532541</v>
      </c>
      <c r="D193" s="151" t="s">
        <v>1779</v>
      </c>
      <c r="E193" s="211">
        <v>5680.1</v>
      </c>
      <c r="F193" s="151" t="s">
        <v>1161</v>
      </c>
      <c r="G193" s="151" t="s">
        <v>1143</v>
      </c>
      <c r="H193" s="211">
        <v>34994.6</v>
      </c>
      <c r="I193" s="17">
        <f t="shared" si="0"/>
        <v>61609126.599883802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>
      <c r="A194" s="151" t="s">
        <v>1780</v>
      </c>
      <c r="B194" s="17" t="s">
        <v>1781</v>
      </c>
      <c r="C194" s="211">
        <v>532683</v>
      </c>
      <c r="D194" s="151" t="s">
        <v>1782</v>
      </c>
      <c r="E194" s="211">
        <v>3664.7</v>
      </c>
      <c r="F194" s="151" t="s">
        <v>1783</v>
      </c>
      <c r="G194" s="151" t="s">
        <v>1141</v>
      </c>
      <c r="H194" s="211">
        <v>34565.599999999999</v>
      </c>
      <c r="I194" s="17">
        <f t="shared" si="0"/>
        <v>94320408.218953803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>
      <c r="A195" s="151" t="s">
        <v>1784</v>
      </c>
      <c r="B195" s="17" t="s">
        <v>1785</v>
      </c>
      <c r="C195" s="211">
        <v>543278</v>
      </c>
      <c r="D195" s="151" t="s">
        <v>1786</v>
      </c>
      <c r="E195" s="211">
        <v>335.4</v>
      </c>
      <c r="F195" s="151" t="s">
        <v>1215</v>
      </c>
      <c r="G195" s="151" t="s">
        <v>1216</v>
      </c>
      <c r="H195" s="211">
        <v>34542.800000000003</v>
      </c>
      <c r="I195" s="17">
        <f t="shared" si="0"/>
        <v>1029898628.5032797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>
      <c r="A196" s="151" t="s">
        <v>1787</v>
      </c>
      <c r="B196" s="17" t="s">
        <v>1788</v>
      </c>
      <c r="C196" s="211">
        <v>532720</v>
      </c>
      <c r="D196" s="151" t="s">
        <v>1789</v>
      </c>
      <c r="E196" s="211">
        <v>278.2</v>
      </c>
      <c r="F196" s="151" t="s">
        <v>1194</v>
      </c>
      <c r="G196" s="151" t="s">
        <v>1137</v>
      </c>
      <c r="H196" s="211">
        <v>34372.400000000001</v>
      </c>
      <c r="I196" s="17">
        <f t="shared" si="0"/>
        <v>1235528396.8368082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>
      <c r="A197" s="151" t="s">
        <v>1790</v>
      </c>
      <c r="B197" s="17" t="s">
        <v>1791</v>
      </c>
      <c r="C197" s="211">
        <v>506395</v>
      </c>
      <c r="D197" s="151" t="s">
        <v>1792</v>
      </c>
      <c r="E197" s="211">
        <v>1166.2</v>
      </c>
      <c r="F197" s="151" t="s">
        <v>1650</v>
      </c>
      <c r="G197" s="151" t="s">
        <v>1650</v>
      </c>
      <c r="H197" s="211">
        <v>34332.199999999997</v>
      </c>
      <c r="I197" s="17">
        <f t="shared" si="0"/>
        <v>294393757.50300121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>
      <c r="A198" s="151" t="s">
        <v>1793</v>
      </c>
      <c r="B198" s="17" t="s">
        <v>1794</v>
      </c>
      <c r="C198" s="211">
        <v>533206</v>
      </c>
      <c r="D198" s="151" t="s">
        <v>1795</v>
      </c>
      <c r="E198" s="211">
        <v>86.8</v>
      </c>
      <c r="F198" s="151" t="s">
        <v>1242</v>
      </c>
      <c r="G198" s="151" t="s">
        <v>1144</v>
      </c>
      <c r="H198" s="211">
        <v>34110.6</v>
      </c>
      <c r="I198" s="17">
        <f t="shared" si="0"/>
        <v>3929792626.7281108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>
      <c r="A199" s="151" t="s">
        <v>1796</v>
      </c>
      <c r="B199" s="17" t="s">
        <v>1797</v>
      </c>
      <c r="C199" s="17"/>
      <c r="D199" s="151" t="s">
        <v>1798</v>
      </c>
      <c r="E199" s="211">
        <v>2510.8000000000002</v>
      </c>
      <c r="F199" s="151" t="s">
        <v>1799</v>
      </c>
      <c r="G199" s="151" t="s">
        <v>1137</v>
      </c>
      <c r="H199" s="211">
        <v>34012.699999999997</v>
      </c>
      <c r="I199" s="17">
        <f t="shared" si="0"/>
        <v>135465588.65700173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>
      <c r="A200" s="151" t="s">
        <v>1800</v>
      </c>
      <c r="B200" s="17" t="s">
        <v>1801</v>
      </c>
      <c r="C200" s="211">
        <v>543463</v>
      </c>
      <c r="D200" s="151" t="s">
        <v>1802</v>
      </c>
      <c r="E200" s="211">
        <v>1397.4</v>
      </c>
      <c r="F200" s="151" t="s">
        <v>1803</v>
      </c>
      <c r="G200" s="151" t="s">
        <v>1247</v>
      </c>
      <c r="H200" s="211">
        <v>33933.1</v>
      </c>
      <c r="I200" s="17">
        <f t="shared" si="0"/>
        <v>242830256.19006726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>
      <c r="A201" s="151" t="s">
        <v>1804</v>
      </c>
      <c r="B201" s="17" t="s">
        <v>1805</v>
      </c>
      <c r="C201" s="211">
        <v>543300</v>
      </c>
      <c r="D201" s="151" t="s">
        <v>1806</v>
      </c>
      <c r="E201" s="211">
        <v>563.20000000000005</v>
      </c>
      <c r="F201" s="151" t="s">
        <v>1507</v>
      </c>
      <c r="G201" s="151" t="s">
        <v>1211</v>
      </c>
      <c r="H201" s="211">
        <v>33031.300000000003</v>
      </c>
      <c r="I201" s="17">
        <f t="shared" si="0"/>
        <v>586493252.840909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>
      <c r="A202" s="151" t="s">
        <v>1807</v>
      </c>
      <c r="B202" s="17" t="s">
        <v>1808</v>
      </c>
      <c r="C202" s="211">
        <v>543412</v>
      </c>
      <c r="D202" s="151" t="s">
        <v>1809</v>
      </c>
      <c r="E202" s="211">
        <v>565</v>
      </c>
      <c r="F202" s="151" t="s">
        <v>1483</v>
      </c>
      <c r="G202" s="151" t="s">
        <v>1137</v>
      </c>
      <c r="H202" s="211">
        <v>33011.4</v>
      </c>
      <c r="I202" s="17">
        <f t="shared" si="0"/>
        <v>584272566.37168145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>
      <c r="A203" s="151" t="s">
        <v>1810</v>
      </c>
      <c r="B203" s="17" t="s">
        <v>1811</v>
      </c>
      <c r="C203" s="211">
        <v>517174</v>
      </c>
      <c r="D203" s="151" t="s">
        <v>1812</v>
      </c>
      <c r="E203" s="211">
        <v>36809.599999999999</v>
      </c>
      <c r="F203" s="151" t="s">
        <v>1440</v>
      </c>
      <c r="G203" s="151" t="s">
        <v>1441</v>
      </c>
      <c r="H203" s="211">
        <v>32545.200000000001</v>
      </c>
      <c r="I203" s="17">
        <f t="shared" si="0"/>
        <v>8841497.8701208383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>
      <c r="A204" s="151" t="s">
        <v>1813</v>
      </c>
      <c r="B204" s="17" t="s">
        <v>1814</v>
      </c>
      <c r="C204" s="211">
        <v>500411</v>
      </c>
      <c r="D204" s="151" t="s">
        <v>1815</v>
      </c>
      <c r="E204" s="211">
        <v>2717.8</v>
      </c>
      <c r="F204" s="151" t="s">
        <v>1323</v>
      </c>
      <c r="G204" s="151" t="s">
        <v>1141</v>
      </c>
      <c r="H204" s="211">
        <v>32383.7</v>
      </c>
      <c r="I204" s="17">
        <f t="shared" si="0"/>
        <v>119154095.2240783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>
      <c r="A205" s="151" t="s">
        <v>1816</v>
      </c>
      <c r="B205" s="17" t="s">
        <v>1817</v>
      </c>
      <c r="C205" s="211">
        <v>532525</v>
      </c>
      <c r="D205" s="151" t="s">
        <v>1818</v>
      </c>
      <c r="E205" s="211">
        <v>45.7</v>
      </c>
      <c r="F205" s="151" t="s">
        <v>1165</v>
      </c>
      <c r="G205" s="151" t="s">
        <v>1137</v>
      </c>
      <c r="H205" s="211">
        <v>32361.9</v>
      </c>
      <c r="I205" s="17">
        <f t="shared" si="0"/>
        <v>7081378555.798687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>
      <c r="A206" s="151" t="s">
        <v>1819</v>
      </c>
      <c r="B206" s="17" t="s">
        <v>1820</v>
      </c>
      <c r="C206" s="211">
        <v>524000</v>
      </c>
      <c r="D206" s="151" t="s">
        <v>1821</v>
      </c>
      <c r="E206" s="211">
        <v>414.6</v>
      </c>
      <c r="F206" s="151" t="s">
        <v>1194</v>
      </c>
      <c r="G206" s="151" t="s">
        <v>1137</v>
      </c>
      <c r="H206" s="211">
        <v>31869.9</v>
      </c>
      <c r="I206" s="17">
        <f t="shared" si="0"/>
        <v>768690303.90738058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>
      <c r="A207" s="151" t="s">
        <v>1822</v>
      </c>
      <c r="B207" s="17" t="s">
        <v>1823</v>
      </c>
      <c r="C207" s="211">
        <v>542812</v>
      </c>
      <c r="D207" s="151" t="s">
        <v>1824</v>
      </c>
      <c r="E207" s="211">
        <v>2896</v>
      </c>
      <c r="F207" s="151" t="s">
        <v>1334</v>
      </c>
      <c r="G207" s="151" t="s">
        <v>1335</v>
      </c>
      <c r="H207" s="211">
        <v>31812.6</v>
      </c>
      <c r="I207" s="17">
        <f t="shared" si="0"/>
        <v>109850138.12154695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>
      <c r="A208" s="151" t="s">
        <v>1825</v>
      </c>
      <c r="B208" s="17" t="s">
        <v>1826</v>
      </c>
      <c r="C208" s="211">
        <v>533023</v>
      </c>
      <c r="D208" s="151" t="s">
        <v>1827</v>
      </c>
      <c r="E208" s="211">
        <v>16485</v>
      </c>
      <c r="F208" s="151" t="s">
        <v>1507</v>
      </c>
      <c r="G208" s="151" t="s">
        <v>1211</v>
      </c>
      <c r="H208" s="211">
        <v>31268.2</v>
      </c>
      <c r="I208" s="17">
        <f t="shared" si="0"/>
        <v>18967667.576584775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>
      <c r="A209" s="151" t="s">
        <v>1828</v>
      </c>
      <c r="B209" s="17" t="s">
        <v>1829</v>
      </c>
      <c r="C209" s="211">
        <v>500092</v>
      </c>
      <c r="D209" s="151" t="s">
        <v>1830</v>
      </c>
      <c r="E209" s="211">
        <v>4232.8999999999996</v>
      </c>
      <c r="F209" s="151" t="s">
        <v>1831</v>
      </c>
      <c r="G209" s="151" t="s">
        <v>1137</v>
      </c>
      <c r="H209" s="211">
        <v>30948.3</v>
      </c>
      <c r="I209" s="17">
        <f t="shared" si="0"/>
        <v>73113704.552434504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>
      <c r="A210" s="151" t="s">
        <v>1832</v>
      </c>
      <c r="B210" s="17" t="s">
        <v>69</v>
      </c>
      <c r="C210" s="211">
        <v>532522</v>
      </c>
      <c r="D210" s="151" t="s">
        <v>1833</v>
      </c>
      <c r="E210" s="211">
        <v>205.6</v>
      </c>
      <c r="F210" s="151" t="s">
        <v>1300</v>
      </c>
      <c r="G210" s="151" t="s">
        <v>1158</v>
      </c>
      <c r="H210" s="211">
        <v>30847.5</v>
      </c>
      <c r="I210" s="17">
        <f t="shared" si="0"/>
        <v>1500364785.992218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>
      <c r="A211" s="151" t="s">
        <v>1834</v>
      </c>
      <c r="B211" s="17" t="s">
        <v>1835</v>
      </c>
      <c r="C211" s="211">
        <v>539336</v>
      </c>
      <c r="D211" s="151" t="s">
        <v>1836</v>
      </c>
      <c r="E211" s="211">
        <v>443</v>
      </c>
      <c r="F211" s="151" t="s">
        <v>1410</v>
      </c>
      <c r="G211" s="151" t="s">
        <v>1144</v>
      </c>
      <c r="H211" s="211">
        <v>30492.2</v>
      </c>
      <c r="I211" s="17">
        <f t="shared" si="0"/>
        <v>688311512.41534984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>
      <c r="A212" s="151" t="s">
        <v>1837</v>
      </c>
      <c r="B212" s="17" t="s">
        <v>1838</v>
      </c>
      <c r="C212" s="211">
        <v>506401</v>
      </c>
      <c r="D212" s="151" t="s">
        <v>1839</v>
      </c>
      <c r="E212" s="211">
        <v>2217.1999999999998</v>
      </c>
      <c r="F212" s="151" t="s">
        <v>1840</v>
      </c>
      <c r="G212" s="151" t="s">
        <v>1335</v>
      </c>
      <c r="H212" s="211">
        <v>30240.400000000001</v>
      </c>
      <c r="I212" s="17">
        <f t="shared" si="0"/>
        <v>136390041.49377593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>
      <c r="A213" s="151" t="s">
        <v>1841</v>
      </c>
      <c r="B213" s="17" t="s">
        <v>1842</v>
      </c>
      <c r="C213" s="211">
        <v>539268</v>
      </c>
      <c r="D213" s="151" t="s">
        <v>1843</v>
      </c>
      <c r="E213" s="211">
        <v>743.7</v>
      </c>
      <c r="F213" s="151" t="s">
        <v>694</v>
      </c>
      <c r="G213" s="151" t="s">
        <v>1224</v>
      </c>
      <c r="H213" s="211">
        <v>29897.9</v>
      </c>
      <c r="I213" s="17">
        <f t="shared" si="0"/>
        <v>402015597.68723947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>
      <c r="A214" s="151" t="s">
        <v>1844</v>
      </c>
      <c r="B214" s="17" t="s">
        <v>1845</v>
      </c>
      <c r="C214" s="211">
        <v>542602</v>
      </c>
      <c r="D214" s="151" t="s">
        <v>1846</v>
      </c>
      <c r="E214" s="211">
        <v>315</v>
      </c>
      <c r="F214" s="151" t="s">
        <v>1847</v>
      </c>
      <c r="G214" s="151" t="s">
        <v>1144</v>
      </c>
      <c r="H214" s="211">
        <v>29856.799999999999</v>
      </c>
      <c r="I214" s="17">
        <f t="shared" si="0"/>
        <v>947834920.6349206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>
      <c r="A215" s="151" t="s">
        <v>1848</v>
      </c>
      <c r="B215" s="17" t="s">
        <v>1849</v>
      </c>
      <c r="C215" s="211">
        <v>543245</v>
      </c>
      <c r="D215" s="151" t="s">
        <v>1850</v>
      </c>
      <c r="E215" s="211">
        <v>1801.2</v>
      </c>
      <c r="F215" s="151" t="s">
        <v>694</v>
      </c>
      <c r="G215" s="151" t="s">
        <v>1224</v>
      </c>
      <c r="H215" s="211">
        <v>29666.9</v>
      </c>
      <c r="I215" s="17">
        <f t="shared" si="0"/>
        <v>164706306.90650678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>
      <c r="A216" s="151" t="s">
        <v>1851</v>
      </c>
      <c r="B216" s="17" t="s">
        <v>1852</v>
      </c>
      <c r="C216" s="211">
        <v>532889</v>
      </c>
      <c r="D216" s="151" t="s">
        <v>1853</v>
      </c>
      <c r="E216" s="211">
        <v>864.8</v>
      </c>
      <c r="F216" s="151" t="s">
        <v>1854</v>
      </c>
      <c r="G216" s="151" t="s">
        <v>1216</v>
      </c>
      <c r="H216" s="211">
        <v>29561.8</v>
      </c>
      <c r="I216" s="17">
        <f t="shared" si="0"/>
        <v>341833950.0462535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>
      <c r="A217" s="151" t="s">
        <v>1855</v>
      </c>
      <c r="B217" s="17" t="s">
        <v>1856</v>
      </c>
      <c r="C217" s="211">
        <v>543529</v>
      </c>
      <c r="D217" s="151" t="s">
        <v>1857</v>
      </c>
      <c r="E217" s="211">
        <v>398.5</v>
      </c>
      <c r="F217" s="151" t="s">
        <v>1858</v>
      </c>
      <c r="G217" s="151" t="s">
        <v>1280</v>
      </c>
      <c r="H217" s="211">
        <v>29267.3</v>
      </c>
      <c r="I217" s="17">
        <f t="shared" si="0"/>
        <v>734436637.39021325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>
      <c r="A218" s="151" t="s">
        <v>1859</v>
      </c>
      <c r="B218" s="17" t="s">
        <v>1860</v>
      </c>
      <c r="C218" s="211">
        <v>500660</v>
      </c>
      <c r="D218" s="151" t="s">
        <v>1861</v>
      </c>
      <c r="E218" s="211">
        <v>1720</v>
      </c>
      <c r="F218" s="151" t="s">
        <v>694</v>
      </c>
      <c r="G218" s="151" t="s">
        <v>1224</v>
      </c>
      <c r="H218" s="211">
        <v>29137.8</v>
      </c>
      <c r="I218" s="17">
        <f t="shared" si="0"/>
        <v>169405813.95348838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>
      <c r="A219" s="151" t="s">
        <v>1862</v>
      </c>
      <c r="B219" s="17" t="s">
        <v>1863</v>
      </c>
      <c r="C219" s="211">
        <v>532843</v>
      </c>
      <c r="D219" s="151" t="s">
        <v>1864</v>
      </c>
      <c r="E219" s="211">
        <v>384.6</v>
      </c>
      <c r="F219" s="151" t="s">
        <v>1445</v>
      </c>
      <c r="G219" s="151" t="s">
        <v>1139</v>
      </c>
      <c r="H219" s="211">
        <v>29039.5</v>
      </c>
      <c r="I219" s="17">
        <f t="shared" si="0"/>
        <v>755057202.28809142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>
      <c r="A220" s="151" t="s">
        <v>1865</v>
      </c>
      <c r="B220" s="17" t="s">
        <v>1866</v>
      </c>
      <c r="C220" s="211">
        <v>524494</v>
      </c>
      <c r="D220" s="151" t="s">
        <v>1867</v>
      </c>
      <c r="E220" s="211">
        <v>1140.9000000000001</v>
      </c>
      <c r="F220" s="151" t="s">
        <v>694</v>
      </c>
      <c r="G220" s="151" t="s">
        <v>1224</v>
      </c>
      <c r="H220" s="211">
        <v>28945.1</v>
      </c>
      <c r="I220" s="17">
        <f t="shared" si="0"/>
        <v>253704093.25970724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>
      <c r="A221" s="151" t="s">
        <v>1868</v>
      </c>
      <c r="B221" s="17" t="s">
        <v>1869</v>
      </c>
      <c r="C221" s="211">
        <v>532523</v>
      </c>
      <c r="D221" s="151" t="s">
        <v>1870</v>
      </c>
      <c r="E221" s="211">
        <v>240.6</v>
      </c>
      <c r="F221" s="151" t="s">
        <v>1871</v>
      </c>
      <c r="G221" s="151" t="s">
        <v>1224</v>
      </c>
      <c r="H221" s="211">
        <v>28886.400000000001</v>
      </c>
      <c r="I221" s="17">
        <f t="shared" si="0"/>
        <v>1200598503.7406485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>
      <c r="A222" s="151" t="s">
        <v>1872</v>
      </c>
      <c r="B222" s="17" t="s">
        <v>228</v>
      </c>
      <c r="C222" s="211">
        <v>533295</v>
      </c>
      <c r="D222" s="151" t="s">
        <v>1873</v>
      </c>
      <c r="E222" s="211">
        <v>42.3</v>
      </c>
      <c r="F222" s="151" t="s">
        <v>1165</v>
      </c>
      <c r="G222" s="151" t="s">
        <v>1137</v>
      </c>
      <c r="H222" s="211">
        <v>28670</v>
      </c>
      <c r="I222" s="17">
        <f t="shared" si="0"/>
        <v>6777777777.7777786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pans="1:24">
      <c r="A223" s="151" t="s">
        <v>1874</v>
      </c>
      <c r="B223" s="17" t="s">
        <v>1875</v>
      </c>
      <c r="C223" s="211">
        <v>500877</v>
      </c>
      <c r="D223" s="151" t="s">
        <v>1876</v>
      </c>
      <c r="E223" s="211">
        <v>446.4</v>
      </c>
      <c r="F223" s="151" t="s">
        <v>1646</v>
      </c>
      <c r="G223" s="151" t="s">
        <v>1211</v>
      </c>
      <c r="H223" s="211">
        <v>28354.1</v>
      </c>
      <c r="I223" s="17">
        <f t="shared" si="0"/>
        <v>635172491.03942657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spans="1:24">
      <c r="A224" s="151" t="s">
        <v>1877</v>
      </c>
      <c r="B224" s="17" t="s">
        <v>1878</v>
      </c>
      <c r="C224" s="211">
        <v>532644</v>
      </c>
      <c r="D224" s="151" t="s">
        <v>1879</v>
      </c>
      <c r="E224" s="211">
        <v>3664.3</v>
      </c>
      <c r="F224" s="151" t="s">
        <v>1238</v>
      </c>
      <c r="G224" s="151" t="s">
        <v>1138</v>
      </c>
      <c r="H224" s="211">
        <v>28313.4</v>
      </c>
      <c r="I224" s="17">
        <f t="shared" si="0"/>
        <v>77268236.771006733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spans="1:24">
      <c r="A225" s="151" t="s">
        <v>1880</v>
      </c>
      <c r="B225" s="17" t="s">
        <v>1881</v>
      </c>
      <c r="C225" s="211">
        <v>532514</v>
      </c>
      <c r="D225" s="151" t="s">
        <v>1882</v>
      </c>
      <c r="E225" s="211">
        <v>402.1</v>
      </c>
      <c r="F225" s="151" t="s">
        <v>1410</v>
      </c>
      <c r="G225" s="151" t="s">
        <v>1144</v>
      </c>
      <c r="H225" s="211">
        <v>28147</v>
      </c>
      <c r="I225" s="17">
        <f t="shared" si="0"/>
        <v>700000000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spans="1:24">
      <c r="A226" s="151" t="s">
        <v>1883</v>
      </c>
      <c r="B226" s="17" t="s">
        <v>1884</v>
      </c>
      <c r="C226" s="211">
        <v>500253</v>
      </c>
      <c r="D226" s="151" t="s">
        <v>1885</v>
      </c>
      <c r="E226" s="211">
        <v>508</v>
      </c>
      <c r="F226" s="151" t="s">
        <v>1886</v>
      </c>
      <c r="G226" s="151" t="s">
        <v>1137</v>
      </c>
      <c r="H226" s="211">
        <v>27943.200000000001</v>
      </c>
      <c r="I226" s="17">
        <f t="shared" si="0"/>
        <v>550062992.12598431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spans="1:24">
      <c r="A227" s="151" t="s">
        <v>1887</v>
      </c>
      <c r="B227" s="17" t="s">
        <v>1888</v>
      </c>
      <c r="C227" s="211">
        <v>500575</v>
      </c>
      <c r="D227" s="151" t="s">
        <v>1889</v>
      </c>
      <c r="E227" s="211">
        <v>839.2</v>
      </c>
      <c r="F227" s="151" t="s">
        <v>1770</v>
      </c>
      <c r="G227" s="151" t="s">
        <v>1441</v>
      </c>
      <c r="H227" s="211">
        <v>27769.5</v>
      </c>
      <c r="I227" s="17">
        <f t="shared" si="0"/>
        <v>330904432.7931363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spans="1:24">
      <c r="A228" s="151" t="s">
        <v>1890</v>
      </c>
      <c r="B228" s="17" t="s">
        <v>64</v>
      </c>
      <c r="C228" s="211">
        <v>540767</v>
      </c>
      <c r="D228" s="151" t="s">
        <v>1891</v>
      </c>
      <c r="E228" s="211">
        <v>442</v>
      </c>
      <c r="F228" s="151" t="s">
        <v>1517</v>
      </c>
      <c r="G228" s="151" t="s">
        <v>1137</v>
      </c>
      <c r="H228" s="211">
        <v>27663.599999999999</v>
      </c>
      <c r="I228" s="17">
        <f t="shared" si="0"/>
        <v>625873303.16742086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spans="1:24">
      <c r="A229" s="151" t="s">
        <v>1892</v>
      </c>
      <c r="B229" s="17" t="s">
        <v>1893</v>
      </c>
      <c r="C229" s="211">
        <v>541770</v>
      </c>
      <c r="D229" s="151" t="s">
        <v>1894</v>
      </c>
      <c r="E229" s="211">
        <v>1723.6</v>
      </c>
      <c r="F229" s="151" t="s">
        <v>1194</v>
      </c>
      <c r="G229" s="151" t="s">
        <v>1137</v>
      </c>
      <c r="H229" s="211">
        <v>27430.3</v>
      </c>
      <c r="I229" s="17">
        <f t="shared" si="0"/>
        <v>159145393.36272919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spans="1:24">
      <c r="A230" s="151" t="s">
        <v>1895</v>
      </c>
      <c r="B230" s="17" t="s">
        <v>1896</v>
      </c>
      <c r="C230" s="211">
        <v>512455</v>
      </c>
      <c r="D230" s="151" t="s">
        <v>1897</v>
      </c>
      <c r="E230" s="211">
        <v>542.9</v>
      </c>
      <c r="F230" s="151" t="s">
        <v>1272</v>
      </c>
      <c r="G230" s="151" t="s">
        <v>1142</v>
      </c>
      <c r="H230" s="211">
        <v>27406.9</v>
      </c>
      <c r="I230" s="17">
        <f t="shared" si="0"/>
        <v>504824092.83477622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spans="1:24">
      <c r="A231" s="151" t="s">
        <v>1898</v>
      </c>
      <c r="B231" s="17" t="s">
        <v>1899</v>
      </c>
      <c r="C231" s="211">
        <v>543498</v>
      </c>
      <c r="D231" s="151" t="s">
        <v>1900</v>
      </c>
      <c r="E231" s="211">
        <v>61.5</v>
      </c>
      <c r="F231" s="151" t="s">
        <v>1507</v>
      </c>
      <c r="G231" s="151" t="s">
        <v>1211</v>
      </c>
      <c r="H231" s="211">
        <v>27189.8</v>
      </c>
      <c r="I231" s="17">
        <f t="shared" si="0"/>
        <v>4421105691.0569105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spans="1:24">
      <c r="A232" s="151" t="s">
        <v>1901</v>
      </c>
      <c r="B232" s="17" t="s">
        <v>1902</v>
      </c>
      <c r="C232" s="211">
        <v>520111</v>
      </c>
      <c r="D232" s="151" t="s">
        <v>1903</v>
      </c>
      <c r="E232" s="211">
        <v>3814.9</v>
      </c>
      <c r="F232" s="151" t="s">
        <v>1272</v>
      </c>
      <c r="G232" s="151" t="s">
        <v>1142</v>
      </c>
      <c r="H232" s="211">
        <v>26739.4</v>
      </c>
      <c r="I232" s="17">
        <f t="shared" si="0"/>
        <v>70092007.654198006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spans="1:24">
      <c r="A233" s="151" t="s">
        <v>1904</v>
      </c>
      <c r="B233" s="17" t="s">
        <v>1905</v>
      </c>
      <c r="C233" s="211">
        <v>532733</v>
      </c>
      <c r="D233" s="151" t="s">
        <v>1906</v>
      </c>
      <c r="E233" s="211">
        <v>678</v>
      </c>
      <c r="F233" s="151" t="s">
        <v>1907</v>
      </c>
      <c r="G233" s="151" t="s">
        <v>1908</v>
      </c>
      <c r="H233" s="211">
        <v>26717</v>
      </c>
      <c r="I233" s="17">
        <f t="shared" si="0"/>
        <v>394056047.19764012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spans="1:24">
      <c r="A234" s="151" t="s">
        <v>1909</v>
      </c>
      <c r="B234" s="17" t="s">
        <v>1910</v>
      </c>
      <c r="C234" s="211">
        <v>523610</v>
      </c>
      <c r="D234" s="151" t="s">
        <v>1911</v>
      </c>
      <c r="E234" s="211">
        <v>275.8</v>
      </c>
      <c r="F234" s="151" t="s">
        <v>1912</v>
      </c>
      <c r="G234" s="151" t="s">
        <v>1913</v>
      </c>
      <c r="H234" s="211">
        <v>26496.5</v>
      </c>
      <c r="I234" s="17">
        <f t="shared" si="0"/>
        <v>960714285.71428573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spans="1:24">
      <c r="A235" s="151" t="s">
        <v>1914</v>
      </c>
      <c r="B235" s="17" t="s">
        <v>1915</v>
      </c>
      <c r="C235" s="211">
        <v>500403</v>
      </c>
      <c r="D235" s="151" t="s">
        <v>1916</v>
      </c>
      <c r="E235" s="211">
        <v>1256.7</v>
      </c>
      <c r="F235" s="151" t="s">
        <v>1507</v>
      </c>
      <c r="G235" s="151" t="s">
        <v>1211</v>
      </c>
      <c r="H235" s="211">
        <v>26406.799999999999</v>
      </c>
      <c r="I235" s="17">
        <f t="shared" si="0"/>
        <v>210128113.31264421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spans="1:24">
      <c r="A236" s="151" t="s">
        <v>1917</v>
      </c>
      <c r="B236" s="17" t="s">
        <v>1918</v>
      </c>
      <c r="C236" s="211">
        <v>543654</v>
      </c>
      <c r="D236" s="151" t="s">
        <v>1919</v>
      </c>
      <c r="E236" s="211">
        <v>974.8</v>
      </c>
      <c r="F236" s="151" t="s">
        <v>1445</v>
      </c>
      <c r="G236" s="151" t="s">
        <v>1139</v>
      </c>
      <c r="H236" s="211">
        <v>26166.3</v>
      </c>
      <c r="I236" s="17">
        <f t="shared" si="0"/>
        <v>268427369.716865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spans="1:24">
      <c r="A237" s="151" t="s">
        <v>1920</v>
      </c>
      <c r="B237" s="17" t="s">
        <v>1921</v>
      </c>
      <c r="C237" s="211">
        <v>500165</v>
      </c>
      <c r="D237" s="151" t="s">
        <v>1922</v>
      </c>
      <c r="E237" s="211">
        <v>322.2</v>
      </c>
      <c r="F237" s="151" t="s">
        <v>1220</v>
      </c>
      <c r="G237" s="151" t="s">
        <v>1139</v>
      </c>
      <c r="H237" s="211">
        <v>26041.9</v>
      </c>
      <c r="I237" s="17">
        <f t="shared" si="0"/>
        <v>808252638.11297333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spans="1:24">
      <c r="A238" s="151" t="s">
        <v>1923</v>
      </c>
      <c r="B238" s="17" t="s">
        <v>53</v>
      </c>
      <c r="C238" s="211">
        <v>517569</v>
      </c>
      <c r="D238" s="151" t="s">
        <v>1924</v>
      </c>
      <c r="E238" s="211">
        <v>2860</v>
      </c>
      <c r="F238" s="151" t="s">
        <v>1440</v>
      </c>
      <c r="G238" s="151" t="s">
        <v>1441</v>
      </c>
      <c r="H238" s="211">
        <v>25809</v>
      </c>
      <c r="I238" s="17">
        <f t="shared" si="0"/>
        <v>90241258.74125874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spans="1:24">
      <c r="A239" s="151" t="s">
        <v>1925</v>
      </c>
      <c r="B239" s="17" t="s">
        <v>67</v>
      </c>
      <c r="C239" s="211">
        <v>513683</v>
      </c>
      <c r="D239" s="151" t="s">
        <v>1926</v>
      </c>
      <c r="E239" s="211">
        <v>181.7</v>
      </c>
      <c r="F239" s="151" t="s">
        <v>1242</v>
      </c>
      <c r="G239" s="151" t="s">
        <v>1144</v>
      </c>
      <c r="H239" s="211">
        <v>25195.200000000001</v>
      </c>
      <c r="I239" s="17">
        <f t="shared" si="0"/>
        <v>1386637314.2542653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spans="1:24">
      <c r="A240" s="151" t="s">
        <v>1927</v>
      </c>
      <c r="B240" s="17" t="s">
        <v>1928</v>
      </c>
      <c r="C240" s="211">
        <v>543235</v>
      </c>
      <c r="D240" s="151" t="s">
        <v>1929</v>
      </c>
      <c r="E240" s="211">
        <v>2991.8</v>
      </c>
      <c r="F240" s="151" t="s">
        <v>1930</v>
      </c>
      <c r="G240" s="151" t="s">
        <v>1137</v>
      </c>
      <c r="H240" s="211">
        <v>25113.9</v>
      </c>
      <c r="I240" s="17">
        <f t="shared" si="0"/>
        <v>83942442.676649511</v>
      </c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spans="1:24">
      <c r="A241" s="151" t="s">
        <v>1931</v>
      </c>
      <c r="B241" s="17" t="s">
        <v>1932</v>
      </c>
      <c r="C241" s="211">
        <v>500086</v>
      </c>
      <c r="D241" s="151" t="s">
        <v>1933</v>
      </c>
      <c r="E241" s="211">
        <v>294.2</v>
      </c>
      <c r="F241" s="151" t="s">
        <v>1507</v>
      </c>
      <c r="G241" s="151" t="s">
        <v>1211</v>
      </c>
      <c r="H241" s="211">
        <v>25007</v>
      </c>
      <c r="I241" s="17">
        <f t="shared" si="0"/>
        <v>850000000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spans="1:24">
      <c r="A242" s="151" t="s">
        <v>1934</v>
      </c>
      <c r="B242" s="17" t="s">
        <v>1935</v>
      </c>
      <c r="C242" s="211">
        <v>500770</v>
      </c>
      <c r="D242" s="151" t="s">
        <v>1936</v>
      </c>
      <c r="E242" s="211">
        <v>974.4</v>
      </c>
      <c r="F242" s="151" t="s">
        <v>1840</v>
      </c>
      <c r="G242" s="151" t="s">
        <v>1335</v>
      </c>
      <c r="H242" s="211">
        <v>24823.5</v>
      </c>
      <c r="I242" s="17">
        <f t="shared" si="0"/>
        <v>254756773.39901477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spans="1:24">
      <c r="A243" s="151" t="s">
        <v>1937</v>
      </c>
      <c r="B243" s="17" t="s">
        <v>1938</v>
      </c>
      <c r="C243" s="211">
        <v>532331</v>
      </c>
      <c r="D243" s="151" t="s">
        <v>1939</v>
      </c>
      <c r="E243" s="211">
        <v>1957.5</v>
      </c>
      <c r="F243" s="151" t="s">
        <v>694</v>
      </c>
      <c r="G243" s="151" t="s">
        <v>1224</v>
      </c>
      <c r="H243" s="211">
        <v>24648</v>
      </c>
      <c r="I243" s="17">
        <f t="shared" si="0"/>
        <v>125915708.81226054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spans="1:24">
      <c r="A244" s="151" t="s">
        <v>1940</v>
      </c>
      <c r="B244" s="17" t="s">
        <v>1941</v>
      </c>
      <c r="C244" s="211">
        <v>505537</v>
      </c>
      <c r="D244" s="151" t="s">
        <v>1942</v>
      </c>
      <c r="E244" s="211">
        <v>256.60000000000002</v>
      </c>
      <c r="F244" s="151" t="s">
        <v>1907</v>
      </c>
      <c r="G244" s="151" t="s">
        <v>1908</v>
      </c>
      <c r="H244" s="211">
        <v>24642.1</v>
      </c>
      <c r="I244" s="17">
        <f t="shared" si="0"/>
        <v>960331254.87139511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spans="1:24">
      <c r="A245" s="151" t="s">
        <v>1943</v>
      </c>
      <c r="B245" s="17" t="s">
        <v>1944</v>
      </c>
      <c r="C245" s="211">
        <v>539551</v>
      </c>
      <c r="D245" s="151" t="s">
        <v>1945</v>
      </c>
      <c r="E245" s="211">
        <v>1204.8</v>
      </c>
      <c r="F245" s="151" t="s">
        <v>1445</v>
      </c>
      <c r="G245" s="151" t="s">
        <v>1139</v>
      </c>
      <c r="H245" s="211">
        <v>24621.4</v>
      </c>
      <c r="I245" s="17">
        <f t="shared" si="0"/>
        <v>204360889.77423638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spans="1:24">
      <c r="A246" s="151" t="s">
        <v>1946</v>
      </c>
      <c r="B246" s="17" t="s">
        <v>1947</v>
      </c>
      <c r="C246" s="211">
        <v>532636</v>
      </c>
      <c r="D246" s="151" t="s">
        <v>1948</v>
      </c>
      <c r="E246" s="211">
        <v>640.1</v>
      </c>
      <c r="F246" s="151" t="s">
        <v>1831</v>
      </c>
      <c r="G246" s="151" t="s">
        <v>1137</v>
      </c>
      <c r="H246" s="211">
        <v>24408.400000000001</v>
      </c>
      <c r="I246" s="17">
        <f t="shared" si="0"/>
        <v>381321668.48929852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spans="1:24">
      <c r="A247" s="151" t="s">
        <v>1949</v>
      </c>
      <c r="B247" s="17" t="s">
        <v>1950</v>
      </c>
      <c r="C247" s="211">
        <v>506285</v>
      </c>
      <c r="D247" s="151" t="s">
        <v>1951</v>
      </c>
      <c r="E247" s="211">
        <v>5387.1</v>
      </c>
      <c r="F247" s="151" t="s">
        <v>1552</v>
      </c>
      <c r="G247" s="151" t="s">
        <v>1335</v>
      </c>
      <c r="H247" s="211">
        <v>24210.799999999999</v>
      </c>
      <c r="I247" s="17">
        <f t="shared" si="0"/>
        <v>44942176.681331329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spans="1:24">
      <c r="A248" s="151" t="s">
        <v>1952</v>
      </c>
      <c r="B248" s="17" t="s">
        <v>1953</v>
      </c>
      <c r="C248" s="211">
        <v>531531</v>
      </c>
      <c r="D248" s="151" t="s">
        <v>1954</v>
      </c>
      <c r="E248" s="211">
        <v>1085.7</v>
      </c>
      <c r="F248" s="151" t="s">
        <v>1255</v>
      </c>
      <c r="G248" s="151" t="s">
        <v>1173</v>
      </c>
      <c r="H248" s="211">
        <v>24183.8</v>
      </c>
      <c r="I248" s="17">
        <f t="shared" si="0"/>
        <v>222748457.2165423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spans="1:24">
      <c r="A249" s="151" t="s">
        <v>1955</v>
      </c>
      <c r="B249" s="17" t="s">
        <v>1956</v>
      </c>
      <c r="C249" s="211">
        <v>500260</v>
      </c>
      <c r="D249" s="151" t="s">
        <v>1957</v>
      </c>
      <c r="E249" s="211">
        <v>1019.2</v>
      </c>
      <c r="F249" s="151" t="s">
        <v>1238</v>
      </c>
      <c r="G249" s="151" t="s">
        <v>1138</v>
      </c>
      <c r="H249" s="211">
        <v>24082.9</v>
      </c>
      <c r="I249" s="17">
        <f t="shared" si="0"/>
        <v>236292189.95290422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spans="1:24">
      <c r="A250" s="151" t="s">
        <v>1958</v>
      </c>
      <c r="B250" s="17" t="s">
        <v>225</v>
      </c>
      <c r="C250" s="211">
        <v>540153</v>
      </c>
      <c r="D250" s="151" t="s">
        <v>1959</v>
      </c>
      <c r="E250" s="211">
        <v>1709.5</v>
      </c>
      <c r="F250" s="151" t="s">
        <v>1507</v>
      </c>
      <c r="G250" s="151" t="s">
        <v>1211</v>
      </c>
      <c r="H250" s="211">
        <v>24046.3</v>
      </c>
      <c r="I250" s="17">
        <f t="shared" si="0"/>
        <v>140662766.89090377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spans="1:24">
      <c r="A251" s="151" t="s">
        <v>1960</v>
      </c>
      <c r="B251" s="17" t="s">
        <v>32</v>
      </c>
      <c r="C251" s="211">
        <v>532175</v>
      </c>
      <c r="D251" s="151" t="s">
        <v>1961</v>
      </c>
      <c r="E251" s="211">
        <v>2123</v>
      </c>
      <c r="F251" s="151" t="s">
        <v>1161</v>
      </c>
      <c r="G251" s="151" t="s">
        <v>1143</v>
      </c>
      <c r="H251" s="211">
        <v>23508.799999999999</v>
      </c>
      <c r="I251" s="17">
        <f t="shared" si="0"/>
        <v>110733867.16910033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spans="1:24">
      <c r="A252" s="151" t="s">
        <v>1962</v>
      </c>
      <c r="B252" s="17" t="s">
        <v>1963</v>
      </c>
      <c r="C252" s="211">
        <v>506076</v>
      </c>
      <c r="D252" s="151" t="s">
        <v>1964</v>
      </c>
      <c r="E252" s="211">
        <v>2114.6</v>
      </c>
      <c r="F252" s="151" t="s">
        <v>1577</v>
      </c>
      <c r="G252" s="151" t="s">
        <v>1141</v>
      </c>
      <c r="H252" s="211">
        <v>23413.4</v>
      </c>
      <c r="I252" s="17">
        <f t="shared" si="0"/>
        <v>110722595.28988935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spans="1:24">
      <c r="A253" s="151" t="s">
        <v>1965</v>
      </c>
      <c r="B253" s="17" t="s">
        <v>1966</v>
      </c>
      <c r="C253" s="211">
        <v>541143</v>
      </c>
      <c r="D253" s="151" t="s">
        <v>1967</v>
      </c>
      <c r="E253" s="211">
        <v>1251.9000000000001</v>
      </c>
      <c r="F253" s="151" t="s">
        <v>1293</v>
      </c>
      <c r="G253" s="151" t="s">
        <v>1141</v>
      </c>
      <c r="H253" s="211">
        <v>22945</v>
      </c>
      <c r="I253" s="17">
        <f t="shared" si="0"/>
        <v>183281412.25337484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spans="1:24">
      <c r="A254" s="151" t="s">
        <v>1968</v>
      </c>
      <c r="B254" s="17" t="s">
        <v>245</v>
      </c>
      <c r="C254" s="211">
        <v>532947</v>
      </c>
      <c r="D254" s="151" t="s">
        <v>1969</v>
      </c>
      <c r="E254" s="211">
        <v>37.799999999999997</v>
      </c>
      <c r="F254" s="151" t="s">
        <v>1970</v>
      </c>
      <c r="G254" s="151" t="s">
        <v>1138</v>
      </c>
      <c r="H254" s="211">
        <v>22857.599999999999</v>
      </c>
      <c r="I254" s="17">
        <f t="shared" si="0"/>
        <v>6046984126.984127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spans="1:24">
      <c r="A255" s="151" t="s">
        <v>1971</v>
      </c>
      <c r="B255" s="17" t="s">
        <v>1972</v>
      </c>
      <c r="C255" s="211">
        <v>530517</v>
      </c>
      <c r="D255" s="151" t="s">
        <v>1973</v>
      </c>
      <c r="E255" s="211">
        <v>918</v>
      </c>
      <c r="F255" s="151" t="s">
        <v>1748</v>
      </c>
      <c r="G255" s="151" t="s">
        <v>1247</v>
      </c>
      <c r="H255" s="211">
        <v>22853.8</v>
      </c>
      <c r="I255" s="17">
        <f t="shared" si="0"/>
        <v>248952069.7167756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pans="1:24">
      <c r="A256" s="151" t="s">
        <v>1974</v>
      </c>
      <c r="B256" s="17" t="s">
        <v>1975</v>
      </c>
      <c r="C256" s="211">
        <v>539524</v>
      </c>
      <c r="D256" s="151" t="s">
        <v>1976</v>
      </c>
      <c r="E256" s="211">
        <v>2734.4</v>
      </c>
      <c r="F256" s="151" t="s">
        <v>1977</v>
      </c>
      <c r="G256" s="151" t="s">
        <v>1139</v>
      </c>
      <c r="H256" s="211">
        <v>22826.6</v>
      </c>
      <c r="I256" s="17">
        <f t="shared" si="0"/>
        <v>83479373.902867168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spans="1:24">
      <c r="A257" s="151" t="s">
        <v>1978</v>
      </c>
      <c r="B257" s="17" t="s">
        <v>1979</v>
      </c>
      <c r="C257" s="211">
        <v>522113</v>
      </c>
      <c r="D257" s="151" t="s">
        <v>1980</v>
      </c>
      <c r="E257" s="211">
        <v>3024.6</v>
      </c>
      <c r="F257" s="151" t="s">
        <v>1577</v>
      </c>
      <c r="G257" s="151" t="s">
        <v>1141</v>
      </c>
      <c r="H257" s="211">
        <v>22750.6</v>
      </c>
      <c r="I257" s="17">
        <f t="shared" ref="I257:I511" si="1">H257*10000000/E257</f>
        <v>75218541.294716656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spans="1:24">
      <c r="A258" s="151" t="s">
        <v>1981</v>
      </c>
      <c r="B258" s="17" t="s">
        <v>1982</v>
      </c>
      <c r="C258" s="211">
        <v>500472</v>
      </c>
      <c r="D258" s="151" t="s">
        <v>1983</v>
      </c>
      <c r="E258" s="211">
        <v>4600</v>
      </c>
      <c r="F258" s="151" t="s">
        <v>1783</v>
      </c>
      <c r="G258" s="151" t="s">
        <v>1141</v>
      </c>
      <c r="H258" s="211">
        <v>22741.5</v>
      </c>
      <c r="I258" s="17">
        <f t="shared" si="1"/>
        <v>49438043.478260867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spans="1:24">
      <c r="A259" s="151" t="s">
        <v>1984</v>
      </c>
      <c r="B259" s="17" t="s">
        <v>1985</v>
      </c>
      <c r="C259" s="211">
        <v>506943</v>
      </c>
      <c r="D259" s="151" t="s">
        <v>1986</v>
      </c>
      <c r="E259" s="211">
        <v>1453.5</v>
      </c>
      <c r="F259" s="151" t="s">
        <v>694</v>
      </c>
      <c r="G259" s="151" t="s">
        <v>1224</v>
      </c>
      <c r="H259" s="211">
        <v>22535.7</v>
      </c>
      <c r="I259" s="17">
        <f t="shared" si="1"/>
        <v>155044375.64499485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spans="1:24">
      <c r="A260" s="151" t="s">
        <v>1987</v>
      </c>
      <c r="B260" s="17" t="s">
        <v>1988</v>
      </c>
      <c r="C260" s="211">
        <v>513375</v>
      </c>
      <c r="D260" s="151" t="s">
        <v>1989</v>
      </c>
      <c r="E260" s="211">
        <v>1174.4000000000001</v>
      </c>
      <c r="F260" s="151" t="s">
        <v>1577</v>
      </c>
      <c r="G260" s="151" t="s">
        <v>1141</v>
      </c>
      <c r="H260" s="211">
        <v>22318.1</v>
      </c>
      <c r="I260" s="17">
        <f t="shared" si="1"/>
        <v>190038317.43869209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spans="1:24">
      <c r="A261" s="151" t="s">
        <v>1990</v>
      </c>
      <c r="B261" s="17" t="s">
        <v>1991</v>
      </c>
      <c r="C261" s="211">
        <v>531162</v>
      </c>
      <c r="D261" s="151" t="s">
        <v>1992</v>
      </c>
      <c r="E261" s="211">
        <v>510.5</v>
      </c>
      <c r="F261" s="151" t="s">
        <v>1172</v>
      </c>
      <c r="G261" s="151" t="s">
        <v>1173</v>
      </c>
      <c r="H261" s="211">
        <v>22283.3</v>
      </c>
      <c r="I261" s="17">
        <f t="shared" si="1"/>
        <v>436499510.28403527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spans="1:24">
      <c r="A262" s="151" t="s">
        <v>1993</v>
      </c>
      <c r="B262" s="17" t="s">
        <v>1994</v>
      </c>
      <c r="C262" s="211">
        <v>532296</v>
      </c>
      <c r="D262" s="151" t="s">
        <v>1995</v>
      </c>
      <c r="E262" s="211">
        <v>788.5</v>
      </c>
      <c r="F262" s="151" t="s">
        <v>694</v>
      </c>
      <c r="G262" s="151" t="s">
        <v>1224</v>
      </c>
      <c r="H262" s="211">
        <v>22249</v>
      </c>
      <c r="I262" s="17">
        <f t="shared" si="1"/>
        <v>282168674.6987952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spans="1:24">
      <c r="A263" s="151" t="s">
        <v>1996</v>
      </c>
      <c r="B263" s="17" t="s">
        <v>1997</v>
      </c>
      <c r="C263" s="211">
        <v>532259</v>
      </c>
      <c r="D263" s="151" t="s">
        <v>1998</v>
      </c>
      <c r="E263" s="211">
        <v>5524</v>
      </c>
      <c r="F263" s="151" t="s">
        <v>1440</v>
      </c>
      <c r="G263" s="151" t="s">
        <v>1441</v>
      </c>
      <c r="H263" s="211">
        <v>22188.799999999999</v>
      </c>
      <c r="I263" s="17">
        <f t="shared" si="1"/>
        <v>40167994.207096308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spans="1:24">
      <c r="A264" s="151" t="s">
        <v>1999</v>
      </c>
      <c r="B264" s="17" t="s">
        <v>2000</v>
      </c>
      <c r="C264" s="211">
        <v>535755</v>
      </c>
      <c r="D264" s="151" t="s">
        <v>2001</v>
      </c>
      <c r="E264" s="211">
        <v>233</v>
      </c>
      <c r="F264" s="151" t="s">
        <v>1246</v>
      </c>
      <c r="G264" s="151" t="s">
        <v>1247</v>
      </c>
      <c r="H264" s="211">
        <v>22120.3</v>
      </c>
      <c r="I264" s="17">
        <f t="shared" si="1"/>
        <v>949369098.71244633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spans="1:24">
      <c r="A265" s="151" t="s">
        <v>2002</v>
      </c>
      <c r="B265" s="17" t="s">
        <v>2003</v>
      </c>
      <c r="C265" s="211">
        <v>541179</v>
      </c>
      <c r="D265" s="151" t="s">
        <v>2004</v>
      </c>
      <c r="E265" s="211">
        <v>682.2</v>
      </c>
      <c r="F265" s="151" t="s">
        <v>1930</v>
      </c>
      <c r="G265" s="151" t="s">
        <v>1137</v>
      </c>
      <c r="H265" s="211">
        <v>22047.8</v>
      </c>
      <c r="I265" s="17">
        <f t="shared" si="1"/>
        <v>323186748.75403106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spans="1:24">
      <c r="A266" s="151" t="s">
        <v>2005</v>
      </c>
      <c r="B266" s="17" t="s">
        <v>2006</v>
      </c>
      <c r="C266" s="211">
        <v>500109</v>
      </c>
      <c r="D266" s="151" t="s">
        <v>2007</v>
      </c>
      <c r="E266" s="211">
        <v>125.2</v>
      </c>
      <c r="F266" s="151" t="s">
        <v>1157</v>
      </c>
      <c r="G266" s="151" t="s">
        <v>1158</v>
      </c>
      <c r="H266" s="211">
        <v>21933.8</v>
      </c>
      <c r="I266" s="17">
        <f t="shared" si="1"/>
        <v>1751900958.4664536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spans="1:24">
      <c r="A267" s="151" t="s">
        <v>2008</v>
      </c>
      <c r="B267" s="17" t="s">
        <v>2009</v>
      </c>
      <c r="C267" s="211">
        <v>500233</v>
      </c>
      <c r="D267" s="151" t="s">
        <v>2010</v>
      </c>
      <c r="E267" s="211">
        <v>1377</v>
      </c>
      <c r="F267" s="151" t="s">
        <v>1220</v>
      </c>
      <c r="G267" s="151" t="s">
        <v>1139</v>
      </c>
      <c r="H267" s="211">
        <v>21930.7</v>
      </c>
      <c r="I267" s="17">
        <f t="shared" si="1"/>
        <v>159264342.77414671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spans="1:24">
      <c r="A268" s="151" t="s">
        <v>2011</v>
      </c>
      <c r="B268" s="17" t="s">
        <v>2012</v>
      </c>
      <c r="C268" s="211">
        <v>500164</v>
      </c>
      <c r="D268" s="151" t="s">
        <v>2013</v>
      </c>
      <c r="E268" s="211">
        <v>649</v>
      </c>
      <c r="F268" s="151" t="s">
        <v>1234</v>
      </c>
      <c r="G268" s="151" t="s">
        <v>1234</v>
      </c>
      <c r="H268" s="211">
        <v>21852.9</v>
      </c>
      <c r="I268" s="17">
        <f t="shared" si="1"/>
        <v>336716486.90292758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spans="1:24">
      <c r="A269" s="151" t="s">
        <v>2014</v>
      </c>
      <c r="B269" s="17" t="s">
        <v>2015</v>
      </c>
      <c r="C269" s="211">
        <v>542772</v>
      </c>
      <c r="D269" s="151" t="s">
        <v>2016</v>
      </c>
      <c r="E269" s="211">
        <v>603.4</v>
      </c>
      <c r="F269" s="151" t="s">
        <v>1831</v>
      </c>
      <c r="G269" s="151" t="s">
        <v>1137</v>
      </c>
      <c r="H269" s="211">
        <v>21621.9</v>
      </c>
      <c r="I269" s="17">
        <f t="shared" si="1"/>
        <v>358334438.18362612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spans="1:24">
      <c r="A270" s="151" t="s">
        <v>2017</v>
      </c>
      <c r="B270" s="17" t="s">
        <v>2018</v>
      </c>
      <c r="C270" s="211">
        <v>543663</v>
      </c>
      <c r="D270" s="151" t="s">
        <v>2019</v>
      </c>
      <c r="E270" s="211">
        <v>736.6</v>
      </c>
      <c r="F270" s="151" t="s">
        <v>1194</v>
      </c>
      <c r="G270" s="151" t="s">
        <v>1137</v>
      </c>
      <c r="H270" s="211">
        <v>21524.799999999999</v>
      </c>
      <c r="I270" s="17">
        <f t="shared" si="1"/>
        <v>292218300.29866958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spans="1:24">
      <c r="A271" s="151" t="s">
        <v>2020</v>
      </c>
      <c r="B271" s="17" t="s">
        <v>2021</v>
      </c>
      <c r="C271" s="211">
        <v>543330</v>
      </c>
      <c r="D271" s="151" t="s">
        <v>2022</v>
      </c>
      <c r="E271" s="211">
        <v>177.8</v>
      </c>
      <c r="F271" s="151" t="s">
        <v>1752</v>
      </c>
      <c r="G271" s="151" t="s">
        <v>1533</v>
      </c>
      <c r="H271" s="211">
        <v>21434.1</v>
      </c>
      <c r="I271" s="17">
        <f t="shared" si="1"/>
        <v>1205517435.3205848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spans="1:24">
      <c r="A272" s="151" t="s">
        <v>2023</v>
      </c>
      <c r="B272" s="17" t="s">
        <v>2024</v>
      </c>
      <c r="C272" s="211">
        <v>532497</v>
      </c>
      <c r="D272" s="151" t="s">
        <v>2025</v>
      </c>
      <c r="E272" s="211">
        <v>1590.6</v>
      </c>
      <c r="F272" s="151" t="s">
        <v>1470</v>
      </c>
      <c r="G272" s="151" t="s">
        <v>1140</v>
      </c>
      <c r="H272" s="211">
        <v>21268.2</v>
      </c>
      <c r="I272" s="17">
        <f t="shared" si="1"/>
        <v>133711806.86533384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spans="1:24">
      <c r="A273" s="151" t="s">
        <v>2026</v>
      </c>
      <c r="B273" s="17" t="s">
        <v>2027</v>
      </c>
      <c r="C273" s="211">
        <v>500302</v>
      </c>
      <c r="D273" s="151" t="s">
        <v>2028</v>
      </c>
      <c r="E273" s="211">
        <v>942.5</v>
      </c>
      <c r="F273" s="151" t="s">
        <v>1194</v>
      </c>
      <c r="G273" s="151" t="s">
        <v>1137</v>
      </c>
      <c r="H273" s="211">
        <v>21174.6</v>
      </c>
      <c r="I273" s="17">
        <f t="shared" si="1"/>
        <v>224664190.98143235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spans="1:24">
      <c r="A274" s="151" t="s">
        <v>2029</v>
      </c>
      <c r="B274" s="17" t="s">
        <v>2030</v>
      </c>
      <c r="C274" s="211">
        <v>501301</v>
      </c>
      <c r="D274" s="151" t="s">
        <v>2031</v>
      </c>
      <c r="E274" s="211">
        <v>4157.6000000000004</v>
      </c>
      <c r="F274" s="151" t="s">
        <v>1233</v>
      </c>
      <c r="G274" s="151" t="s">
        <v>1234</v>
      </c>
      <c r="H274" s="211">
        <v>21035.5</v>
      </c>
      <c r="I274" s="17">
        <f t="shared" si="1"/>
        <v>50595295.362709254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spans="1:24">
      <c r="A275" s="151" t="s">
        <v>2032</v>
      </c>
      <c r="B275" s="17" t="s">
        <v>2033</v>
      </c>
      <c r="C275" s="211">
        <v>540173</v>
      </c>
      <c r="D275" s="151" t="s">
        <v>2034</v>
      </c>
      <c r="E275" s="211">
        <v>805</v>
      </c>
      <c r="F275" s="151" t="s">
        <v>1886</v>
      </c>
      <c r="G275" s="151" t="s">
        <v>1137</v>
      </c>
      <c r="H275" s="211">
        <v>20900.7</v>
      </c>
      <c r="I275" s="17">
        <f t="shared" si="1"/>
        <v>259636024.84472048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spans="1:24">
      <c r="A276" s="151" t="s">
        <v>2035</v>
      </c>
      <c r="B276" s="17" t="s">
        <v>2036</v>
      </c>
      <c r="C276" s="211">
        <v>507815</v>
      </c>
      <c r="D276" s="151" t="s">
        <v>2037</v>
      </c>
      <c r="E276" s="211">
        <v>6400.4</v>
      </c>
      <c r="F276" s="151" t="s">
        <v>1172</v>
      </c>
      <c r="G276" s="151" t="s">
        <v>1173</v>
      </c>
      <c r="H276" s="211">
        <v>20855.8</v>
      </c>
      <c r="I276" s="17">
        <f t="shared" si="1"/>
        <v>32585150.928066999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spans="1:24">
      <c r="A277" s="151" t="s">
        <v>2038</v>
      </c>
      <c r="B277" s="17" t="s">
        <v>2039</v>
      </c>
      <c r="C277" s="211">
        <v>500043</v>
      </c>
      <c r="D277" s="151" t="s">
        <v>2040</v>
      </c>
      <c r="E277" s="211">
        <v>1615</v>
      </c>
      <c r="F277" s="151" t="s">
        <v>1748</v>
      </c>
      <c r="G277" s="151" t="s">
        <v>1247</v>
      </c>
      <c r="H277" s="211">
        <v>20757.2</v>
      </c>
      <c r="I277" s="17">
        <f t="shared" si="1"/>
        <v>128527554.17956656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spans="1:24">
      <c r="A278" s="151" t="s">
        <v>2041</v>
      </c>
      <c r="B278" s="17" t="s">
        <v>2042</v>
      </c>
      <c r="C278" s="211">
        <v>542920</v>
      </c>
      <c r="D278" s="151" t="s">
        <v>2043</v>
      </c>
      <c r="E278" s="211">
        <v>413.8</v>
      </c>
      <c r="F278" s="151" t="s">
        <v>1552</v>
      </c>
      <c r="G278" s="151" t="s">
        <v>1335</v>
      </c>
      <c r="H278" s="211">
        <v>20654.599999999999</v>
      </c>
      <c r="I278" s="17">
        <f t="shared" si="1"/>
        <v>499144514.25809568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spans="1:24">
      <c r="A279" s="151" t="s">
        <v>2044</v>
      </c>
      <c r="B279" s="17" t="s">
        <v>2045</v>
      </c>
      <c r="C279" s="211">
        <v>540222</v>
      </c>
      <c r="D279" s="151" t="s">
        <v>2046</v>
      </c>
      <c r="E279" s="211">
        <v>379.8</v>
      </c>
      <c r="F279" s="151" t="s">
        <v>694</v>
      </c>
      <c r="G279" s="151" t="s">
        <v>1224</v>
      </c>
      <c r="H279" s="211">
        <v>20455.3</v>
      </c>
      <c r="I279" s="17">
        <f t="shared" si="1"/>
        <v>538580832.01685095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spans="1:24">
      <c r="A280" s="151" t="s">
        <v>2047</v>
      </c>
      <c r="B280" s="17" t="s">
        <v>2048</v>
      </c>
      <c r="C280" s="211">
        <v>524208</v>
      </c>
      <c r="D280" s="151" t="s">
        <v>2049</v>
      </c>
      <c r="E280" s="211">
        <v>562.79999999999995</v>
      </c>
      <c r="F280" s="151" t="s">
        <v>1334</v>
      </c>
      <c r="G280" s="151" t="s">
        <v>1335</v>
      </c>
      <c r="H280" s="211">
        <v>20403.5</v>
      </c>
      <c r="I280" s="17">
        <f t="shared" si="1"/>
        <v>362535536.60270083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spans="1:24">
      <c r="A281" s="151" t="s">
        <v>2050</v>
      </c>
      <c r="B281" s="17" t="s">
        <v>2051</v>
      </c>
      <c r="C281" s="211">
        <v>543913</v>
      </c>
      <c r="D281" s="151" t="s">
        <v>2052</v>
      </c>
      <c r="E281" s="211">
        <v>134.5</v>
      </c>
      <c r="F281" s="151" t="s">
        <v>1307</v>
      </c>
      <c r="G281" s="151" t="s">
        <v>1307</v>
      </c>
      <c r="H281" s="211">
        <v>20376.8</v>
      </c>
      <c r="I281" s="17">
        <f t="shared" si="1"/>
        <v>1515003717.4721189</v>
      </c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spans="1:24">
      <c r="A282" s="151" t="s">
        <v>2053</v>
      </c>
      <c r="B282" s="17" t="s">
        <v>2054</v>
      </c>
      <c r="C282" s="211">
        <v>543187</v>
      </c>
      <c r="D282" s="151" t="s">
        <v>2055</v>
      </c>
      <c r="E282" s="211">
        <v>4796.3999999999996</v>
      </c>
      <c r="F282" s="151" t="s">
        <v>1323</v>
      </c>
      <c r="G282" s="151" t="s">
        <v>1141</v>
      </c>
      <c r="H282" s="211">
        <v>20327.7</v>
      </c>
      <c r="I282" s="17">
        <f t="shared" si="1"/>
        <v>42381160.870652996</v>
      </c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spans="1:24">
      <c r="A283" s="151" t="s">
        <v>2056</v>
      </c>
      <c r="B283" s="17" t="s">
        <v>2057</v>
      </c>
      <c r="C283" s="17"/>
      <c r="D283" s="151" t="s">
        <v>2058</v>
      </c>
      <c r="E283" s="211">
        <v>1935</v>
      </c>
      <c r="F283" s="151" t="s">
        <v>2059</v>
      </c>
      <c r="G283" s="151" t="s">
        <v>2060</v>
      </c>
      <c r="H283" s="211">
        <v>20220.8</v>
      </c>
      <c r="I283" s="17">
        <f t="shared" si="1"/>
        <v>104500258.39793281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spans="1:24">
      <c r="A284" s="151" t="s">
        <v>2061</v>
      </c>
      <c r="B284" s="17" t="s">
        <v>2062</v>
      </c>
      <c r="C284" s="211">
        <v>540975</v>
      </c>
      <c r="D284" s="151" t="s">
        <v>2063</v>
      </c>
      <c r="E284" s="211">
        <v>402</v>
      </c>
      <c r="F284" s="151" t="s">
        <v>1445</v>
      </c>
      <c r="G284" s="151" t="s">
        <v>1139</v>
      </c>
      <c r="H284" s="211">
        <v>20080.400000000001</v>
      </c>
      <c r="I284" s="17">
        <f t="shared" si="1"/>
        <v>499512437.81094527</v>
      </c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spans="1:24">
      <c r="A285" s="151" t="s">
        <v>2064</v>
      </c>
      <c r="B285" s="17" t="s">
        <v>2065</v>
      </c>
      <c r="C285" s="211">
        <v>500027</v>
      </c>
      <c r="D285" s="151" t="s">
        <v>2066</v>
      </c>
      <c r="E285" s="211">
        <v>6775</v>
      </c>
      <c r="F285" s="151" t="s">
        <v>1334</v>
      </c>
      <c r="G285" s="151" t="s">
        <v>1335</v>
      </c>
      <c r="H285" s="211">
        <v>19995.5</v>
      </c>
      <c r="I285" s="17">
        <f t="shared" si="1"/>
        <v>29513653.136531364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spans="1:24">
      <c r="A286" s="151" t="s">
        <v>2067</v>
      </c>
      <c r="B286" s="17" t="s">
        <v>2068</v>
      </c>
      <c r="C286" s="211">
        <v>532221</v>
      </c>
      <c r="D286" s="151" t="s">
        <v>2069</v>
      </c>
      <c r="E286" s="211">
        <v>1405</v>
      </c>
      <c r="F286" s="151" t="s">
        <v>1161</v>
      </c>
      <c r="G286" s="151" t="s">
        <v>1143</v>
      </c>
      <c r="H286" s="211">
        <v>19699.099999999999</v>
      </c>
      <c r="I286" s="17">
        <f t="shared" si="1"/>
        <v>140207117.43772241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spans="1:24">
      <c r="A287" s="151" t="s">
        <v>2070</v>
      </c>
      <c r="B287" s="17" t="s">
        <v>2071</v>
      </c>
      <c r="C287" s="211">
        <v>532929</v>
      </c>
      <c r="D287" s="151" t="s">
        <v>2072</v>
      </c>
      <c r="E287" s="211">
        <v>850</v>
      </c>
      <c r="F287" s="151" t="s">
        <v>1307</v>
      </c>
      <c r="G287" s="151" t="s">
        <v>1307</v>
      </c>
      <c r="H287" s="211">
        <v>19629.3</v>
      </c>
      <c r="I287" s="17">
        <f t="shared" si="1"/>
        <v>230932941.17647058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spans="1:24">
      <c r="A288" s="151" t="s">
        <v>2073</v>
      </c>
      <c r="B288" s="17" t="s">
        <v>2074</v>
      </c>
      <c r="C288" s="211">
        <v>504973</v>
      </c>
      <c r="D288" s="151" t="s">
        <v>2075</v>
      </c>
      <c r="E288" s="211">
        <v>1044</v>
      </c>
      <c r="F288" s="151" t="s">
        <v>1233</v>
      </c>
      <c r="G288" s="151" t="s">
        <v>1234</v>
      </c>
      <c r="H288" s="211">
        <v>19604.900000000001</v>
      </c>
      <c r="I288" s="17">
        <f t="shared" si="1"/>
        <v>187786398.46743295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spans="1:24">
      <c r="A289" s="151" t="s">
        <v>2076</v>
      </c>
      <c r="B289" s="17" t="s">
        <v>2077</v>
      </c>
      <c r="C289" s="211">
        <v>532659</v>
      </c>
      <c r="D289" s="151" t="s">
        <v>2078</v>
      </c>
      <c r="E289" s="211">
        <v>121</v>
      </c>
      <c r="F289" s="151" t="s">
        <v>1194</v>
      </c>
      <c r="G289" s="151" t="s">
        <v>1137</v>
      </c>
      <c r="H289" s="211">
        <v>19367.8</v>
      </c>
      <c r="I289" s="17">
        <f t="shared" si="1"/>
        <v>1600644628.0991735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spans="1:24">
      <c r="A290" s="151" t="s">
        <v>2079</v>
      </c>
      <c r="B290" s="17" t="s">
        <v>2080</v>
      </c>
      <c r="C290" s="211">
        <v>540680</v>
      </c>
      <c r="D290" s="151" t="s">
        <v>2081</v>
      </c>
      <c r="E290" s="211">
        <v>312.8</v>
      </c>
      <c r="F290" s="151" t="s">
        <v>1272</v>
      </c>
      <c r="G290" s="151" t="s">
        <v>1142</v>
      </c>
      <c r="H290" s="211">
        <v>19010.5</v>
      </c>
      <c r="I290" s="17">
        <f t="shared" si="1"/>
        <v>607752557.54475701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spans="1:24">
      <c r="A291" s="151" t="s">
        <v>2082</v>
      </c>
      <c r="B291" s="17" t="s">
        <v>2083</v>
      </c>
      <c r="C291" s="211">
        <v>543217</v>
      </c>
      <c r="D291" s="151" t="s">
        <v>2084</v>
      </c>
      <c r="E291" s="211">
        <v>319.60000000000002</v>
      </c>
      <c r="F291" s="151" t="s">
        <v>1847</v>
      </c>
      <c r="G291" s="151" t="s">
        <v>1144</v>
      </c>
      <c r="H291" s="211">
        <v>18950.5</v>
      </c>
      <c r="I291" s="17">
        <f t="shared" si="1"/>
        <v>592944305.3817271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spans="1:24">
      <c r="A292" s="151" t="s">
        <v>2085</v>
      </c>
      <c r="B292" s="17" t="s">
        <v>2086</v>
      </c>
      <c r="C292" s="211">
        <v>500067</v>
      </c>
      <c r="D292" s="151" t="s">
        <v>2087</v>
      </c>
      <c r="E292" s="211">
        <v>981.9</v>
      </c>
      <c r="F292" s="151" t="s">
        <v>1770</v>
      </c>
      <c r="G292" s="151" t="s">
        <v>1441</v>
      </c>
      <c r="H292" s="211">
        <v>18914.099999999999</v>
      </c>
      <c r="I292" s="17">
        <f t="shared" si="1"/>
        <v>192627558.81454325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spans="1:24">
      <c r="A293" s="151" t="s">
        <v>2088</v>
      </c>
      <c r="B293" s="17" t="s">
        <v>2089</v>
      </c>
      <c r="C293" s="211">
        <v>500674</v>
      </c>
      <c r="D293" s="151" t="s">
        <v>2090</v>
      </c>
      <c r="E293" s="211">
        <v>8158.2</v>
      </c>
      <c r="F293" s="151" t="s">
        <v>694</v>
      </c>
      <c r="G293" s="151" t="s">
        <v>1224</v>
      </c>
      <c r="H293" s="211">
        <v>18788.7</v>
      </c>
      <c r="I293" s="17">
        <f t="shared" si="1"/>
        <v>23030447.892917555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spans="1:24">
      <c r="A294" s="151" t="s">
        <v>2091</v>
      </c>
      <c r="B294" s="17" t="s">
        <v>2092</v>
      </c>
      <c r="C294" s="211">
        <v>539876</v>
      </c>
      <c r="D294" s="151" t="s">
        <v>2093</v>
      </c>
      <c r="E294" s="211">
        <v>292.39999999999998</v>
      </c>
      <c r="F294" s="151" t="s">
        <v>2094</v>
      </c>
      <c r="G294" s="151" t="s">
        <v>1441</v>
      </c>
      <c r="H294" s="211">
        <v>18715.400000000001</v>
      </c>
      <c r="I294" s="17">
        <f t="shared" si="1"/>
        <v>640061559.50752401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spans="1:24">
      <c r="A295" s="151" t="s">
        <v>2095</v>
      </c>
      <c r="B295" s="17" t="s">
        <v>2096</v>
      </c>
      <c r="C295" s="211">
        <v>521064</v>
      </c>
      <c r="D295" s="151" t="s">
        <v>2097</v>
      </c>
      <c r="E295" s="211">
        <v>36.6</v>
      </c>
      <c r="F295" s="151" t="s">
        <v>1854</v>
      </c>
      <c r="G295" s="151" t="s">
        <v>1216</v>
      </c>
      <c r="H295" s="211">
        <v>18625.7</v>
      </c>
      <c r="I295" s="17">
        <f t="shared" si="1"/>
        <v>5088989071.0382509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spans="1:24">
      <c r="A296" s="151" t="s">
        <v>2098</v>
      </c>
      <c r="B296" s="17" t="s">
        <v>2099</v>
      </c>
      <c r="C296" s="211">
        <v>532756</v>
      </c>
      <c r="D296" s="151" t="s">
        <v>2100</v>
      </c>
      <c r="E296" s="211">
        <v>490.5</v>
      </c>
      <c r="F296" s="151" t="s">
        <v>1507</v>
      </c>
      <c r="G296" s="151" t="s">
        <v>1211</v>
      </c>
      <c r="H296" s="211">
        <v>18607.7</v>
      </c>
      <c r="I296" s="17">
        <f t="shared" si="1"/>
        <v>379361875.63710499</v>
      </c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spans="1:24">
      <c r="A297" s="151" t="s">
        <v>2101</v>
      </c>
      <c r="B297" s="17" t="s">
        <v>2102</v>
      </c>
      <c r="C297" s="211">
        <v>543981</v>
      </c>
      <c r="D297" s="151" t="s">
        <v>2103</v>
      </c>
      <c r="E297" s="211">
        <v>1648.5</v>
      </c>
      <c r="F297" s="151" t="s">
        <v>1440</v>
      </c>
      <c r="G297" s="151" t="s">
        <v>1441</v>
      </c>
      <c r="H297" s="211">
        <v>18598.2</v>
      </c>
      <c r="I297" s="17">
        <f t="shared" si="1"/>
        <v>112818926.2966333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spans="1:24">
      <c r="A298" s="151" t="s">
        <v>2104</v>
      </c>
      <c r="B298" s="17" t="s">
        <v>2105</v>
      </c>
      <c r="C298" s="211">
        <v>500680</v>
      </c>
      <c r="D298" s="151" t="s">
        <v>2106</v>
      </c>
      <c r="E298" s="211">
        <v>4057.6</v>
      </c>
      <c r="F298" s="151" t="s">
        <v>694</v>
      </c>
      <c r="G298" s="151" t="s">
        <v>1224</v>
      </c>
      <c r="H298" s="211">
        <v>18562.599999999999</v>
      </c>
      <c r="I298" s="17">
        <f t="shared" si="1"/>
        <v>45747732.64984227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spans="1:24">
      <c r="A299" s="151" t="s">
        <v>2107</v>
      </c>
      <c r="B299" s="17" t="s">
        <v>2108</v>
      </c>
      <c r="C299" s="211">
        <v>532504</v>
      </c>
      <c r="D299" s="151" t="s">
        <v>2109</v>
      </c>
      <c r="E299" s="211">
        <v>3742.6</v>
      </c>
      <c r="F299" s="151" t="s">
        <v>1840</v>
      </c>
      <c r="G299" s="151" t="s">
        <v>1335</v>
      </c>
      <c r="H299" s="211">
        <v>18553</v>
      </c>
      <c r="I299" s="17">
        <f t="shared" si="1"/>
        <v>49572489.713033721</v>
      </c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spans="1:24">
      <c r="A300" s="151" t="s">
        <v>2110</v>
      </c>
      <c r="B300" s="17" t="s">
        <v>2111</v>
      </c>
      <c r="C300" s="211">
        <v>532371</v>
      </c>
      <c r="D300" s="151" t="s">
        <v>2112</v>
      </c>
      <c r="E300" s="211">
        <v>94.2</v>
      </c>
      <c r="F300" s="151" t="s">
        <v>1179</v>
      </c>
      <c r="G300" s="151" t="s">
        <v>1179</v>
      </c>
      <c r="H300" s="211">
        <v>18405.599999999999</v>
      </c>
      <c r="I300" s="17">
        <f t="shared" si="1"/>
        <v>1953885350.3184712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spans="1:24">
      <c r="A301" s="151" t="s">
        <v>2113</v>
      </c>
      <c r="B301" s="17" t="s">
        <v>2114</v>
      </c>
      <c r="C301" s="211">
        <v>500238</v>
      </c>
      <c r="D301" s="151" t="s">
        <v>2115</v>
      </c>
      <c r="E301" s="211">
        <v>1399.9</v>
      </c>
      <c r="F301" s="151" t="s">
        <v>1770</v>
      </c>
      <c r="G301" s="151" t="s">
        <v>1441</v>
      </c>
      <c r="H301" s="211">
        <v>17760.8</v>
      </c>
      <c r="I301" s="17">
        <f t="shared" si="1"/>
        <v>126871919.4228159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spans="1:24">
      <c r="A302" s="151" t="s">
        <v>2116</v>
      </c>
      <c r="B302" s="17" t="s">
        <v>2117</v>
      </c>
      <c r="C302" s="211">
        <v>532234</v>
      </c>
      <c r="D302" s="151" t="s">
        <v>2118</v>
      </c>
      <c r="E302" s="211">
        <v>96</v>
      </c>
      <c r="F302" s="151" t="s">
        <v>1348</v>
      </c>
      <c r="G302" s="151" t="s">
        <v>1142</v>
      </c>
      <c r="H302" s="211">
        <v>17640.8</v>
      </c>
      <c r="I302" s="17">
        <f t="shared" si="1"/>
        <v>1837583333.3333333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spans="1:24">
      <c r="A303" s="151" t="s">
        <v>2119</v>
      </c>
      <c r="B303" s="17" t="s">
        <v>43</v>
      </c>
      <c r="C303" s="211">
        <v>540530</v>
      </c>
      <c r="D303" s="151" t="s">
        <v>2120</v>
      </c>
      <c r="E303" s="211">
        <v>88</v>
      </c>
      <c r="F303" s="151" t="s">
        <v>1886</v>
      </c>
      <c r="G303" s="151" t="s">
        <v>1137</v>
      </c>
      <c r="H303" s="211">
        <v>17616.7</v>
      </c>
      <c r="I303" s="17">
        <f t="shared" si="1"/>
        <v>2001897727.2727273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spans="1:24">
      <c r="A304" s="151" t="s">
        <v>2121</v>
      </c>
      <c r="B304" s="17" t="s">
        <v>2122</v>
      </c>
      <c r="C304" s="211">
        <v>524200</v>
      </c>
      <c r="D304" s="151" t="s">
        <v>2123</v>
      </c>
      <c r="E304" s="211">
        <v>1708.8</v>
      </c>
      <c r="F304" s="151" t="s">
        <v>1334</v>
      </c>
      <c r="G304" s="151" t="s">
        <v>1335</v>
      </c>
      <c r="H304" s="211">
        <v>17563.900000000001</v>
      </c>
      <c r="I304" s="17">
        <f t="shared" si="1"/>
        <v>102784995.31835206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spans="1:24">
      <c r="A305" s="151" t="s">
        <v>2124</v>
      </c>
      <c r="B305" s="17" t="s">
        <v>39</v>
      </c>
      <c r="C305" s="211">
        <v>513599</v>
      </c>
      <c r="D305" s="151" t="s">
        <v>2125</v>
      </c>
      <c r="E305" s="211">
        <v>181.5</v>
      </c>
      <c r="F305" s="151" t="s">
        <v>2126</v>
      </c>
      <c r="G305" s="151" t="s">
        <v>1142</v>
      </c>
      <c r="H305" s="211">
        <v>17551.5</v>
      </c>
      <c r="I305" s="17">
        <f t="shared" si="1"/>
        <v>967024793.38842976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spans="1:24">
      <c r="A306" s="151" t="s">
        <v>2127</v>
      </c>
      <c r="B306" s="17" t="s">
        <v>60</v>
      </c>
      <c r="C306" s="211">
        <v>532892</v>
      </c>
      <c r="D306" s="151" t="s">
        <v>2128</v>
      </c>
      <c r="E306" s="211">
        <v>1180</v>
      </c>
      <c r="F306" s="151" t="s">
        <v>1831</v>
      </c>
      <c r="G306" s="151" t="s">
        <v>1137</v>
      </c>
      <c r="H306" s="211">
        <v>17522</v>
      </c>
      <c r="I306" s="17">
        <f t="shared" si="1"/>
        <v>148491525.42372882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spans="1:24">
      <c r="A307" s="151" t="s">
        <v>2129</v>
      </c>
      <c r="B307" s="17" t="s">
        <v>2130</v>
      </c>
      <c r="C307" s="211">
        <v>532400</v>
      </c>
      <c r="D307" s="151" t="s">
        <v>2131</v>
      </c>
      <c r="E307" s="211">
        <v>635</v>
      </c>
      <c r="F307" s="151" t="s">
        <v>1161</v>
      </c>
      <c r="G307" s="151" t="s">
        <v>1143</v>
      </c>
      <c r="H307" s="211">
        <v>17497.7</v>
      </c>
      <c r="I307" s="17">
        <f t="shared" si="1"/>
        <v>275554330.70866144</v>
      </c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spans="1:24">
      <c r="A308" s="151" t="s">
        <v>2132</v>
      </c>
      <c r="B308" s="17" t="s">
        <v>2133</v>
      </c>
      <c r="C308" s="211">
        <v>544026</v>
      </c>
      <c r="D308" s="151" t="s">
        <v>2134</v>
      </c>
      <c r="E308" s="211">
        <v>64.2</v>
      </c>
      <c r="F308" s="151" t="s">
        <v>1194</v>
      </c>
      <c r="G308" s="151" t="s">
        <v>1137</v>
      </c>
      <c r="H308" s="211">
        <v>17268.900000000001</v>
      </c>
      <c r="I308" s="17">
        <f t="shared" si="1"/>
        <v>2689859813.0841122</v>
      </c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spans="1:24">
      <c r="A309" s="151" t="s">
        <v>2135</v>
      </c>
      <c r="B309" s="17" t="s">
        <v>2136</v>
      </c>
      <c r="C309" s="211">
        <v>532689</v>
      </c>
      <c r="D309" s="151" t="s">
        <v>2137</v>
      </c>
      <c r="E309" s="211">
        <v>1753.4</v>
      </c>
      <c r="F309" s="151" t="s">
        <v>1803</v>
      </c>
      <c r="G309" s="151" t="s">
        <v>1247</v>
      </c>
      <c r="H309" s="211">
        <v>17204.2</v>
      </c>
      <c r="I309" s="17">
        <f t="shared" si="1"/>
        <v>98119082.924603626</v>
      </c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spans="1:24">
      <c r="A310" s="151" t="s">
        <v>2138</v>
      </c>
      <c r="B310" s="17" t="s">
        <v>2139</v>
      </c>
      <c r="C310" s="211">
        <v>543064</v>
      </c>
      <c r="D310" s="151" t="s">
        <v>2140</v>
      </c>
      <c r="E310" s="211">
        <v>674.8</v>
      </c>
      <c r="F310" s="151" t="s">
        <v>694</v>
      </c>
      <c r="G310" s="151" t="s">
        <v>1224</v>
      </c>
      <c r="H310" s="211">
        <v>17179.3</v>
      </c>
      <c r="I310" s="17">
        <f t="shared" si="1"/>
        <v>254583580.32009485</v>
      </c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spans="1:24">
      <c r="A311" s="151" t="s">
        <v>2141</v>
      </c>
      <c r="B311" s="17" t="s">
        <v>2142</v>
      </c>
      <c r="C311" s="211">
        <v>526612</v>
      </c>
      <c r="D311" s="151" t="s">
        <v>2143</v>
      </c>
      <c r="E311" s="211">
        <v>7168.2</v>
      </c>
      <c r="F311" s="151" t="s">
        <v>1858</v>
      </c>
      <c r="G311" s="151" t="s">
        <v>1280</v>
      </c>
      <c r="H311" s="211">
        <v>17008.599999999999</v>
      </c>
      <c r="I311" s="17">
        <f t="shared" si="1"/>
        <v>23727853.575514078</v>
      </c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spans="1:24">
      <c r="A312" s="151" t="s">
        <v>2144</v>
      </c>
      <c r="B312" s="17" t="s">
        <v>2145</v>
      </c>
      <c r="C312" s="211">
        <v>543635</v>
      </c>
      <c r="D312" s="151" t="s">
        <v>2146</v>
      </c>
      <c r="E312" s="211">
        <v>127.8</v>
      </c>
      <c r="F312" s="151" t="s">
        <v>694</v>
      </c>
      <c r="G312" s="151" t="s">
        <v>1224</v>
      </c>
      <c r="H312" s="211">
        <v>16901.7</v>
      </c>
      <c r="I312" s="17">
        <f t="shared" si="1"/>
        <v>1322511737.0892019</v>
      </c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spans="1:24">
      <c r="A313" s="151" t="s">
        <v>2147</v>
      </c>
      <c r="B313" s="17" t="s">
        <v>2148</v>
      </c>
      <c r="C313" s="211">
        <v>544012</v>
      </c>
      <c r="D313" s="151" t="s">
        <v>2149</v>
      </c>
      <c r="E313" s="211">
        <v>786.2</v>
      </c>
      <c r="F313" s="151" t="s">
        <v>2150</v>
      </c>
      <c r="G313" s="151" t="s">
        <v>1441</v>
      </c>
      <c r="H313" s="211">
        <v>16685.599999999999</v>
      </c>
      <c r="I313" s="17">
        <f t="shared" si="1"/>
        <v>212230984.48232001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spans="1:24">
      <c r="A314" s="151" t="s">
        <v>2151</v>
      </c>
      <c r="B314" s="17" t="s">
        <v>168</v>
      </c>
      <c r="C314" s="211">
        <v>541956</v>
      </c>
      <c r="D314" s="151" t="s">
        <v>2152</v>
      </c>
      <c r="E314" s="211">
        <v>177.1</v>
      </c>
      <c r="F314" s="151" t="s">
        <v>1190</v>
      </c>
      <c r="G314" s="151" t="s">
        <v>1138</v>
      </c>
      <c r="H314" s="211">
        <v>16656.5</v>
      </c>
      <c r="I314" s="17">
        <f t="shared" si="1"/>
        <v>940513833.99209487</v>
      </c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spans="1:24">
      <c r="A315" s="151" t="s">
        <v>2153</v>
      </c>
      <c r="B315" s="17" t="s">
        <v>2154</v>
      </c>
      <c r="C315" s="211">
        <v>522074</v>
      </c>
      <c r="D315" s="151" t="s">
        <v>2155</v>
      </c>
      <c r="E315" s="211">
        <v>524.4</v>
      </c>
      <c r="F315" s="151" t="s">
        <v>1587</v>
      </c>
      <c r="G315" s="151" t="s">
        <v>1141</v>
      </c>
      <c r="H315" s="211">
        <v>16617.099999999999</v>
      </c>
      <c r="I315" s="17">
        <f t="shared" si="1"/>
        <v>316878337.1472159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spans="1:24">
      <c r="A316" s="151" t="s">
        <v>2156</v>
      </c>
      <c r="B316" s="17" t="s">
        <v>2157</v>
      </c>
      <c r="C316" s="211">
        <v>532702</v>
      </c>
      <c r="D316" s="151" t="s">
        <v>2158</v>
      </c>
      <c r="E316" s="211">
        <v>289.5</v>
      </c>
      <c r="F316" s="151" t="s">
        <v>1410</v>
      </c>
      <c r="G316" s="151" t="s">
        <v>1144</v>
      </c>
      <c r="H316" s="211">
        <v>16333.9</v>
      </c>
      <c r="I316" s="17">
        <f t="shared" si="1"/>
        <v>564210708.11744392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spans="1:24">
      <c r="A317" s="151" t="s">
        <v>2159</v>
      </c>
      <c r="B317" s="17" t="s">
        <v>2160</v>
      </c>
      <c r="C317" s="211">
        <v>532926</v>
      </c>
      <c r="D317" s="151" t="s">
        <v>2161</v>
      </c>
      <c r="E317" s="211">
        <v>438.3</v>
      </c>
      <c r="F317" s="151" t="s">
        <v>1172</v>
      </c>
      <c r="G317" s="151" t="s">
        <v>1173</v>
      </c>
      <c r="H317" s="211">
        <v>16094.8</v>
      </c>
      <c r="I317" s="17">
        <f t="shared" si="1"/>
        <v>367209673.73944783</v>
      </c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spans="1:24">
      <c r="A318" s="151" t="s">
        <v>2162</v>
      </c>
      <c r="B318" s="17" t="s">
        <v>2163</v>
      </c>
      <c r="C318" s="211">
        <v>542752</v>
      </c>
      <c r="D318" s="151" t="s">
        <v>2164</v>
      </c>
      <c r="E318" s="211">
        <v>1140.5999999999999</v>
      </c>
      <c r="F318" s="151" t="s">
        <v>1373</v>
      </c>
      <c r="G318" s="151" t="s">
        <v>1143</v>
      </c>
      <c r="H318" s="211">
        <v>15987.9</v>
      </c>
      <c r="I318" s="17">
        <f t="shared" si="1"/>
        <v>140170962.65123621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spans="1:24">
      <c r="A319" s="151" t="s">
        <v>2165</v>
      </c>
      <c r="B319" s="17" t="s">
        <v>2166</v>
      </c>
      <c r="C319" s="211">
        <v>543308</v>
      </c>
      <c r="D319" s="151" t="s">
        <v>2167</v>
      </c>
      <c r="E319" s="211">
        <v>1976.2</v>
      </c>
      <c r="F319" s="151" t="s">
        <v>1445</v>
      </c>
      <c r="G319" s="151" t="s">
        <v>1139</v>
      </c>
      <c r="H319" s="211">
        <v>15815.5</v>
      </c>
      <c r="I319" s="17">
        <f t="shared" si="1"/>
        <v>80029855.277805895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spans="1:24">
      <c r="A320" s="151" t="s">
        <v>2168</v>
      </c>
      <c r="B320" s="17" t="s">
        <v>243</v>
      </c>
      <c r="C320" s="211">
        <v>534091</v>
      </c>
      <c r="D320" s="151" t="s">
        <v>2169</v>
      </c>
      <c r="E320" s="211">
        <v>3068</v>
      </c>
      <c r="F320" s="151" t="s">
        <v>1799</v>
      </c>
      <c r="G320" s="151" t="s">
        <v>1137</v>
      </c>
      <c r="H320" s="211">
        <v>15646.3</v>
      </c>
      <c r="I320" s="17">
        <f t="shared" si="1"/>
        <v>50998370.273794003</v>
      </c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spans="1:24">
      <c r="A321" s="151" t="s">
        <v>2170</v>
      </c>
      <c r="B321" s="17" t="s">
        <v>2171</v>
      </c>
      <c r="C321" s="211">
        <v>542726</v>
      </c>
      <c r="D321" s="151" t="s">
        <v>2172</v>
      </c>
      <c r="E321" s="211">
        <v>2604</v>
      </c>
      <c r="F321" s="151" t="s">
        <v>1373</v>
      </c>
      <c r="G321" s="151" t="s">
        <v>1143</v>
      </c>
      <c r="H321" s="211">
        <v>15618.3</v>
      </c>
      <c r="I321" s="17">
        <f t="shared" si="1"/>
        <v>59978110.599078342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spans="1:24">
      <c r="A322" s="151" t="s">
        <v>2173</v>
      </c>
      <c r="B322" s="17" t="s">
        <v>2174</v>
      </c>
      <c r="C322" s="211">
        <v>540678</v>
      </c>
      <c r="D322" s="151" t="s">
        <v>2175</v>
      </c>
      <c r="E322" s="211">
        <v>1187</v>
      </c>
      <c r="F322" s="151" t="s">
        <v>1279</v>
      </c>
      <c r="G322" s="151" t="s">
        <v>1280</v>
      </c>
      <c r="H322" s="211">
        <v>15613.8</v>
      </c>
      <c r="I322" s="17">
        <f t="shared" si="1"/>
        <v>131540016.84919967</v>
      </c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spans="1:24">
      <c r="A323" s="151" t="s">
        <v>2176</v>
      </c>
      <c r="B323" s="17" t="s">
        <v>2177</v>
      </c>
      <c r="C323" s="211">
        <v>531595</v>
      </c>
      <c r="D323" s="151" t="s">
        <v>2178</v>
      </c>
      <c r="E323" s="211">
        <v>756.2</v>
      </c>
      <c r="F323" s="151" t="s">
        <v>1194</v>
      </c>
      <c r="G323" s="151" t="s">
        <v>1137</v>
      </c>
      <c r="H323" s="211">
        <v>15590.3</v>
      </c>
      <c r="I323" s="17">
        <f t="shared" si="1"/>
        <v>206166358.10632107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spans="1:24">
      <c r="A324" s="151" t="s">
        <v>2179</v>
      </c>
      <c r="B324" s="17" t="s">
        <v>2180</v>
      </c>
      <c r="C324" s="211">
        <v>532714</v>
      </c>
      <c r="D324" s="151" t="s">
        <v>2181</v>
      </c>
      <c r="E324" s="211">
        <v>604.4</v>
      </c>
      <c r="F324" s="151" t="s">
        <v>1323</v>
      </c>
      <c r="G324" s="151" t="s">
        <v>1141</v>
      </c>
      <c r="H324" s="211">
        <v>15539.7</v>
      </c>
      <c r="I324" s="17">
        <f t="shared" si="1"/>
        <v>257109530.1125083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spans="1:24">
      <c r="A325" s="151" t="s">
        <v>2182</v>
      </c>
      <c r="B325" s="17" t="s">
        <v>2183</v>
      </c>
      <c r="C325" s="211">
        <v>500144</v>
      </c>
      <c r="D325" s="151" t="s">
        <v>2184</v>
      </c>
      <c r="E325" s="211">
        <v>1015.2</v>
      </c>
      <c r="F325" s="151" t="s">
        <v>1440</v>
      </c>
      <c r="G325" s="151" t="s">
        <v>1441</v>
      </c>
      <c r="H325" s="211">
        <v>15527.2</v>
      </c>
      <c r="I325" s="17">
        <f t="shared" si="1"/>
        <v>152947202.52167061</v>
      </c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spans="1:24">
      <c r="A326" s="151" t="s">
        <v>2185</v>
      </c>
      <c r="B326" s="17" t="s">
        <v>2186</v>
      </c>
      <c r="C326" s="211">
        <v>534076</v>
      </c>
      <c r="D326" s="151" t="s">
        <v>2187</v>
      </c>
      <c r="E326" s="211">
        <v>750</v>
      </c>
      <c r="F326" s="151" t="s">
        <v>1783</v>
      </c>
      <c r="G326" s="151" t="s">
        <v>1141</v>
      </c>
      <c r="H326" s="211">
        <v>15487.6</v>
      </c>
      <c r="I326" s="17">
        <f t="shared" si="1"/>
        <v>206501333.33333334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spans="1:24">
      <c r="A327" s="151" t="s">
        <v>2188</v>
      </c>
      <c r="B327" s="17" t="s">
        <v>158</v>
      </c>
      <c r="C327" s="211">
        <v>531768</v>
      </c>
      <c r="D327" s="151" t="s">
        <v>2189</v>
      </c>
      <c r="E327" s="211">
        <v>1609.2</v>
      </c>
      <c r="F327" s="151" t="s">
        <v>2190</v>
      </c>
      <c r="G327" s="151" t="s">
        <v>2191</v>
      </c>
      <c r="H327" s="211">
        <v>15444.1</v>
      </c>
      <c r="I327" s="17">
        <f t="shared" si="1"/>
        <v>95973775.789212033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spans="1:24">
      <c r="A328" s="151" t="s">
        <v>2192</v>
      </c>
      <c r="B328" s="17" t="s">
        <v>2193</v>
      </c>
      <c r="C328" s="211">
        <v>543318</v>
      </c>
      <c r="D328" s="151" t="s">
        <v>2194</v>
      </c>
      <c r="E328" s="211">
        <v>1433.7</v>
      </c>
      <c r="F328" s="151" t="s">
        <v>1334</v>
      </c>
      <c r="G328" s="151" t="s">
        <v>1335</v>
      </c>
      <c r="H328" s="211">
        <v>15232.7</v>
      </c>
      <c r="I328" s="17">
        <f t="shared" si="1"/>
        <v>106247471.57703842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spans="1:24">
      <c r="A329" s="151" t="s">
        <v>2195</v>
      </c>
      <c r="B329" s="17" t="s">
        <v>2196</v>
      </c>
      <c r="C329" s="211">
        <v>514162</v>
      </c>
      <c r="D329" s="151" t="s">
        <v>2197</v>
      </c>
      <c r="E329" s="211">
        <v>155.80000000000001</v>
      </c>
      <c r="F329" s="151" t="s">
        <v>1854</v>
      </c>
      <c r="G329" s="151" t="s">
        <v>1216</v>
      </c>
      <c r="H329" s="211">
        <v>15135.9</v>
      </c>
      <c r="I329" s="17">
        <f t="shared" si="1"/>
        <v>971495507.06033373</v>
      </c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spans="1:24">
      <c r="A330" s="151" t="s">
        <v>2198</v>
      </c>
      <c r="B330" s="17" t="s">
        <v>2199</v>
      </c>
      <c r="C330" s="211">
        <v>500378</v>
      </c>
      <c r="D330" s="151" t="s">
        <v>2200</v>
      </c>
      <c r="E330" s="211">
        <v>473</v>
      </c>
      <c r="F330" s="151" t="s">
        <v>1577</v>
      </c>
      <c r="G330" s="151" t="s">
        <v>1141</v>
      </c>
      <c r="H330" s="211">
        <v>15124.4</v>
      </c>
      <c r="I330" s="17">
        <f t="shared" si="1"/>
        <v>319754756.87103593</v>
      </c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spans="1:24">
      <c r="A331" s="151" t="s">
        <v>2201</v>
      </c>
      <c r="B331" s="17" t="s">
        <v>2202</v>
      </c>
      <c r="C331" s="211">
        <v>523367</v>
      </c>
      <c r="D331" s="151" t="s">
        <v>2203</v>
      </c>
      <c r="E331" s="211">
        <v>962.1</v>
      </c>
      <c r="F331" s="151" t="s">
        <v>1334</v>
      </c>
      <c r="G331" s="151" t="s">
        <v>1335</v>
      </c>
      <c r="H331" s="211">
        <v>15003.2</v>
      </c>
      <c r="I331" s="17">
        <f t="shared" si="1"/>
        <v>155942209.74950629</v>
      </c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spans="1:24">
      <c r="A332" s="151" t="s">
        <v>2204</v>
      </c>
      <c r="B332" s="17" t="s">
        <v>41</v>
      </c>
      <c r="C332" s="211">
        <v>500840</v>
      </c>
      <c r="D332" s="151" t="s">
        <v>2205</v>
      </c>
      <c r="E332" s="211">
        <v>239.6</v>
      </c>
      <c r="F332" s="151" t="s">
        <v>1532</v>
      </c>
      <c r="G332" s="151" t="s">
        <v>1533</v>
      </c>
      <c r="H332" s="211">
        <v>14986.9</v>
      </c>
      <c r="I332" s="17">
        <f t="shared" si="1"/>
        <v>625496661.10183644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spans="1:24">
      <c r="A333" s="151" t="s">
        <v>2206</v>
      </c>
      <c r="B333" s="17" t="s">
        <v>2207</v>
      </c>
      <c r="C333" s="211">
        <v>543335</v>
      </c>
      <c r="D333" s="151" t="s">
        <v>2208</v>
      </c>
      <c r="E333" s="211">
        <v>300</v>
      </c>
      <c r="F333" s="151" t="s">
        <v>1886</v>
      </c>
      <c r="G333" s="151" t="s">
        <v>1137</v>
      </c>
      <c r="H333" s="211">
        <v>14967.7</v>
      </c>
      <c r="I333" s="17">
        <f t="shared" si="1"/>
        <v>498923333.33333331</v>
      </c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spans="1:24">
      <c r="A334" s="151" t="s">
        <v>2209</v>
      </c>
      <c r="B334" s="17" t="s">
        <v>2210</v>
      </c>
      <c r="C334" s="211">
        <v>532605</v>
      </c>
      <c r="D334" s="151" t="s">
        <v>2211</v>
      </c>
      <c r="E334" s="211">
        <v>1263.8</v>
      </c>
      <c r="F334" s="151" t="s">
        <v>1507</v>
      </c>
      <c r="G334" s="151" t="s">
        <v>1211</v>
      </c>
      <c r="H334" s="211">
        <v>14944.1</v>
      </c>
      <c r="I334" s="17">
        <f t="shared" si="1"/>
        <v>118247349.26412408</v>
      </c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spans="1:24">
      <c r="A335" s="151" t="s">
        <v>2212</v>
      </c>
      <c r="B335" s="17" t="s">
        <v>2213</v>
      </c>
      <c r="C335" s="211">
        <v>532548</v>
      </c>
      <c r="D335" s="151" t="s">
        <v>2214</v>
      </c>
      <c r="E335" s="211">
        <v>672</v>
      </c>
      <c r="F335" s="151" t="s">
        <v>2215</v>
      </c>
      <c r="G335" s="151" t="s">
        <v>2216</v>
      </c>
      <c r="H335" s="211">
        <v>14930</v>
      </c>
      <c r="I335" s="17">
        <f t="shared" si="1"/>
        <v>222172619.04761904</v>
      </c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spans="1:24">
      <c r="A336" s="151" t="s">
        <v>2217</v>
      </c>
      <c r="B336" s="17" t="s">
        <v>2218</v>
      </c>
      <c r="C336" s="211">
        <v>533573</v>
      </c>
      <c r="D336" s="151" t="s">
        <v>2219</v>
      </c>
      <c r="E336" s="211">
        <v>752.2</v>
      </c>
      <c r="F336" s="151" t="s">
        <v>694</v>
      </c>
      <c r="G336" s="151" t="s">
        <v>1224</v>
      </c>
      <c r="H336" s="211">
        <v>14785.5</v>
      </c>
      <c r="I336" s="17">
        <f t="shared" si="1"/>
        <v>196563413.98564211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spans="1:24">
      <c r="A337" s="151" t="s">
        <v>2220</v>
      </c>
      <c r="B337" s="17" t="s">
        <v>27</v>
      </c>
      <c r="C337" s="211">
        <v>500040</v>
      </c>
      <c r="D337" s="151" t="s">
        <v>2221</v>
      </c>
      <c r="E337" s="211">
        <v>1309.2</v>
      </c>
      <c r="F337" s="151" t="s">
        <v>2222</v>
      </c>
      <c r="G337" s="151" t="s">
        <v>1229</v>
      </c>
      <c r="H337" s="211">
        <v>14623.8</v>
      </c>
      <c r="I337" s="17">
        <f t="shared" si="1"/>
        <v>111700274.97708523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spans="1:24">
      <c r="A338" s="151" t="s">
        <v>2223</v>
      </c>
      <c r="B338" s="17" t="s">
        <v>2224</v>
      </c>
      <c r="C338" s="211">
        <v>532527</v>
      </c>
      <c r="D338" s="151" t="s">
        <v>2225</v>
      </c>
      <c r="E338" s="211">
        <v>798</v>
      </c>
      <c r="F338" s="151" t="s">
        <v>1577</v>
      </c>
      <c r="G338" s="151" t="s">
        <v>1141</v>
      </c>
      <c r="H338" s="211">
        <v>14426.8</v>
      </c>
      <c r="I338" s="17">
        <f t="shared" si="1"/>
        <v>180786967.41854638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spans="1:24">
      <c r="A339" s="151" t="s">
        <v>2226</v>
      </c>
      <c r="B339" s="17" t="s">
        <v>2227</v>
      </c>
      <c r="C339" s="211">
        <v>543664</v>
      </c>
      <c r="D339" s="151" t="s">
        <v>2228</v>
      </c>
      <c r="E339" s="211">
        <v>2467.8000000000002</v>
      </c>
      <c r="F339" s="151" t="s">
        <v>1440</v>
      </c>
      <c r="G339" s="151" t="s">
        <v>1441</v>
      </c>
      <c r="H339" s="211">
        <v>14348.7</v>
      </c>
      <c r="I339" s="17">
        <f t="shared" si="1"/>
        <v>58143690.736688547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spans="1:24">
      <c r="A340" s="151" t="s">
        <v>2229</v>
      </c>
      <c r="B340" s="17" t="s">
        <v>2230</v>
      </c>
      <c r="C340" s="211">
        <v>540065</v>
      </c>
      <c r="D340" s="151" t="s">
        <v>2231</v>
      </c>
      <c r="E340" s="211">
        <v>238</v>
      </c>
      <c r="F340" s="151" t="s">
        <v>1165</v>
      </c>
      <c r="G340" s="151" t="s">
        <v>1137</v>
      </c>
      <c r="H340" s="211">
        <v>14343.1</v>
      </c>
      <c r="I340" s="17">
        <f t="shared" si="1"/>
        <v>602651260.50420165</v>
      </c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spans="1:24">
      <c r="A341" s="151" t="s">
        <v>2232</v>
      </c>
      <c r="B341" s="17" t="s">
        <v>2233</v>
      </c>
      <c r="C341" s="211">
        <v>543232</v>
      </c>
      <c r="D341" s="151" t="s">
        <v>2234</v>
      </c>
      <c r="E341" s="211">
        <v>2910</v>
      </c>
      <c r="F341" s="151" t="s">
        <v>1930</v>
      </c>
      <c r="G341" s="151" t="s">
        <v>1137</v>
      </c>
      <c r="H341" s="211">
        <v>14294.6</v>
      </c>
      <c r="I341" s="17">
        <f t="shared" si="1"/>
        <v>49122336.769759454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spans="1:24">
      <c r="A342" s="151" t="s">
        <v>2235</v>
      </c>
      <c r="B342" s="17" t="s">
        <v>2236</v>
      </c>
      <c r="C342" s="211">
        <v>524816</v>
      </c>
      <c r="D342" s="151" t="s">
        <v>2237</v>
      </c>
      <c r="E342" s="211">
        <v>795</v>
      </c>
      <c r="F342" s="151" t="s">
        <v>694</v>
      </c>
      <c r="G342" s="151" t="s">
        <v>1224</v>
      </c>
      <c r="H342" s="211">
        <v>14239.2</v>
      </c>
      <c r="I342" s="17">
        <f t="shared" si="1"/>
        <v>179109433.96226415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spans="1:24">
      <c r="A343" s="151" t="s">
        <v>2238</v>
      </c>
      <c r="B343" s="17" t="s">
        <v>2239</v>
      </c>
      <c r="C343" s="211">
        <v>531213</v>
      </c>
      <c r="D343" s="151" t="s">
        <v>2240</v>
      </c>
      <c r="E343" s="211">
        <v>168.1</v>
      </c>
      <c r="F343" s="151" t="s">
        <v>1194</v>
      </c>
      <c r="G343" s="151" t="s">
        <v>1137</v>
      </c>
      <c r="H343" s="211">
        <v>14228.6</v>
      </c>
      <c r="I343" s="17">
        <f t="shared" si="1"/>
        <v>846436644.85425341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spans="1:24">
      <c r="A344" s="151" t="s">
        <v>2241</v>
      </c>
      <c r="B344" s="17" t="s">
        <v>2242</v>
      </c>
      <c r="C344" s="211">
        <v>500252</v>
      </c>
      <c r="D344" s="151" t="s">
        <v>2243</v>
      </c>
      <c r="E344" s="211">
        <v>13271.2</v>
      </c>
      <c r="F344" s="151" t="s">
        <v>1587</v>
      </c>
      <c r="G344" s="151" t="s">
        <v>1141</v>
      </c>
      <c r="H344" s="211">
        <v>14177.6</v>
      </c>
      <c r="I344" s="17">
        <f t="shared" si="1"/>
        <v>10682982.699379105</v>
      </c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spans="1:24">
      <c r="A345" s="151" t="s">
        <v>2244</v>
      </c>
      <c r="B345" s="17" t="s">
        <v>2245</v>
      </c>
      <c r="C345" s="211">
        <v>500265</v>
      </c>
      <c r="D345" s="151" t="s">
        <v>2246</v>
      </c>
      <c r="E345" s="211">
        <v>1054</v>
      </c>
      <c r="F345" s="151" t="s">
        <v>1272</v>
      </c>
      <c r="G345" s="151" t="s">
        <v>1142</v>
      </c>
      <c r="H345" s="211">
        <v>14124.2</v>
      </c>
      <c r="I345" s="17">
        <f t="shared" si="1"/>
        <v>134005692.59962049</v>
      </c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spans="1:24">
      <c r="A346" s="151" t="s">
        <v>2247</v>
      </c>
      <c r="B346" s="17" t="s">
        <v>2248</v>
      </c>
      <c r="C346" s="211">
        <v>540595</v>
      </c>
      <c r="D346" s="151" t="s">
        <v>2249</v>
      </c>
      <c r="E346" s="211">
        <v>830.8</v>
      </c>
      <c r="F346" s="151" t="s">
        <v>1622</v>
      </c>
      <c r="G346" s="151" t="s">
        <v>1179</v>
      </c>
      <c r="H346" s="211">
        <v>14121</v>
      </c>
      <c r="I346" s="17">
        <f t="shared" si="1"/>
        <v>169968704.86278287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spans="1:24">
      <c r="A347" s="151" t="s">
        <v>2250</v>
      </c>
      <c r="B347" s="17" t="s">
        <v>2251</v>
      </c>
      <c r="C347" s="211">
        <v>515030</v>
      </c>
      <c r="D347" s="151" t="s">
        <v>2252</v>
      </c>
      <c r="E347" s="211">
        <v>580.29999999999995</v>
      </c>
      <c r="F347" s="151" t="s">
        <v>1507</v>
      </c>
      <c r="G347" s="151" t="s">
        <v>1211</v>
      </c>
      <c r="H347" s="211">
        <v>14106.5</v>
      </c>
      <c r="I347" s="17">
        <f t="shared" si="1"/>
        <v>243089781.14768225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spans="1:24">
      <c r="A348" s="151" t="s">
        <v>2253</v>
      </c>
      <c r="B348" s="17" t="s">
        <v>2254</v>
      </c>
      <c r="C348" s="211">
        <v>500870</v>
      </c>
      <c r="D348" s="151" t="s">
        <v>2255</v>
      </c>
      <c r="E348" s="211">
        <v>142.1</v>
      </c>
      <c r="F348" s="151" t="s">
        <v>1300</v>
      </c>
      <c r="G348" s="151" t="s">
        <v>1158</v>
      </c>
      <c r="H348" s="211">
        <v>14055.4</v>
      </c>
      <c r="I348" s="17">
        <f t="shared" si="1"/>
        <v>989120337.79028857</v>
      </c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spans="1:24">
      <c r="A349" s="151" t="s">
        <v>2256</v>
      </c>
      <c r="B349" s="17" t="s">
        <v>1124</v>
      </c>
      <c r="C349" s="211">
        <v>532144</v>
      </c>
      <c r="D349" s="151" t="s">
        <v>2257</v>
      </c>
      <c r="E349" s="211">
        <v>536</v>
      </c>
      <c r="F349" s="151" t="s">
        <v>1675</v>
      </c>
      <c r="G349" s="151" t="s">
        <v>1142</v>
      </c>
      <c r="H349" s="211">
        <v>14024</v>
      </c>
      <c r="I349" s="17">
        <f t="shared" si="1"/>
        <v>261641791.04477611</v>
      </c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spans="1:24">
      <c r="A350" s="151" t="s">
        <v>2258</v>
      </c>
      <c r="B350" s="17" t="s">
        <v>2259</v>
      </c>
      <c r="C350" s="211">
        <v>534309</v>
      </c>
      <c r="D350" s="151" t="s">
        <v>2260</v>
      </c>
      <c r="E350" s="211">
        <v>77.599999999999994</v>
      </c>
      <c r="F350" s="151" t="s">
        <v>1190</v>
      </c>
      <c r="G350" s="151" t="s">
        <v>1138</v>
      </c>
      <c r="H350" s="211">
        <v>13959</v>
      </c>
      <c r="I350" s="17">
        <f t="shared" si="1"/>
        <v>1798840206.1855671</v>
      </c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spans="1:24">
      <c r="A351" s="151" t="s">
        <v>2261</v>
      </c>
      <c r="B351" s="17" t="s">
        <v>2262</v>
      </c>
      <c r="C351" s="211">
        <v>543960</v>
      </c>
      <c r="D351" s="151" t="s">
        <v>2263</v>
      </c>
      <c r="E351" s="211">
        <v>1326.9</v>
      </c>
      <c r="F351" s="151" t="s">
        <v>1871</v>
      </c>
      <c r="G351" s="151" t="s">
        <v>1224</v>
      </c>
      <c r="H351" s="211">
        <v>13881.5</v>
      </c>
      <c r="I351" s="17">
        <f t="shared" si="1"/>
        <v>104616022.30763432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spans="1:24">
      <c r="A352" s="151" t="s">
        <v>2264</v>
      </c>
      <c r="B352" s="17" t="s">
        <v>2265</v>
      </c>
      <c r="C352" s="211">
        <v>532181</v>
      </c>
      <c r="D352" s="151" t="s">
        <v>2266</v>
      </c>
      <c r="E352" s="211">
        <v>434</v>
      </c>
      <c r="F352" s="151" t="s">
        <v>1262</v>
      </c>
      <c r="G352" s="151" t="s">
        <v>1142</v>
      </c>
      <c r="H352" s="211">
        <v>13801.2</v>
      </c>
      <c r="I352" s="17">
        <f t="shared" si="1"/>
        <v>318000000</v>
      </c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spans="1:24">
      <c r="A353" s="151" t="s">
        <v>2267</v>
      </c>
      <c r="B353" s="17" t="s">
        <v>2268</v>
      </c>
      <c r="C353" s="211">
        <v>500084</v>
      </c>
      <c r="D353" s="151" t="s">
        <v>2269</v>
      </c>
      <c r="E353" s="211">
        <v>104</v>
      </c>
      <c r="F353" s="151" t="s">
        <v>1242</v>
      </c>
      <c r="G353" s="151" t="s">
        <v>1144</v>
      </c>
      <c r="H353" s="211">
        <v>13779.3</v>
      </c>
      <c r="I353" s="17">
        <f t="shared" si="1"/>
        <v>1324932692.3076923</v>
      </c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spans="1:24">
      <c r="A354" s="151" t="s">
        <v>2270</v>
      </c>
      <c r="B354" s="17" t="s">
        <v>2271</v>
      </c>
      <c r="C354" s="211">
        <v>533272</v>
      </c>
      <c r="D354" s="151" t="s">
        <v>2272</v>
      </c>
      <c r="E354" s="211">
        <v>343.8</v>
      </c>
      <c r="F354" s="151" t="s">
        <v>1259</v>
      </c>
      <c r="G354" s="151" t="s">
        <v>1211</v>
      </c>
      <c r="H354" s="211">
        <v>13732.4</v>
      </c>
      <c r="I354" s="17">
        <f t="shared" si="1"/>
        <v>399429901.10529375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spans="1:24">
      <c r="A355" s="151" t="s">
        <v>2273</v>
      </c>
      <c r="B355" s="17" t="s">
        <v>2274</v>
      </c>
      <c r="C355" s="211">
        <v>543653</v>
      </c>
      <c r="D355" s="151" t="s">
        <v>2275</v>
      </c>
      <c r="E355" s="211">
        <v>547.9</v>
      </c>
      <c r="F355" s="151" t="s">
        <v>1255</v>
      </c>
      <c r="G355" s="151" t="s">
        <v>1173</v>
      </c>
      <c r="H355" s="211">
        <v>13698.6</v>
      </c>
      <c r="I355" s="17">
        <f t="shared" si="1"/>
        <v>250020076.65632415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spans="1:24">
      <c r="A356" s="151" t="s">
        <v>2276</v>
      </c>
      <c r="B356" s="17" t="s">
        <v>2277</v>
      </c>
      <c r="C356" s="211">
        <v>533655</v>
      </c>
      <c r="D356" s="151" t="s">
        <v>2278</v>
      </c>
      <c r="E356" s="211">
        <v>430.3</v>
      </c>
      <c r="F356" s="151" t="s">
        <v>1323</v>
      </c>
      <c r="G356" s="151" t="s">
        <v>1141</v>
      </c>
      <c r="H356" s="211">
        <v>13678.2</v>
      </c>
      <c r="I356" s="17">
        <f t="shared" si="1"/>
        <v>317875900.53451079</v>
      </c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spans="1:24">
      <c r="A357" s="151" t="s">
        <v>2279</v>
      </c>
      <c r="B357" s="17" t="s">
        <v>2280</v>
      </c>
      <c r="C357" s="211">
        <v>505533</v>
      </c>
      <c r="D357" s="151" t="s">
        <v>2281</v>
      </c>
      <c r="E357" s="211">
        <v>875</v>
      </c>
      <c r="F357" s="151" t="s">
        <v>1752</v>
      </c>
      <c r="G357" s="151" t="s">
        <v>1533</v>
      </c>
      <c r="H357" s="211">
        <v>13644.4</v>
      </c>
      <c r="I357" s="17">
        <f t="shared" si="1"/>
        <v>155936000</v>
      </c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spans="1:24">
      <c r="A358" s="151" t="s">
        <v>2282</v>
      </c>
      <c r="B358" s="17" t="s">
        <v>2283</v>
      </c>
      <c r="C358" s="211">
        <v>500085</v>
      </c>
      <c r="D358" s="151" t="s">
        <v>2284</v>
      </c>
      <c r="E358" s="211">
        <v>323.2</v>
      </c>
      <c r="F358" s="151" t="s">
        <v>1650</v>
      </c>
      <c r="G358" s="151" t="s">
        <v>1650</v>
      </c>
      <c r="H358" s="211">
        <v>13449.8</v>
      </c>
      <c r="I358" s="17">
        <f t="shared" si="1"/>
        <v>416144801.98019803</v>
      </c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spans="1:24">
      <c r="A359" s="151" t="s">
        <v>2285</v>
      </c>
      <c r="B359" s="17" t="s">
        <v>2286</v>
      </c>
      <c r="C359" s="211">
        <v>543334</v>
      </c>
      <c r="D359" s="151" t="s">
        <v>2287</v>
      </c>
      <c r="E359" s="211">
        <v>373</v>
      </c>
      <c r="F359" s="151" t="s">
        <v>1238</v>
      </c>
      <c r="G359" s="151" t="s">
        <v>1138</v>
      </c>
      <c r="H359" s="211">
        <v>13321.9</v>
      </c>
      <c r="I359" s="17">
        <f t="shared" si="1"/>
        <v>357155495.97855228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spans="1:24">
      <c r="A360" s="151" t="s">
        <v>2288</v>
      </c>
      <c r="B360" s="17" t="s">
        <v>2289</v>
      </c>
      <c r="C360" s="211">
        <v>500008</v>
      </c>
      <c r="D360" s="151" t="s">
        <v>2290</v>
      </c>
      <c r="E360" s="211">
        <v>774.3</v>
      </c>
      <c r="F360" s="151" t="s">
        <v>1507</v>
      </c>
      <c r="G360" s="151" t="s">
        <v>1211</v>
      </c>
      <c r="H360" s="211">
        <v>13226</v>
      </c>
      <c r="I360" s="17">
        <f t="shared" si="1"/>
        <v>170812346.63567093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spans="1:24">
      <c r="A361" s="151" t="s">
        <v>2291</v>
      </c>
      <c r="B361" s="17" t="s">
        <v>2292</v>
      </c>
      <c r="C361" s="211">
        <v>543768</v>
      </c>
      <c r="D361" s="151" t="s">
        <v>2293</v>
      </c>
      <c r="E361" s="211">
        <v>44.8</v>
      </c>
      <c r="F361" s="151" t="s">
        <v>1272</v>
      </c>
      <c r="G361" s="151" t="s">
        <v>1142</v>
      </c>
      <c r="H361" s="211">
        <v>13143.8</v>
      </c>
      <c r="I361" s="17">
        <f t="shared" si="1"/>
        <v>2933883928.5714288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spans="1:24">
      <c r="A362" s="151" t="s">
        <v>2294</v>
      </c>
      <c r="B362" s="17" t="s">
        <v>2295</v>
      </c>
      <c r="C362" s="211">
        <v>541557</v>
      </c>
      <c r="D362" s="151" t="s">
        <v>2296</v>
      </c>
      <c r="E362" s="211">
        <v>4277.3999999999996</v>
      </c>
      <c r="F362" s="151" t="s">
        <v>1334</v>
      </c>
      <c r="G362" s="151" t="s">
        <v>1335</v>
      </c>
      <c r="H362" s="211">
        <v>13114.7</v>
      </c>
      <c r="I362" s="17">
        <f t="shared" si="1"/>
        <v>30660447.935661852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spans="1:24">
      <c r="A363" s="151" t="s">
        <v>2297</v>
      </c>
      <c r="B363" s="17" t="s">
        <v>2298</v>
      </c>
      <c r="C363" s="211">
        <v>543374</v>
      </c>
      <c r="D363" s="151" t="s">
        <v>2299</v>
      </c>
      <c r="E363" s="211">
        <v>452.8</v>
      </c>
      <c r="F363" s="151" t="s">
        <v>1517</v>
      </c>
      <c r="G363" s="151" t="s">
        <v>1137</v>
      </c>
      <c r="H363" s="211">
        <v>13044.4</v>
      </c>
      <c r="I363" s="17">
        <f t="shared" si="1"/>
        <v>288083038.86925793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spans="1:24">
      <c r="A364" s="151" t="s">
        <v>2300</v>
      </c>
      <c r="B364" s="17" t="s">
        <v>147</v>
      </c>
      <c r="C364" s="211">
        <v>532953</v>
      </c>
      <c r="D364" s="151" t="s">
        <v>2301</v>
      </c>
      <c r="E364" s="211">
        <v>300.39999999999998</v>
      </c>
      <c r="F364" s="151" t="s">
        <v>1440</v>
      </c>
      <c r="G364" s="151" t="s">
        <v>1441</v>
      </c>
      <c r="H364" s="211">
        <v>13027.7</v>
      </c>
      <c r="I364" s="17">
        <f t="shared" si="1"/>
        <v>433678428.76165116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spans="1:24">
      <c r="A365" s="151" t="s">
        <v>2302</v>
      </c>
      <c r="B365" s="17" t="s">
        <v>2303</v>
      </c>
      <c r="C365" s="211">
        <v>500042</v>
      </c>
      <c r="D365" s="151" t="s">
        <v>2304</v>
      </c>
      <c r="E365" s="211">
        <v>3005</v>
      </c>
      <c r="F365" s="151" t="s">
        <v>1334</v>
      </c>
      <c r="G365" s="151" t="s">
        <v>1335</v>
      </c>
      <c r="H365" s="211">
        <v>13007.5</v>
      </c>
      <c r="I365" s="17">
        <f t="shared" si="1"/>
        <v>43286189.683860235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spans="1:24">
      <c r="A366" s="151" t="s">
        <v>2305</v>
      </c>
      <c r="B366" s="17" t="s">
        <v>545</v>
      </c>
      <c r="C366" s="211">
        <v>532927</v>
      </c>
      <c r="D366" s="151" t="s">
        <v>2306</v>
      </c>
      <c r="E366" s="211">
        <v>2629.6</v>
      </c>
      <c r="F366" s="151" t="s">
        <v>2307</v>
      </c>
      <c r="G366" s="151" t="s">
        <v>1143</v>
      </c>
      <c r="H366" s="211">
        <v>12891.7</v>
      </c>
      <c r="I366" s="17">
        <f t="shared" si="1"/>
        <v>49025327.045938544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spans="1:24">
      <c r="A367" s="151" t="s">
        <v>2308</v>
      </c>
      <c r="B367" s="17" t="s">
        <v>2309</v>
      </c>
      <c r="C367" s="211">
        <v>540750</v>
      </c>
      <c r="D367" s="151" t="s">
        <v>2310</v>
      </c>
      <c r="E367" s="211">
        <v>144.6</v>
      </c>
      <c r="F367" s="151" t="s">
        <v>1799</v>
      </c>
      <c r="G367" s="151" t="s">
        <v>1137</v>
      </c>
      <c r="H367" s="211">
        <v>12889.4</v>
      </c>
      <c r="I367" s="17">
        <f t="shared" si="1"/>
        <v>891383125.86445367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spans="1:24">
      <c r="A368" s="151" t="s">
        <v>2311</v>
      </c>
      <c r="B368" s="17" t="s">
        <v>10</v>
      </c>
      <c r="C368" s="211">
        <v>500003</v>
      </c>
      <c r="D368" s="151" t="s">
        <v>2312</v>
      </c>
      <c r="E368" s="211">
        <v>365.6</v>
      </c>
      <c r="F368" s="151" t="s">
        <v>1300</v>
      </c>
      <c r="G368" s="151" t="s">
        <v>1158</v>
      </c>
      <c r="H368" s="211">
        <v>12834.3</v>
      </c>
      <c r="I368" s="17">
        <f t="shared" si="1"/>
        <v>351047592.99781179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spans="1:24">
      <c r="A369" s="151" t="s">
        <v>2313</v>
      </c>
      <c r="B369" s="17" t="s">
        <v>2314</v>
      </c>
      <c r="C369" s="211">
        <v>500940</v>
      </c>
      <c r="D369" s="151" t="s">
        <v>2315</v>
      </c>
      <c r="E369" s="211">
        <v>206.7</v>
      </c>
      <c r="F369" s="151" t="s">
        <v>1546</v>
      </c>
      <c r="G369" s="151" t="s">
        <v>1141</v>
      </c>
      <c r="H369" s="211">
        <v>12825.3</v>
      </c>
      <c r="I369" s="17">
        <f t="shared" si="1"/>
        <v>620478955.00725698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spans="1:24">
      <c r="A370" s="151" t="s">
        <v>2316</v>
      </c>
      <c r="B370" s="17" t="s">
        <v>2317</v>
      </c>
      <c r="C370" s="211">
        <v>543227</v>
      </c>
      <c r="D370" s="151" t="s">
        <v>2318</v>
      </c>
      <c r="E370" s="211">
        <v>839.6</v>
      </c>
      <c r="F370" s="151" t="s">
        <v>1161</v>
      </c>
      <c r="G370" s="151" t="s">
        <v>1143</v>
      </c>
      <c r="H370" s="211">
        <v>12785</v>
      </c>
      <c r="I370" s="17">
        <f t="shared" si="1"/>
        <v>152274892.80609813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spans="1:24">
      <c r="A371" s="151" t="s">
        <v>2319</v>
      </c>
      <c r="B371" s="17" t="s">
        <v>2320</v>
      </c>
      <c r="C371" s="211">
        <v>540203</v>
      </c>
      <c r="D371" s="151" t="s">
        <v>2321</v>
      </c>
      <c r="E371" s="211">
        <v>1167.0999999999999</v>
      </c>
      <c r="F371" s="151" t="s">
        <v>1220</v>
      </c>
      <c r="G371" s="151" t="s">
        <v>1139</v>
      </c>
      <c r="H371" s="211">
        <v>12686.1</v>
      </c>
      <c r="I371" s="17">
        <f t="shared" si="1"/>
        <v>108697626.59583583</v>
      </c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spans="1:24">
      <c r="A372" s="151" t="s">
        <v>2322</v>
      </c>
      <c r="B372" s="17" t="s">
        <v>2323</v>
      </c>
      <c r="C372" s="211">
        <v>532966</v>
      </c>
      <c r="D372" s="151" t="s">
        <v>2324</v>
      </c>
      <c r="E372" s="211">
        <v>994.1</v>
      </c>
      <c r="F372" s="151" t="s">
        <v>1259</v>
      </c>
      <c r="G372" s="151" t="s">
        <v>1211</v>
      </c>
      <c r="H372" s="211">
        <v>12642.1</v>
      </c>
      <c r="I372" s="17">
        <f t="shared" si="1"/>
        <v>127171310.73332663</v>
      </c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spans="1:24">
      <c r="A373" s="151" t="s">
        <v>2325</v>
      </c>
      <c r="B373" s="17" t="s">
        <v>2326</v>
      </c>
      <c r="C373" s="211">
        <v>532805</v>
      </c>
      <c r="D373" s="151" t="s">
        <v>2327</v>
      </c>
      <c r="E373" s="211">
        <v>161</v>
      </c>
      <c r="F373" s="151" t="s">
        <v>1228</v>
      </c>
      <c r="G373" s="151" t="s">
        <v>1229</v>
      </c>
      <c r="H373" s="211">
        <v>12585.6</v>
      </c>
      <c r="I373" s="17">
        <f t="shared" si="1"/>
        <v>781714285.71428573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spans="1:24">
      <c r="A374" s="151" t="s">
        <v>2328</v>
      </c>
      <c r="B374" s="17" t="s">
        <v>2329</v>
      </c>
      <c r="C374" s="211">
        <v>590003</v>
      </c>
      <c r="D374" s="151" t="s">
        <v>2330</v>
      </c>
      <c r="E374" s="211">
        <v>155.9</v>
      </c>
      <c r="F374" s="151" t="s">
        <v>1165</v>
      </c>
      <c r="G374" s="151" t="s">
        <v>1137</v>
      </c>
      <c r="H374" s="211">
        <v>12514.7</v>
      </c>
      <c r="I374" s="17">
        <f t="shared" si="1"/>
        <v>802738935.2148813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spans="1:24">
      <c r="A375" s="151" t="s">
        <v>2331</v>
      </c>
      <c r="B375" s="17" t="s">
        <v>244</v>
      </c>
      <c r="C375" s="211">
        <v>540596</v>
      </c>
      <c r="D375" s="151" t="s">
        <v>2332</v>
      </c>
      <c r="E375" s="211">
        <v>918.8</v>
      </c>
      <c r="F375" s="151" t="s">
        <v>694</v>
      </c>
      <c r="G375" s="151" t="s">
        <v>1224</v>
      </c>
      <c r="H375" s="211">
        <v>12497.1</v>
      </c>
      <c r="I375" s="17">
        <f t="shared" si="1"/>
        <v>136015454.9412277</v>
      </c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spans="1:24">
      <c r="A376" s="151" t="s">
        <v>2333</v>
      </c>
      <c r="B376" s="17" t="s">
        <v>2334</v>
      </c>
      <c r="C376" s="211">
        <v>544014</v>
      </c>
      <c r="D376" s="151" t="s">
        <v>2335</v>
      </c>
      <c r="E376" s="211">
        <v>387.7</v>
      </c>
      <c r="F376" s="151" t="s">
        <v>1172</v>
      </c>
      <c r="G376" s="151" t="s">
        <v>1173</v>
      </c>
      <c r="H376" s="211">
        <v>12474.1</v>
      </c>
      <c r="I376" s="17">
        <f t="shared" si="1"/>
        <v>321746195.51199383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spans="1:24">
      <c r="A377" s="151" t="s">
        <v>2336</v>
      </c>
      <c r="B377" s="17" t="s">
        <v>2337</v>
      </c>
      <c r="C377" s="211">
        <v>532809</v>
      </c>
      <c r="D377" s="151" t="s">
        <v>2338</v>
      </c>
      <c r="E377" s="211">
        <v>177.8</v>
      </c>
      <c r="F377" s="151" t="s">
        <v>2307</v>
      </c>
      <c r="G377" s="151" t="s">
        <v>1143</v>
      </c>
      <c r="H377" s="211">
        <v>12392.5</v>
      </c>
      <c r="I377" s="17">
        <f t="shared" si="1"/>
        <v>696991001.12485933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spans="1:24">
      <c r="A378" s="151" t="s">
        <v>2339</v>
      </c>
      <c r="B378" s="17" t="s">
        <v>2340</v>
      </c>
      <c r="C378" s="211">
        <v>532790</v>
      </c>
      <c r="D378" s="151" t="s">
        <v>2341</v>
      </c>
      <c r="E378" s="211">
        <v>921</v>
      </c>
      <c r="F378" s="151" t="s">
        <v>1373</v>
      </c>
      <c r="G378" s="151" t="s">
        <v>1143</v>
      </c>
      <c r="H378" s="211">
        <v>12383.1</v>
      </c>
      <c r="I378" s="17">
        <f t="shared" si="1"/>
        <v>134452768.72964171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spans="1:24">
      <c r="A379" s="151" t="s">
        <v>2342</v>
      </c>
      <c r="B379" s="17" t="s">
        <v>2343</v>
      </c>
      <c r="C379" s="211">
        <v>500620</v>
      </c>
      <c r="D379" s="151" t="s">
        <v>2344</v>
      </c>
      <c r="E379" s="211">
        <v>866.1</v>
      </c>
      <c r="F379" s="151" t="s">
        <v>1720</v>
      </c>
      <c r="G379" s="151" t="s">
        <v>1280</v>
      </c>
      <c r="H379" s="211">
        <v>12365.1</v>
      </c>
      <c r="I379" s="17">
        <f t="shared" si="1"/>
        <v>142767578.80152407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spans="1:24">
      <c r="A380" s="151" t="s">
        <v>2345</v>
      </c>
      <c r="B380" s="17" t="s">
        <v>2346</v>
      </c>
      <c r="C380" s="211">
        <v>520056</v>
      </c>
      <c r="D380" s="151" t="s">
        <v>2347</v>
      </c>
      <c r="E380" s="211">
        <v>6082</v>
      </c>
      <c r="F380" s="151" t="s">
        <v>1507</v>
      </c>
      <c r="G380" s="151" t="s">
        <v>1211</v>
      </c>
      <c r="H380" s="211">
        <v>12305.3</v>
      </c>
      <c r="I380" s="17">
        <f t="shared" si="1"/>
        <v>20232324.893127263</v>
      </c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spans="1:24">
      <c r="A381" s="151" t="s">
        <v>2348</v>
      </c>
      <c r="B381" s="17" t="s">
        <v>58</v>
      </c>
      <c r="C381" s="211">
        <v>504067</v>
      </c>
      <c r="D381" s="151" t="s">
        <v>2349</v>
      </c>
      <c r="E381" s="211">
        <v>540.20000000000005</v>
      </c>
      <c r="F381" s="151" t="s">
        <v>1161</v>
      </c>
      <c r="G381" s="151" t="s">
        <v>1143</v>
      </c>
      <c r="H381" s="211">
        <v>12236.7</v>
      </c>
      <c r="I381" s="17">
        <f t="shared" si="1"/>
        <v>226521658.64494631</v>
      </c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spans="1:24">
      <c r="A382" s="151" t="s">
        <v>2350</v>
      </c>
      <c r="B382" s="17" t="s">
        <v>2351</v>
      </c>
      <c r="C382" s="211">
        <v>542399</v>
      </c>
      <c r="D382" s="151" t="s">
        <v>2352</v>
      </c>
      <c r="E382" s="211">
        <v>588.79999999999995</v>
      </c>
      <c r="F382" s="151" t="s">
        <v>1532</v>
      </c>
      <c r="G382" s="151" t="s">
        <v>1533</v>
      </c>
      <c r="H382" s="211">
        <v>12094.7</v>
      </c>
      <c r="I382" s="17">
        <f t="shared" si="1"/>
        <v>205412703.80434784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spans="1:24">
      <c r="A383" s="151" t="s">
        <v>2353</v>
      </c>
      <c r="B383" s="17" t="s">
        <v>57</v>
      </c>
      <c r="C383" s="211">
        <v>500249</v>
      </c>
      <c r="D383" s="151" t="s">
        <v>2354</v>
      </c>
      <c r="E383" s="211">
        <v>3474</v>
      </c>
      <c r="F383" s="151" t="s">
        <v>1587</v>
      </c>
      <c r="G383" s="151" t="s">
        <v>1141</v>
      </c>
      <c r="H383" s="211">
        <v>12092.1</v>
      </c>
      <c r="I383" s="17">
        <f t="shared" si="1"/>
        <v>34807426.597582035</v>
      </c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spans="1:24">
      <c r="A384" s="151" t="s">
        <v>2355</v>
      </c>
      <c r="B384" s="17" t="s">
        <v>2356</v>
      </c>
      <c r="C384" s="211">
        <v>543425</v>
      </c>
      <c r="D384" s="151" t="s">
        <v>2357</v>
      </c>
      <c r="E384" s="211">
        <v>2221.5</v>
      </c>
      <c r="F384" s="151" t="s">
        <v>1373</v>
      </c>
      <c r="G384" s="151" t="s">
        <v>1143</v>
      </c>
      <c r="H384" s="211">
        <v>12006.8</v>
      </c>
      <c r="I384" s="17">
        <f t="shared" si="1"/>
        <v>54048165.653837495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spans="1:24">
      <c r="A385" s="151" t="s">
        <v>2358</v>
      </c>
      <c r="B385" s="17" t="s">
        <v>2359</v>
      </c>
      <c r="C385" s="211">
        <v>543299</v>
      </c>
      <c r="D385" s="151" t="s">
        <v>2360</v>
      </c>
      <c r="E385" s="211">
        <v>470.4</v>
      </c>
      <c r="F385" s="151" t="s">
        <v>1272</v>
      </c>
      <c r="G385" s="151" t="s">
        <v>1142</v>
      </c>
      <c r="H385" s="211">
        <v>11999</v>
      </c>
      <c r="I385" s="17">
        <f t="shared" si="1"/>
        <v>255080782.31292519</v>
      </c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spans="1:24">
      <c r="A386" s="151" t="s">
        <v>2361</v>
      </c>
      <c r="B386" s="17" t="s">
        <v>651</v>
      </c>
      <c r="C386" s="211">
        <v>500184</v>
      </c>
      <c r="D386" s="151" t="s">
        <v>2362</v>
      </c>
      <c r="E386" s="211">
        <v>271.7</v>
      </c>
      <c r="F386" s="151" t="s">
        <v>1334</v>
      </c>
      <c r="G386" s="151" t="s">
        <v>1335</v>
      </c>
      <c r="H386" s="211">
        <v>11973.7</v>
      </c>
      <c r="I386" s="17">
        <f t="shared" si="1"/>
        <v>440695620.16930437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spans="1:24">
      <c r="A387" s="151" t="s">
        <v>2363</v>
      </c>
      <c r="B387" s="17" t="s">
        <v>2364</v>
      </c>
      <c r="C387" s="211">
        <v>506820</v>
      </c>
      <c r="D387" s="151" t="s">
        <v>2365</v>
      </c>
      <c r="E387" s="211">
        <v>4771.6000000000004</v>
      </c>
      <c r="F387" s="151" t="s">
        <v>694</v>
      </c>
      <c r="G387" s="151" t="s">
        <v>1224</v>
      </c>
      <c r="H387" s="211">
        <v>11929</v>
      </c>
      <c r="I387" s="17">
        <f t="shared" si="1"/>
        <v>24999999.999999996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spans="1:24">
      <c r="A388" s="151" t="s">
        <v>2366</v>
      </c>
      <c r="B388" s="17" t="s">
        <v>2367</v>
      </c>
      <c r="C388" s="211">
        <v>539177</v>
      </c>
      <c r="D388" s="151" t="s">
        <v>2368</v>
      </c>
      <c r="E388" s="211">
        <v>697</v>
      </c>
      <c r="F388" s="151" t="s">
        <v>1194</v>
      </c>
      <c r="G388" s="151" t="s">
        <v>1137</v>
      </c>
      <c r="H388" s="211">
        <v>11838.2</v>
      </c>
      <c r="I388" s="17">
        <f t="shared" si="1"/>
        <v>169845050.21520802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spans="1:24">
      <c r="A389" s="151" t="s">
        <v>2369</v>
      </c>
      <c r="B389" s="17" t="s">
        <v>2370</v>
      </c>
      <c r="C389" s="211">
        <v>502986</v>
      </c>
      <c r="D389" s="151" t="s">
        <v>2371</v>
      </c>
      <c r="E389" s="211">
        <v>409</v>
      </c>
      <c r="F389" s="151" t="s">
        <v>1854</v>
      </c>
      <c r="G389" s="151" t="s">
        <v>1216</v>
      </c>
      <c r="H389" s="211">
        <v>11827.2</v>
      </c>
      <c r="I389" s="17">
        <f t="shared" si="1"/>
        <v>289173594.13202935</v>
      </c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spans="1:24">
      <c r="A390" s="151" t="s">
        <v>2372</v>
      </c>
      <c r="B390" s="17" t="s">
        <v>2373</v>
      </c>
      <c r="C390" s="211">
        <v>500031</v>
      </c>
      <c r="D390" s="151" t="s">
        <v>2374</v>
      </c>
      <c r="E390" s="211">
        <v>1013</v>
      </c>
      <c r="F390" s="151" t="s">
        <v>2094</v>
      </c>
      <c r="G390" s="151" t="s">
        <v>1441</v>
      </c>
      <c r="H390" s="211">
        <v>11660.4</v>
      </c>
      <c r="I390" s="17">
        <f t="shared" si="1"/>
        <v>115107601.1846002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spans="1:24">
      <c r="A391" s="151" t="s">
        <v>2375</v>
      </c>
      <c r="B391" s="17" t="s">
        <v>2376</v>
      </c>
      <c r="C391" s="211">
        <v>543988</v>
      </c>
      <c r="D391" s="151" t="s">
        <v>2377</v>
      </c>
      <c r="E391" s="211">
        <v>3305.2</v>
      </c>
      <c r="F391" s="151" t="s">
        <v>1831</v>
      </c>
      <c r="G391" s="151" t="s">
        <v>1137</v>
      </c>
      <c r="H391" s="211">
        <v>11637</v>
      </c>
      <c r="I391" s="17">
        <f t="shared" si="1"/>
        <v>35208156.843761347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spans="1:24">
      <c r="A392" s="151" t="s">
        <v>2378</v>
      </c>
      <c r="B392" s="17" t="s">
        <v>2379</v>
      </c>
      <c r="C392" s="211">
        <v>541556</v>
      </c>
      <c r="D392" s="151" t="s">
        <v>2380</v>
      </c>
      <c r="E392" s="211">
        <v>483.4</v>
      </c>
      <c r="F392" s="151" t="s">
        <v>1190</v>
      </c>
      <c r="G392" s="151" t="s">
        <v>1138</v>
      </c>
      <c r="H392" s="211">
        <v>11617.4</v>
      </c>
      <c r="I392" s="17">
        <f t="shared" si="1"/>
        <v>240326851.46876293</v>
      </c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spans="1:24">
      <c r="A393" s="151" t="s">
        <v>2381</v>
      </c>
      <c r="B393" s="17" t="s">
        <v>2382</v>
      </c>
      <c r="C393" s="211">
        <v>522205</v>
      </c>
      <c r="D393" s="151" t="s">
        <v>2383</v>
      </c>
      <c r="E393" s="211">
        <v>631</v>
      </c>
      <c r="F393" s="151" t="s">
        <v>1587</v>
      </c>
      <c r="G393" s="151" t="s">
        <v>1141</v>
      </c>
      <c r="H393" s="211">
        <v>11591.4</v>
      </c>
      <c r="I393" s="17">
        <f t="shared" si="1"/>
        <v>183698890.64976227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spans="1:24">
      <c r="A394" s="151" t="s">
        <v>2384</v>
      </c>
      <c r="B394" s="17" t="s">
        <v>2385</v>
      </c>
      <c r="C394" s="211">
        <v>543428</v>
      </c>
      <c r="D394" s="151" t="s">
        <v>2386</v>
      </c>
      <c r="E394" s="211">
        <v>2068.8000000000002</v>
      </c>
      <c r="F394" s="151" t="s">
        <v>1293</v>
      </c>
      <c r="G394" s="151" t="s">
        <v>1141</v>
      </c>
      <c r="H394" s="211">
        <v>11582</v>
      </c>
      <c r="I394" s="17">
        <f t="shared" si="1"/>
        <v>55984145.398298524</v>
      </c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spans="1:24">
      <c r="A395" s="151" t="s">
        <v>2387</v>
      </c>
      <c r="B395" s="17" t="s">
        <v>2388</v>
      </c>
      <c r="C395" s="211">
        <v>540073</v>
      </c>
      <c r="D395" s="151" t="s">
        <v>2389</v>
      </c>
      <c r="E395" s="211">
        <v>281.2</v>
      </c>
      <c r="F395" s="151" t="s">
        <v>1559</v>
      </c>
      <c r="G395" s="151" t="s">
        <v>1139</v>
      </c>
      <c r="H395" s="211">
        <v>11578.2</v>
      </c>
      <c r="I395" s="17">
        <f t="shared" si="1"/>
        <v>411742532.00568992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spans="1:24">
      <c r="A396" s="151" t="s">
        <v>2390</v>
      </c>
      <c r="B396" s="17" t="s">
        <v>2391</v>
      </c>
      <c r="C396" s="211">
        <v>532209</v>
      </c>
      <c r="D396" s="151" t="s">
        <v>2392</v>
      </c>
      <c r="E396" s="211">
        <v>111.8</v>
      </c>
      <c r="F396" s="151" t="s">
        <v>1165</v>
      </c>
      <c r="G396" s="151" t="s">
        <v>1137</v>
      </c>
      <c r="H396" s="211">
        <v>11531.9</v>
      </c>
      <c r="I396" s="17">
        <f t="shared" si="1"/>
        <v>1031475849.7316637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spans="1:24">
      <c r="A397" s="151" t="s">
        <v>2393</v>
      </c>
      <c r="B397" s="17" t="s">
        <v>2394</v>
      </c>
      <c r="C397" s="211">
        <v>503310</v>
      </c>
      <c r="D397" s="151" t="s">
        <v>2395</v>
      </c>
      <c r="E397" s="211">
        <v>430.5</v>
      </c>
      <c r="F397" s="151" t="s">
        <v>1307</v>
      </c>
      <c r="G397" s="151" t="s">
        <v>1307</v>
      </c>
      <c r="H397" s="211">
        <v>11361.6</v>
      </c>
      <c r="I397" s="17">
        <f t="shared" si="1"/>
        <v>263916376.30662021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spans="1:24">
      <c r="A398" s="151" t="s">
        <v>2396</v>
      </c>
      <c r="B398" s="17" t="s">
        <v>2397</v>
      </c>
      <c r="C398" s="211">
        <v>522287</v>
      </c>
      <c r="D398" s="151" t="s">
        <v>2398</v>
      </c>
      <c r="E398" s="211">
        <v>696</v>
      </c>
      <c r="F398" s="151" t="s">
        <v>1242</v>
      </c>
      <c r="G398" s="151" t="s">
        <v>1144</v>
      </c>
      <c r="H398" s="211">
        <v>11305.4</v>
      </c>
      <c r="I398" s="17">
        <f t="shared" si="1"/>
        <v>162433908.04597703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spans="1:24">
      <c r="A399" s="151" t="s">
        <v>2399</v>
      </c>
      <c r="B399" s="17" t="s">
        <v>2400</v>
      </c>
      <c r="C399" s="211">
        <v>543990</v>
      </c>
      <c r="D399" s="151" t="s">
        <v>2401</v>
      </c>
      <c r="E399" s="211">
        <v>803.4</v>
      </c>
      <c r="F399" s="151" t="s">
        <v>1307</v>
      </c>
      <c r="G399" s="151" t="s">
        <v>1307</v>
      </c>
      <c r="H399" s="211">
        <v>11287.9</v>
      </c>
      <c r="I399" s="17">
        <f t="shared" si="1"/>
        <v>140501618.12297735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spans="1:24">
      <c r="A400" s="151" t="s">
        <v>2402</v>
      </c>
      <c r="B400" s="17" t="s">
        <v>2403</v>
      </c>
      <c r="C400" s="211">
        <v>543524</v>
      </c>
      <c r="D400" s="151" t="s">
        <v>2404</v>
      </c>
      <c r="E400" s="211">
        <v>1111.4000000000001</v>
      </c>
      <c r="F400" s="151" t="s">
        <v>1445</v>
      </c>
      <c r="G400" s="151" t="s">
        <v>1139</v>
      </c>
      <c r="H400" s="211">
        <v>11281.4</v>
      </c>
      <c r="I400" s="17">
        <f t="shared" si="1"/>
        <v>101506208.38581967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spans="1:24">
      <c r="A401" s="151" t="s">
        <v>2405</v>
      </c>
      <c r="B401" s="17" t="s">
        <v>2406</v>
      </c>
      <c r="C401" s="211">
        <v>500710</v>
      </c>
      <c r="D401" s="151" t="s">
        <v>2407</v>
      </c>
      <c r="E401" s="211">
        <v>2475.6999999999998</v>
      </c>
      <c r="F401" s="151" t="s">
        <v>1220</v>
      </c>
      <c r="G401" s="151" t="s">
        <v>1139</v>
      </c>
      <c r="H401" s="211">
        <v>11274.4</v>
      </c>
      <c r="I401" s="17">
        <f t="shared" si="1"/>
        <v>45540251.242072955</v>
      </c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spans="1:24">
      <c r="A402" s="151" t="s">
        <v>2408</v>
      </c>
      <c r="B402" s="17" t="s">
        <v>2409</v>
      </c>
      <c r="C402" s="211">
        <v>541988</v>
      </c>
      <c r="D402" s="151" t="s">
        <v>2410</v>
      </c>
      <c r="E402" s="211">
        <v>1419.9</v>
      </c>
      <c r="F402" s="151" t="s">
        <v>1886</v>
      </c>
      <c r="G402" s="151" t="s">
        <v>1137</v>
      </c>
      <c r="H402" s="211">
        <v>11236.6</v>
      </c>
      <c r="I402" s="17">
        <f t="shared" si="1"/>
        <v>79136558.912599474</v>
      </c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spans="1:24">
      <c r="A403" s="151" t="s">
        <v>2411</v>
      </c>
      <c r="B403" s="17" t="s">
        <v>2412</v>
      </c>
      <c r="C403" s="211">
        <v>532443</v>
      </c>
      <c r="D403" s="151" t="s">
        <v>2413</v>
      </c>
      <c r="E403" s="211">
        <v>8601.6</v>
      </c>
      <c r="F403" s="151" t="s">
        <v>1220</v>
      </c>
      <c r="G403" s="151" t="s">
        <v>1139</v>
      </c>
      <c r="H403" s="211">
        <v>11187.2</v>
      </c>
      <c r="I403" s="17">
        <f t="shared" si="1"/>
        <v>13005952.380952381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spans="1:24">
      <c r="A404" s="151" t="s">
        <v>2414</v>
      </c>
      <c r="B404" s="17" t="s">
        <v>2415</v>
      </c>
      <c r="C404" s="211">
        <v>532210</v>
      </c>
      <c r="D404" s="151" t="s">
        <v>2416</v>
      </c>
      <c r="E404" s="211">
        <v>150.9</v>
      </c>
      <c r="F404" s="151" t="s">
        <v>1165</v>
      </c>
      <c r="G404" s="151" t="s">
        <v>1137</v>
      </c>
      <c r="H404" s="211">
        <v>11176.3</v>
      </c>
      <c r="I404" s="17">
        <f t="shared" si="1"/>
        <v>740642809.80781972</v>
      </c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spans="1:24">
      <c r="A405" s="151" t="s">
        <v>2417</v>
      </c>
      <c r="B405" s="17" t="s">
        <v>2418</v>
      </c>
      <c r="C405" s="211">
        <v>500335</v>
      </c>
      <c r="D405" s="151" t="s">
        <v>2419</v>
      </c>
      <c r="E405" s="211">
        <v>1449.6</v>
      </c>
      <c r="F405" s="151" t="s">
        <v>1238</v>
      </c>
      <c r="G405" s="151" t="s">
        <v>1138</v>
      </c>
      <c r="H405" s="211">
        <v>11163.1</v>
      </c>
      <c r="I405" s="17">
        <f t="shared" si="1"/>
        <v>77008140.176600441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spans="1:24">
      <c r="A406" s="151" t="s">
        <v>2420</v>
      </c>
      <c r="B406" s="17" t="s">
        <v>1100</v>
      </c>
      <c r="C406" s="211">
        <v>542904</v>
      </c>
      <c r="D406" s="151" t="s">
        <v>2421</v>
      </c>
      <c r="E406" s="211">
        <v>56.8</v>
      </c>
      <c r="F406" s="151" t="s">
        <v>1165</v>
      </c>
      <c r="G406" s="151" t="s">
        <v>1137</v>
      </c>
      <c r="H406" s="211">
        <v>11121.2</v>
      </c>
      <c r="I406" s="17">
        <f t="shared" si="1"/>
        <v>1957957746.4788733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spans="1:24">
      <c r="A407" s="151" t="s">
        <v>2422</v>
      </c>
      <c r="B407" s="17" t="s">
        <v>2423</v>
      </c>
      <c r="C407" s="211">
        <v>511196</v>
      </c>
      <c r="D407" s="151" t="s">
        <v>2424</v>
      </c>
      <c r="E407" s="211">
        <v>828.6</v>
      </c>
      <c r="F407" s="151" t="s">
        <v>1886</v>
      </c>
      <c r="G407" s="151" t="s">
        <v>1137</v>
      </c>
      <c r="H407" s="211">
        <v>11032.5</v>
      </c>
      <c r="I407" s="17">
        <f t="shared" si="1"/>
        <v>133146270.81824765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spans="1:24">
      <c r="A408" s="151" t="s">
        <v>2425</v>
      </c>
      <c r="B408" s="17" t="s">
        <v>2426</v>
      </c>
      <c r="C408" s="211">
        <v>500670</v>
      </c>
      <c r="D408" s="151" t="s">
        <v>2427</v>
      </c>
      <c r="E408" s="211">
        <v>709.6</v>
      </c>
      <c r="F408" s="151" t="s">
        <v>1650</v>
      </c>
      <c r="G408" s="151" t="s">
        <v>1650</v>
      </c>
      <c r="H408" s="211">
        <v>11028.5</v>
      </c>
      <c r="I408" s="17">
        <f t="shared" si="1"/>
        <v>155418545.6595265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spans="1:24">
      <c r="A409" s="151" t="s">
        <v>2428</v>
      </c>
      <c r="B409" s="17" t="s">
        <v>2429</v>
      </c>
      <c r="C409" s="211">
        <v>517271</v>
      </c>
      <c r="D409" s="151" t="s">
        <v>2430</v>
      </c>
      <c r="E409" s="211">
        <v>397.8</v>
      </c>
      <c r="F409" s="151" t="s">
        <v>1440</v>
      </c>
      <c r="G409" s="151" t="s">
        <v>1441</v>
      </c>
      <c r="H409" s="211">
        <v>11025.4</v>
      </c>
      <c r="I409" s="17">
        <f t="shared" si="1"/>
        <v>277159376.57114124</v>
      </c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spans="1:24">
      <c r="A410" s="151" t="s">
        <v>2431</v>
      </c>
      <c r="B410" s="17" t="s">
        <v>2432</v>
      </c>
      <c r="C410" s="211">
        <v>543275</v>
      </c>
      <c r="D410" s="151" t="s">
        <v>2433</v>
      </c>
      <c r="E410" s="211">
        <v>1022.4</v>
      </c>
      <c r="F410" s="151" t="s">
        <v>1552</v>
      </c>
      <c r="G410" s="151" t="s">
        <v>1335</v>
      </c>
      <c r="H410" s="211">
        <v>11002.7</v>
      </c>
      <c r="I410" s="17">
        <f t="shared" si="1"/>
        <v>107616392.80125196</v>
      </c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spans="1:24">
      <c r="A411" s="151" t="s">
        <v>2434</v>
      </c>
      <c r="B411" s="17" t="s">
        <v>2435</v>
      </c>
      <c r="C411" s="211">
        <v>543415</v>
      </c>
      <c r="D411" s="151" t="s">
        <v>2436</v>
      </c>
      <c r="E411" s="211">
        <v>2634.3</v>
      </c>
      <c r="F411" s="151" t="s">
        <v>1831</v>
      </c>
      <c r="G411" s="151" t="s">
        <v>1137</v>
      </c>
      <c r="H411" s="211">
        <v>10995.6</v>
      </c>
      <c r="I411" s="17">
        <f t="shared" si="1"/>
        <v>41740120.715180501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spans="1:24">
      <c r="A412" s="151" t="s">
        <v>2437</v>
      </c>
      <c r="B412" s="17" t="s">
        <v>2438</v>
      </c>
      <c r="C412" s="211">
        <v>506767</v>
      </c>
      <c r="D412" s="151" t="s">
        <v>2439</v>
      </c>
      <c r="E412" s="211">
        <v>2148</v>
      </c>
      <c r="F412" s="151" t="s">
        <v>1334</v>
      </c>
      <c r="G412" s="151" t="s">
        <v>1335</v>
      </c>
      <c r="H412" s="211">
        <v>10979.5</v>
      </c>
      <c r="I412" s="17">
        <f t="shared" si="1"/>
        <v>51114990.689013034</v>
      </c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4">
      <c r="A413" s="151" t="s">
        <v>2440</v>
      </c>
      <c r="B413" s="17" t="s">
        <v>2441</v>
      </c>
      <c r="C413" s="211">
        <v>539957</v>
      </c>
      <c r="D413" s="151" t="s">
        <v>2442</v>
      </c>
      <c r="E413" s="211">
        <v>1103.0999999999999</v>
      </c>
      <c r="F413" s="151" t="s">
        <v>1410</v>
      </c>
      <c r="G413" s="151" t="s">
        <v>1144</v>
      </c>
      <c r="H413" s="211">
        <v>10896.2</v>
      </c>
      <c r="I413" s="17">
        <f t="shared" si="1"/>
        <v>98777989.302873731</v>
      </c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spans="1:24">
      <c r="A414" s="151" t="s">
        <v>2443</v>
      </c>
      <c r="B414" s="17" t="s">
        <v>2444</v>
      </c>
      <c r="C414" s="211">
        <v>543276</v>
      </c>
      <c r="D414" s="151" t="s">
        <v>2445</v>
      </c>
      <c r="E414" s="211">
        <v>5132</v>
      </c>
      <c r="F414" s="151" t="s">
        <v>1507</v>
      </c>
      <c r="G414" s="151" t="s">
        <v>1211</v>
      </c>
      <c r="H414" s="211">
        <v>10843</v>
      </c>
      <c r="I414" s="17">
        <f t="shared" si="1"/>
        <v>21128215.120810602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pans="1:24">
      <c r="A415" s="151" t="s">
        <v>2446</v>
      </c>
      <c r="B415" s="17" t="s">
        <v>2447</v>
      </c>
      <c r="C415" s="211">
        <v>532670</v>
      </c>
      <c r="D415" s="151" t="s">
        <v>2448</v>
      </c>
      <c r="E415" s="211">
        <v>50.8</v>
      </c>
      <c r="F415" s="151" t="s">
        <v>2449</v>
      </c>
      <c r="G415" s="151" t="s">
        <v>1140</v>
      </c>
      <c r="H415" s="211">
        <v>10823.4</v>
      </c>
      <c r="I415" s="17">
        <f t="shared" si="1"/>
        <v>2130590551.1811025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spans="1:24">
      <c r="A416" s="151" t="s">
        <v>2450</v>
      </c>
      <c r="B416" s="17" t="s">
        <v>52</v>
      </c>
      <c r="C416" s="211">
        <v>500405</v>
      </c>
      <c r="D416" s="151" t="s">
        <v>2451</v>
      </c>
      <c r="E416" s="211">
        <v>574</v>
      </c>
      <c r="F416" s="151" t="s">
        <v>2452</v>
      </c>
      <c r="G416" s="151" t="s">
        <v>1335</v>
      </c>
      <c r="H416" s="211">
        <v>10793.6</v>
      </c>
      <c r="I416" s="17">
        <f t="shared" si="1"/>
        <v>188041811.84668991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spans="1:24">
      <c r="A417" s="151" t="s">
        <v>2453</v>
      </c>
      <c r="B417" s="17" t="s">
        <v>2454</v>
      </c>
      <c r="C417" s="211">
        <v>505700</v>
      </c>
      <c r="D417" s="151" t="s">
        <v>2455</v>
      </c>
      <c r="E417" s="211">
        <v>957.6</v>
      </c>
      <c r="F417" s="151" t="s">
        <v>1587</v>
      </c>
      <c r="G417" s="151" t="s">
        <v>1141</v>
      </c>
      <c r="H417" s="211">
        <v>10744.8</v>
      </c>
      <c r="I417" s="17">
        <f t="shared" si="1"/>
        <v>112205513.78446116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spans="1:24">
      <c r="A418" s="151" t="s">
        <v>2456</v>
      </c>
      <c r="B418" s="17" t="s">
        <v>2457</v>
      </c>
      <c r="C418" s="211">
        <v>500163</v>
      </c>
      <c r="D418" s="151" t="s">
        <v>2458</v>
      </c>
      <c r="E418" s="211">
        <v>2065</v>
      </c>
      <c r="F418" s="151" t="s">
        <v>1183</v>
      </c>
      <c r="G418" s="151" t="s">
        <v>1140</v>
      </c>
      <c r="H418" s="211">
        <v>10736.7</v>
      </c>
      <c r="I418" s="17">
        <f t="shared" si="1"/>
        <v>51993704.600484259</v>
      </c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spans="1:24">
      <c r="A419" s="151" t="s">
        <v>2459</v>
      </c>
      <c r="B419" s="17" t="s">
        <v>78</v>
      </c>
      <c r="C419" s="211">
        <v>500294</v>
      </c>
      <c r="D419" s="151" t="s">
        <v>2460</v>
      </c>
      <c r="E419" s="211">
        <v>170.8</v>
      </c>
      <c r="F419" s="151" t="s">
        <v>1190</v>
      </c>
      <c r="G419" s="151" t="s">
        <v>1138</v>
      </c>
      <c r="H419" s="211">
        <v>10726.8</v>
      </c>
      <c r="I419" s="17">
        <f t="shared" si="1"/>
        <v>628032786.88524592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spans="1:24">
      <c r="A420" s="151" t="s">
        <v>2461</v>
      </c>
      <c r="B420" s="17" t="s">
        <v>2462</v>
      </c>
      <c r="C420" s="211">
        <v>531500</v>
      </c>
      <c r="D420" s="151" t="s">
        <v>2463</v>
      </c>
      <c r="E420" s="211">
        <v>363</v>
      </c>
      <c r="F420" s="151" t="s">
        <v>1215</v>
      </c>
      <c r="G420" s="151" t="s">
        <v>1216</v>
      </c>
      <c r="H420" s="211">
        <v>10717.9</v>
      </c>
      <c r="I420" s="17">
        <f t="shared" si="1"/>
        <v>295258953.16804409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spans="1:24">
      <c r="A421" s="151" t="s">
        <v>2464</v>
      </c>
      <c r="B421" s="17" t="s">
        <v>2465</v>
      </c>
      <c r="C421" s="211">
        <v>543243</v>
      </c>
      <c r="D421" s="151" t="s">
        <v>2466</v>
      </c>
      <c r="E421" s="211">
        <v>94.6</v>
      </c>
      <c r="F421" s="151" t="s">
        <v>1165</v>
      </c>
      <c r="G421" s="151" t="s">
        <v>1137</v>
      </c>
      <c r="H421" s="211">
        <v>10681.7</v>
      </c>
      <c r="I421" s="17">
        <f t="shared" si="1"/>
        <v>1129143763.2135308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spans="1:24">
      <c r="A422" s="151" t="s">
        <v>2467</v>
      </c>
      <c r="B422" s="17" t="s">
        <v>2468</v>
      </c>
      <c r="C422" s="211">
        <v>517506</v>
      </c>
      <c r="D422" s="151" t="s">
        <v>2469</v>
      </c>
      <c r="E422" s="211">
        <v>767.5</v>
      </c>
      <c r="F422" s="151" t="s">
        <v>2470</v>
      </c>
      <c r="G422" s="151" t="s">
        <v>1441</v>
      </c>
      <c r="H422" s="211">
        <v>10638.6</v>
      </c>
      <c r="I422" s="17">
        <f t="shared" si="1"/>
        <v>138613680.78175896</v>
      </c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spans="1:24">
      <c r="A423" s="151" t="s">
        <v>2471</v>
      </c>
      <c r="B423" s="17" t="s">
        <v>24</v>
      </c>
      <c r="C423" s="211">
        <v>522275</v>
      </c>
      <c r="D423" s="151" t="s">
        <v>2472</v>
      </c>
      <c r="E423" s="211">
        <v>413</v>
      </c>
      <c r="F423" s="151" t="s">
        <v>1587</v>
      </c>
      <c r="G423" s="151" t="s">
        <v>1141</v>
      </c>
      <c r="H423" s="211">
        <v>10574.7</v>
      </c>
      <c r="I423" s="17">
        <f t="shared" si="1"/>
        <v>256046004.84261501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spans="1:24">
      <c r="A424" s="151" t="s">
        <v>2473</v>
      </c>
      <c r="B424" s="17" t="s">
        <v>2474</v>
      </c>
      <c r="C424" s="211">
        <v>543238</v>
      </c>
      <c r="D424" s="151" t="s">
        <v>2475</v>
      </c>
      <c r="E424" s="211">
        <v>831.5</v>
      </c>
      <c r="F424" s="151" t="s">
        <v>1517</v>
      </c>
      <c r="G424" s="151" t="s">
        <v>1137</v>
      </c>
      <c r="H424" s="211">
        <v>10561.2</v>
      </c>
      <c r="I424" s="17">
        <f t="shared" si="1"/>
        <v>127013830.42693926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spans="1:24">
      <c r="A425" s="151" t="s">
        <v>2476</v>
      </c>
      <c r="B425" s="17" t="s">
        <v>2477</v>
      </c>
      <c r="C425" s="211">
        <v>534597</v>
      </c>
      <c r="D425" s="151" t="s">
        <v>2478</v>
      </c>
      <c r="E425" s="211">
        <v>76.400000000000006</v>
      </c>
      <c r="F425" s="151" t="s">
        <v>1242</v>
      </c>
      <c r="G425" s="151" t="s">
        <v>1144</v>
      </c>
      <c r="H425" s="211">
        <v>10560.5</v>
      </c>
      <c r="I425" s="17">
        <f t="shared" si="1"/>
        <v>1382264397.9057591</v>
      </c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spans="1:24">
      <c r="A426" s="151" t="s">
        <v>2479</v>
      </c>
      <c r="B426" s="17" t="s">
        <v>2480</v>
      </c>
      <c r="C426" s="211">
        <v>543534</v>
      </c>
      <c r="D426" s="151" t="s">
        <v>2481</v>
      </c>
      <c r="E426" s="211">
        <v>794.8</v>
      </c>
      <c r="F426" s="151" t="s">
        <v>1334</v>
      </c>
      <c r="G426" s="151" t="s">
        <v>1335</v>
      </c>
      <c r="H426" s="211">
        <v>10534.4</v>
      </c>
      <c r="I426" s="17">
        <f t="shared" si="1"/>
        <v>132541519.8792149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spans="1:24">
      <c r="A427" s="151" t="s">
        <v>2482</v>
      </c>
      <c r="B427" s="17" t="s">
        <v>2483</v>
      </c>
      <c r="C427" s="211">
        <v>500330</v>
      </c>
      <c r="D427" s="151" t="s">
        <v>2484</v>
      </c>
      <c r="E427" s="211">
        <v>1581.5</v>
      </c>
      <c r="F427" s="151" t="s">
        <v>1854</v>
      </c>
      <c r="G427" s="151" t="s">
        <v>1216</v>
      </c>
      <c r="H427" s="211">
        <v>10528.6</v>
      </c>
      <c r="I427" s="17">
        <f t="shared" si="1"/>
        <v>66573506.165033199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spans="1:24">
      <c r="A428" s="151" t="s">
        <v>2485</v>
      </c>
      <c r="B428" s="17" t="s">
        <v>2486</v>
      </c>
      <c r="C428" s="211">
        <v>540902</v>
      </c>
      <c r="D428" s="151" t="s">
        <v>2487</v>
      </c>
      <c r="E428" s="211">
        <v>3103.8</v>
      </c>
      <c r="F428" s="151" t="s">
        <v>1770</v>
      </c>
      <c r="G428" s="151" t="s">
        <v>1441</v>
      </c>
      <c r="H428" s="211">
        <v>10457.9</v>
      </c>
      <c r="I428" s="17">
        <f t="shared" si="1"/>
        <v>33693859.140408531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spans="1:24">
      <c r="A429" s="151" t="s">
        <v>2488</v>
      </c>
      <c r="B429" s="17" t="s">
        <v>2489</v>
      </c>
      <c r="C429" s="211">
        <v>538835</v>
      </c>
      <c r="D429" s="151" t="s">
        <v>2490</v>
      </c>
      <c r="E429" s="211">
        <v>765.1</v>
      </c>
      <c r="F429" s="151" t="s">
        <v>2491</v>
      </c>
      <c r="G429" s="151" t="s">
        <v>1143</v>
      </c>
      <c r="H429" s="211">
        <v>10452.5</v>
      </c>
      <c r="I429" s="17">
        <f t="shared" si="1"/>
        <v>136616128.61063913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spans="1:24">
      <c r="A430" s="151" t="s">
        <v>2492</v>
      </c>
      <c r="B430" s="17" t="s">
        <v>176</v>
      </c>
      <c r="C430" s="211">
        <v>506590</v>
      </c>
      <c r="D430" s="151" t="s">
        <v>2493</v>
      </c>
      <c r="E430" s="211">
        <v>274.8</v>
      </c>
      <c r="F430" s="151" t="s">
        <v>2494</v>
      </c>
      <c r="G430" s="151" t="s">
        <v>1335</v>
      </c>
      <c r="H430" s="211">
        <v>10374.6</v>
      </c>
      <c r="I430" s="17">
        <f t="shared" si="1"/>
        <v>377532751.09170306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spans="1:24">
      <c r="A431" s="151" t="s">
        <v>2495</v>
      </c>
      <c r="B431" s="17" t="s">
        <v>2496</v>
      </c>
      <c r="C431" s="211">
        <v>500048</v>
      </c>
      <c r="D431" s="151" t="s">
        <v>2497</v>
      </c>
      <c r="E431" s="211">
        <v>2487.6</v>
      </c>
      <c r="F431" s="151" t="s">
        <v>1259</v>
      </c>
      <c r="G431" s="151" t="s">
        <v>1211</v>
      </c>
      <c r="H431" s="211">
        <v>10359.5</v>
      </c>
      <c r="I431" s="17">
        <f t="shared" si="1"/>
        <v>41644557.002733558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spans="1:24">
      <c r="A432" s="151" t="s">
        <v>2498</v>
      </c>
      <c r="B432" s="17" t="s">
        <v>2499</v>
      </c>
      <c r="C432" s="211">
        <v>533160</v>
      </c>
      <c r="D432" s="151" t="s">
        <v>2500</v>
      </c>
      <c r="E432" s="211">
        <v>206.4</v>
      </c>
      <c r="F432" s="151" t="s">
        <v>1307</v>
      </c>
      <c r="G432" s="151" t="s">
        <v>1307</v>
      </c>
      <c r="H432" s="211">
        <v>10354.9</v>
      </c>
      <c r="I432" s="17">
        <f t="shared" si="1"/>
        <v>501690891.4728682</v>
      </c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spans="1:24">
      <c r="A433" s="151" t="s">
        <v>2501</v>
      </c>
      <c r="B433" s="17" t="s">
        <v>2502</v>
      </c>
      <c r="C433" s="211">
        <v>523025</v>
      </c>
      <c r="D433" s="151" t="s">
        <v>2503</v>
      </c>
      <c r="E433" s="211">
        <v>4351.8</v>
      </c>
      <c r="F433" s="151" t="s">
        <v>1710</v>
      </c>
      <c r="G433" s="151" t="s">
        <v>1216</v>
      </c>
      <c r="H433" s="211">
        <v>10350.299999999999</v>
      </c>
      <c r="I433" s="17">
        <f t="shared" si="1"/>
        <v>23783951.468357921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spans="1:24">
      <c r="A434" s="151" t="s">
        <v>2504</v>
      </c>
      <c r="B434" s="17" t="s">
        <v>2505</v>
      </c>
      <c r="C434" s="211">
        <v>543317</v>
      </c>
      <c r="D434" s="151" t="s">
        <v>2506</v>
      </c>
      <c r="E434" s="211">
        <v>1067.7</v>
      </c>
      <c r="F434" s="151" t="s">
        <v>1970</v>
      </c>
      <c r="G434" s="151" t="s">
        <v>1138</v>
      </c>
      <c r="H434" s="211">
        <v>10323.5</v>
      </c>
      <c r="I434" s="17">
        <f t="shared" si="1"/>
        <v>96689144.890886948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spans="1:24">
      <c r="A435" s="151" t="s">
        <v>2507</v>
      </c>
      <c r="B435" s="17" t="s">
        <v>2508</v>
      </c>
      <c r="C435" s="211">
        <v>543398</v>
      </c>
      <c r="D435" s="151" t="s">
        <v>2509</v>
      </c>
      <c r="E435" s="211">
        <v>498.8</v>
      </c>
      <c r="F435" s="151" t="s">
        <v>2510</v>
      </c>
      <c r="G435" s="151" t="s">
        <v>1143</v>
      </c>
      <c r="H435" s="211">
        <v>10269.5</v>
      </c>
      <c r="I435" s="17">
        <f t="shared" si="1"/>
        <v>205884121.89254209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spans="1:24">
      <c r="A436" s="151" t="s">
        <v>2511</v>
      </c>
      <c r="B436" s="17" t="s">
        <v>2512</v>
      </c>
      <c r="C436" s="211">
        <v>543482</v>
      </c>
      <c r="D436" s="151" t="s">
        <v>2513</v>
      </c>
      <c r="E436" s="211">
        <v>530</v>
      </c>
      <c r="F436" s="151" t="s">
        <v>1770</v>
      </c>
      <c r="G436" s="151" t="s">
        <v>1441</v>
      </c>
      <c r="H436" s="211">
        <v>10253.4</v>
      </c>
      <c r="I436" s="17">
        <f t="shared" si="1"/>
        <v>193460377.35849056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spans="1:24">
      <c r="A437" s="151" t="s">
        <v>2514</v>
      </c>
      <c r="B437" s="17" t="s">
        <v>2515</v>
      </c>
      <c r="C437" s="211">
        <v>543573</v>
      </c>
      <c r="D437" s="151" t="s">
        <v>2516</v>
      </c>
      <c r="E437" s="211">
        <v>574.5</v>
      </c>
      <c r="F437" s="151" t="s">
        <v>1440</v>
      </c>
      <c r="G437" s="151" t="s">
        <v>1441</v>
      </c>
      <c r="H437" s="211">
        <v>10202.299999999999</v>
      </c>
      <c r="I437" s="17">
        <f t="shared" si="1"/>
        <v>177585726.71888599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spans="1:24">
      <c r="A438" s="151" t="s">
        <v>2517</v>
      </c>
      <c r="B438" s="17" t="s">
        <v>2518</v>
      </c>
      <c r="C438" s="211">
        <v>539083</v>
      </c>
      <c r="D438" s="151" t="s">
        <v>2519</v>
      </c>
      <c r="E438" s="211">
        <v>313</v>
      </c>
      <c r="F438" s="151" t="s">
        <v>1242</v>
      </c>
      <c r="G438" s="151" t="s">
        <v>1144</v>
      </c>
      <c r="H438" s="211">
        <v>10200.6</v>
      </c>
      <c r="I438" s="17">
        <f t="shared" si="1"/>
        <v>325897763.57827479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spans="1:24">
      <c r="A439" s="151" t="s">
        <v>2520</v>
      </c>
      <c r="B439" s="17" t="s">
        <v>2521</v>
      </c>
      <c r="C439" s="211">
        <v>540900</v>
      </c>
      <c r="D439" s="151" t="s">
        <v>2522</v>
      </c>
      <c r="E439" s="211">
        <v>1439.8</v>
      </c>
      <c r="F439" s="151" t="s">
        <v>1161</v>
      </c>
      <c r="G439" s="151" t="s">
        <v>1143</v>
      </c>
      <c r="H439" s="211">
        <v>10088.9</v>
      </c>
      <c r="I439" s="17">
        <f t="shared" si="1"/>
        <v>70071537.713571325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spans="1:24">
      <c r="A440" s="151" t="s">
        <v>2523</v>
      </c>
      <c r="B440" s="17" t="s">
        <v>2524</v>
      </c>
      <c r="C440" s="211">
        <v>500110</v>
      </c>
      <c r="D440" s="151" t="s">
        <v>2525</v>
      </c>
      <c r="E440" s="211">
        <v>676.5</v>
      </c>
      <c r="F440" s="151" t="s">
        <v>1157</v>
      </c>
      <c r="G440" s="151" t="s">
        <v>1158</v>
      </c>
      <c r="H440" s="211">
        <v>10073.9</v>
      </c>
      <c r="I440" s="17">
        <f t="shared" si="1"/>
        <v>148912047.30229121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spans="1:24">
      <c r="A441" s="151" t="s">
        <v>2526</v>
      </c>
      <c r="B441" s="17" t="s">
        <v>2527</v>
      </c>
      <c r="C441" s="211">
        <v>509488</v>
      </c>
      <c r="D441" s="151" t="s">
        <v>2528</v>
      </c>
      <c r="E441" s="211">
        <v>515</v>
      </c>
      <c r="F441" s="151" t="s">
        <v>1783</v>
      </c>
      <c r="G441" s="151" t="s">
        <v>1141</v>
      </c>
      <c r="H441" s="211">
        <v>10061.799999999999</v>
      </c>
      <c r="I441" s="17">
        <f t="shared" si="1"/>
        <v>195374757.28155339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spans="1:24">
      <c r="A442" s="151" t="s">
        <v>2529</v>
      </c>
      <c r="B442" s="17" t="s">
        <v>2530</v>
      </c>
      <c r="C442" s="211">
        <v>535789</v>
      </c>
      <c r="D442" s="151" t="s">
        <v>2531</v>
      </c>
      <c r="E442" s="211">
        <v>205.1</v>
      </c>
      <c r="F442" s="151" t="s">
        <v>1886</v>
      </c>
      <c r="G442" s="151" t="s">
        <v>1137</v>
      </c>
      <c r="H442" s="211">
        <v>10024.1</v>
      </c>
      <c r="I442" s="17">
        <f t="shared" si="1"/>
        <v>488742077.03559244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spans="1:24">
      <c r="A443" s="151" t="s">
        <v>2532</v>
      </c>
      <c r="B443" s="17" t="s">
        <v>2533</v>
      </c>
      <c r="C443" s="211">
        <v>517146</v>
      </c>
      <c r="D443" s="151" t="s">
        <v>2534</v>
      </c>
      <c r="E443" s="211">
        <v>328.7</v>
      </c>
      <c r="F443" s="151" t="s">
        <v>1675</v>
      </c>
      <c r="G443" s="151" t="s">
        <v>1142</v>
      </c>
      <c r="H443" s="211">
        <v>10016.9</v>
      </c>
      <c r="I443" s="17">
        <f t="shared" si="1"/>
        <v>304742926.68086404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spans="1:24">
      <c r="A444" s="151" t="s">
        <v>2535</v>
      </c>
      <c r="B444" s="17" t="s">
        <v>2536</v>
      </c>
      <c r="C444" s="211">
        <v>521070</v>
      </c>
      <c r="D444" s="151" t="s">
        <v>2537</v>
      </c>
      <c r="E444" s="211">
        <v>20.2</v>
      </c>
      <c r="F444" s="151" t="s">
        <v>1854</v>
      </c>
      <c r="G444" s="151" t="s">
        <v>1216</v>
      </c>
      <c r="H444" s="211">
        <v>10005</v>
      </c>
      <c r="I444" s="17">
        <f t="shared" si="1"/>
        <v>4952970297.0297031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spans="1:24">
      <c r="A445" s="151" t="s">
        <v>2538</v>
      </c>
      <c r="B445" s="17" t="s">
        <v>2539</v>
      </c>
      <c r="C445" s="211">
        <v>540935</v>
      </c>
      <c r="D445" s="151" t="s">
        <v>2540</v>
      </c>
      <c r="E445" s="211">
        <v>2812.4</v>
      </c>
      <c r="F445" s="151" t="s">
        <v>1334</v>
      </c>
      <c r="G445" s="151" t="s">
        <v>1335</v>
      </c>
      <c r="H445" s="211">
        <v>9971.2999999999993</v>
      </c>
      <c r="I445" s="17">
        <f t="shared" si="1"/>
        <v>35454771.725216895</v>
      </c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spans="1:24">
      <c r="A446" s="151" t="s">
        <v>2541</v>
      </c>
      <c r="B446" s="17" t="s">
        <v>2542</v>
      </c>
      <c r="C446" s="211">
        <v>531335</v>
      </c>
      <c r="D446" s="151" t="s">
        <v>2543</v>
      </c>
      <c r="E446" s="211">
        <v>1562.2</v>
      </c>
      <c r="F446" s="151" t="s">
        <v>1255</v>
      </c>
      <c r="G446" s="151" t="s">
        <v>1173</v>
      </c>
      <c r="H446" s="211">
        <v>9940.6</v>
      </c>
      <c r="I446" s="17">
        <f t="shared" si="1"/>
        <v>63632057.355012164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spans="1:24">
      <c r="A447" s="151" t="s">
        <v>2544</v>
      </c>
      <c r="B447" s="17" t="s">
        <v>2545</v>
      </c>
      <c r="C447" s="211">
        <v>532439</v>
      </c>
      <c r="D447" s="151" t="s">
        <v>2546</v>
      </c>
      <c r="E447" s="211">
        <v>1205.4000000000001</v>
      </c>
      <c r="F447" s="151" t="s">
        <v>1259</v>
      </c>
      <c r="G447" s="151" t="s">
        <v>1211</v>
      </c>
      <c r="H447" s="211">
        <v>9894.4</v>
      </c>
      <c r="I447" s="17">
        <f t="shared" si="1"/>
        <v>82083955.533432886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spans="1:24">
      <c r="A448" s="151" t="s">
        <v>2547</v>
      </c>
      <c r="B448" s="17" t="s">
        <v>2548</v>
      </c>
      <c r="C448" s="211">
        <v>501425</v>
      </c>
      <c r="D448" s="151" t="s">
        <v>2549</v>
      </c>
      <c r="E448" s="211">
        <v>1415</v>
      </c>
      <c r="F448" s="151" t="s">
        <v>2550</v>
      </c>
      <c r="G448" s="151" t="s">
        <v>1140</v>
      </c>
      <c r="H448" s="211">
        <v>9872.7000000000007</v>
      </c>
      <c r="I448" s="17">
        <f t="shared" si="1"/>
        <v>69771731.448763251</v>
      </c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spans="1:24">
      <c r="A449" s="151" t="s">
        <v>2551</v>
      </c>
      <c r="B449" s="17" t="s">
        <v>2552</v>
      </c>
      <c r="C449" s="211">
        <v>532762</v>
      </c>
      <c r="D449" s="151" t="s">
        <v>2553</v>
      </c>
      <c r="E449" s="211">
        <v>826</v>
      </c>
      <c r="F449" s="151" t="s">
        <v>1190</v>
      </c>
      <c r="G449" s="151" t="s">
        <v>1138</v>
      </c>
      <c r="H449" s="211">
        <v>9836.2999999999993</v>
      </c>
      <c r="I449" s="17">
        <f t="shared" si="1"/>
        <v>119083535.10895884</v>
      </c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spans="1:24">
      <c r="A450" s="151" t="s">
        <v>2554</v>
      </c>
      <c r="B450" s="17" t="s">
        <v>26</v>
      </c>
      <c r="C450" s="211">
        <v>500183</v>
      </c>
      <c r="D450" s="151" t="s">
        <v>2555</v>
      </c>
      <c r="E450" s="211">
        <v>68.3</v>
      </c>
      <c r="F450" s="151" t="s">
        <v>2556</v>
      </c>
      <c r="G450" s="151" t="s">
        <v>1913</v>
      </c>
      <c r="H450" s="211">
        <v>9758.5</v>
      </c>
      <c r="I450" s="17">
        <f t="shared" si="1"/>
        <v>1428770131.771596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pans="1:24">
      <c r="A451" s="151" t="s">
        <v>2557</v>
      </c>
      <c r="B451" s="17" t="s">
        <v>2558</v>
      </c>
      <c r="C451" s="211">
        <v>500380</v>
      </c>
      <c r="D451" s="151" t="s">
        <v>2559</v>
      </c>
      <c r="E451" s="211">
        <v>827</v>
      </c>
      <c r="F451" s="151" t="s">
        <v>1238</v>
      </c>
      <c r="G451" s="151" t="s">
        <v>1138</v>
      </c>
      <c r="H451" s="211">
        <v>9731.2999999999993</v>
      </c>
      <c r="I451" s="17">
        <f t="shared" si="1"/>
        <v>117669891.17291415</v>
      </c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spans="1:24">
      <c r="A452" s="151" t="s">
        <v>2560</v>
      </c>
      <c r="B452" s="17" t="s">
        <v>2561</v>
      </c>
      <c r="C452" s="211">
        <v>540743</v>
      </c>
      <c r="D452" s="151" t="s">
        <v>2562</v>
      </c>
      <c r="E452" s="211">
        <v>506.1</v>
      </c>
      <c r="F452" s="151" t="s">
        <v>2563</v>
      </c>
      <c r="G452" s="151" t="s">
        <v>1140</v>
      </c>
      <c r="H452" s="211">
        <v>9727.7999999999993</v>
      </c>
      <c r="I452" s="17">
        <f t="shared" si="1"/>
        <v>192211025.48903379</v>
      </c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spans="1:24">
      <c r="A453" s="151" t="s">
        <v>2564</v>
      </c>
      <c r="B453" s="17" t="s">
        <v>2565</v>
      </c>
      <c r="C453" s="211">
        <v>543228</v>
      </c>
      <c r="D453" s="151" t="s">
        <v>2566</v>
      </c>
      <c r="E453" s="211">
        <v>1546.2</v>
      </c>
      <c r="F453" s="151" t="s">
        <v>1373</v>
      </c>
      <c r="G453" s="151" t="s">
        <v>1143</v>
      </c>
      <c r="H453" s="211">
        <v>9682.7999999999993</v>
      </c>
      <c r="I453" s="17">
        <f t="shared" si="1"/>
        <v>62623205.277454406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spans="1:24">
      <c r="A454" s="151" t="s">
        <v>2567</v>
      </c>
      <c r="B454" s="17" t="s">
        <v>2568</v>
      </c>
      <c r="C454" s="211">
        <v>543959</v>
      </c>
      <c r="D454" s="151" t="s">
        <v>2569</v>
      </c>
      <c r="E454" s="211">
        <v>90.6</v>
      </c>
      <c r="F454" s="151" t="s">
        <v>1194</v>
      </c>
      <c r="G454" s="151" t="s">
        <v>1137</v>
      </c>
      <c r="H454" s="211">
        <v>9679.5</v>
      </c>
      <c r="I454" s="17">
        <f t="shared" si="1"/>
        <v>1068377483.4437087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spans="1:24">
      <c r="A455" s="151" t="s">
        <v>2570</v>
      </c>
      <c r="B455" s="17" t="s">
        <v>2571</v>
      </c>
      <c r="C455" s="211">
        <v>542011</v>
      </c>
      <c r="D455" s="151" t="s">
        <v>2572</v>
      </c>
      <c r="E455" s="211">
        <v>841.3</v>
      </c>
      <c r="F455" s="151" t="s">
        <v>1720</v>
      </c>
      <c r="G455" s="151" t="s">
        <v>1280</v>
      </c>
      <c r="H455" s="211">
        <v>9637.2999999999993</v>
      </c>
      <c r="I455" s="17">
        <f t="shared" si="1"/>
        <v>114552478.30738144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spans="1:24">
      <c r="A456" s="151" t="s">
        <v>2573</v>
      </c>
      <c r="B456" s="17" t="s">
        <v>2574</v>
      </c>
      <c r="C456" s="211">
        <v>500125</v>
      </c>
      <c r="D456" s="151" t="s">
        <v>2575</v>
      </c>
      <c r="E456" s="211">
        <v>542</v>
      </c>
      <c r="F456" s="151" t="s">
        <v>2576</v>
      </c>
      <c r="G456" s="151" t="s">
        <v>1140</v>
      </c>
      <c r="H456" s="211">
        <v>9620.6</v>
      </c>
      <c r="I456" s="17">
        <f t="shared" si="1"/>
        <v>177501845.01845017</v>
      </c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spans="1:24">
      <c r="A457" s="151" t="s">
        <v>2577</v>
      </c>
      <c r="B457" s="17" t="s">
        <v>2578</v>
      </c>
      <c r="C457" s="211">
        <v>524742</v>
      </c>
      <c r="D457" s="151" t="s">
        <v>2579</v>
      </c>
      <c r="E457" s="211">
        <v>1265.9000000000001</v>
      </c>
      <c r="F457" s="151" t="s">
        <v>694</v>
      </c>
      <c r="G457" s="151" t="s">
        <v>1224</v>
      </c>
      <c r="H457" s="211">
        <v>9613.2999999999993</v>
      </c>
      <c r="I457" s="17">
        <f t="shared" si="1"/>
        <v>75940437.633304358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spans="1:24">
      <c r="A458" s="151" t="s">
        <v>2580</v>
      </c>
      <c r="B458" s="17" t="s">
        <v>2581</v>
      </c>
      <c r="C458" s="211">
        <v>532482</v>
      </c>
      <c r="D458" s="151" t="s">
        <v>2582</v>
      </c>
      <c r="E458" s="211">
        <v>394.5</v>
      </c>
      <c r="F458" s="151" t="s">
        <v>694</v>
      </c>
      <c r="G458" s="151" t="s">
        <v>1224</v>
      </c>
      <c r="H458" s="211">
        <v>9561.4</v>
      </c>
      <c r="I458" s="17">
        <f t="shared" si="1"/>
        <v>242367553.86565271</v>
      </c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spans="1:24">
      <c r="A459" s="151" t="s">
        <v>2583</v>
      </c>
      <c r="B459" s="17" t="s">
        <v>2584</v>
      </c>
      <c r="C459" s="211">
        <v>500038</v>
      </c>
      <c r="D459" s="151" t="s">
        <v>2585</v>
      </c>
      <c r="E459" s="211">
        <v>472.3</v>
      </c>
      <c r="F459" s="151" t="s">
        <v>2449</v>
      </c>
      <c r="G459" s="151" t="s">
        <v>1140</v>
      </c>
      <c r="H459" s="211">
        <v>9528.6</v>
      </c>
      <c r="I459" s="17">
        <f t="shared" si="1"/>
        <v>201748888.41837814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spans="1:24">
      <c r="A460" s="151" t="s">
        <v>2586</v>
      </c>
      <c r="B460" s="17" t="s">
        <v>2587</v>
      </c>
      <c r="C460" s="211">
        <v>543427</v>
      </c>
      <c r="D460" s="151" t="s">
        <v>2588</v>
      </c>
      <c r="E460" s="211">
        <v>795</v>
      </c>
      <c r="F460" s="151" t="s">
        <v>2190</v>
      </c>
      <c r="G460" s="151" t="s">
        <v>2191</v>
      </c>
      <c r="H460" s="211">
        <v>9489.1</v>
      </c>
      <c r="I460" s="17">
        <f t="shared" si="1"/>
        <v>119359748.42767295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spans="1:24">
      <c r="A461" s="151" t="s">
        <v>2589</v>
      </c>
      <c r="B461" s="17" t="s">
        <v>2590</v>
      </c>
      <c r="C461" s="211">
        <v>532976</v>
      </c>
      <c r="D461" s="151" t="s">
        <v>2591</v>
      </c>
      <c r="E461" s="211">
        <v>590.1</v>
      </c>
      <c r="F461" s="151" t="s">
        <v>1272</v>
      </c>
      <c r="G461" s="151" t="s">
        <v>1142</v>
      </c>
      <c r="H461" s="211">
        <v>9468.2000000000007</v>
      </c>
      <c r="I461" s="17">
        <f t="shared" si="1"/>
        <v>160450771.05575326</v>
      </c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spans="1:24">
      <c r="A462" s="151" t="s">
        <v>2592</v>
      </c>
      <c r="B462" s="17" t="s">
        <v>2593</v>
      </c>
      <c r="C462" s="211">
        <v>504882</v>
      </c>
      <c r="D462" s="151" t="s">
        <v>2594</v>
      </c>
      <c r="E462" s="211">
        <v>4733</v>
      </c>
      <c r="F462" s="151" t="s">
        <v>1307</v>
      </c>
      <c r="G462" s="151" t="s">
        <v>1307</v>
      </c>
      <c r="H462" s="211">
        <v>9465.9</v>
      </c>
      <c r="I462" s="17">
        <f t="shared" si="1"/>
        <v>19999788.71751532</v>
      </c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spans="1:24">
      <c r="A463" s="151" t="s">
        <v>2595</v>
      </c>
      <c r="B463" s="17" t="s">
        <v>2596</v>
      </c>
      <c r="C463" s="211">
        <v>532798</v>
      </c>
      <c r="D463" s="151" t="s">
        <v>2597</v>
      </c>
      <c r="E463" s="211">
        <v>89.8</v>
      </c>
      <c r="F463" s="151" t="s">
        <v>1907</v>
      </c>
      <c r="G463" s="151" t="s">
        <v>1908</v>
      </c>
      <c r="H463" s="211">
        <v>9406.7999999999993</v>
      </c>
      <c r="I463" s="17">
        <f t="shared" si="1"/>
        <v>1047527839.6436526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spans="1:24">
      <c r="A464" s="151" t="s">
        <v>2598</v>
      </c>
      <c r="B464" s="17" t="s">
        <v>2599</v>
      </c>
      <c r="C464" s="211">
        <v>500210</v>
      </c>
      <c r="D464" s="151" t="s">
        <v>2600</v>
      </c>
      <c r="E464" s="211">
        <v>2978</v>
      </c>
      <c r="F464" s="151" t="s">
        <v>1587</v>
      </c>
      <c r="G464" s="151" t="s">
        <v>1141</v>
      </c>
      <c r="H464" s="211">
        <v>9400.7999999999993</v>
      </c>
      <c r="I464" s="17">
        <f t="shared" si="1"/>
        <v>31567494.963062458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spans="1:24">
      <c r="A465" s="151" t="s">
        <v>2601</v>
      </c>
      <c r="B465" s="17" t="s">
        <v>2602</v>
      </c>
      <c r="C465" s="211">
        <v>532734</v>
      </c>
      <c r="D465" s="151" t="s">
        <v>2603</v>
      </c>
      <c r="E465" s="211">
        <v>686.2</v>
      </c>
      <c r="F465" s="151" t="s">
        <v>1272</v>
      </c>
      <c r="G465" s="151" t="s">
        <v>1142</v>
      </c>
      <c r="H465" s="211">
        <v>9327.9</v>
      </c>
      <c r="I465" s="17">
        <f t="shared" si="1"/>
        <v>135935587.29233459</v>
      </c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spans="1:24">
      <c r="A466" s="151" t="s">
        <v>2604</v>
      </c>
      <c r="B466" s="17" t="s">
        <v>2605</v>
      </c>
      <c r="C466" s="211">
        <v>500266</v>
      </c>
      <c r="D466" s="151" t="s">
        <v>2606</v>
      </c>
      <c r="E466" s="211">
        <v>8101.6</v>
      </c>
      <c r="F466" s="151" t="s">
        <v>2059</v>
      </c>
      <c r="G466" s="151" t="s">
        <v>2060</v>
      </c>
      <c r="H466" s="211">
        <v>9258.9</v>
      </c>
      <c r="I466" s="17">
        <f t="shared" si="1"/>
        <v>11428483.262565419</v>
      </c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spans="1:24">
      <c r="A467" s="151" t="s">
        <v>2607</v>
      </c>
      <c r="B467" s="17" t="s">
        <v>2608</v>
      </c>
      <c r="C467" s="211">
        <v>543265</v>
      </c>
      <c r="D467" s="151" t="s">
        <v>2609</v>
      </c>
      <c r="E467" s="211">
        <v>288.3</v>
      </c>
      <c r="F467" s="151" t="s">
        <v>1179</v>
      </c>
      <c r="G467" s="151" t="s">
        <v>1179</v>
      </c>
      <c r="H467" s="211">
        <v>9252.7000000000007</v>
      </c>
      <c r="I467" s="17">
        <f t="shared" si="1"/>
        <v>320939993.06278181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spans="1:24">
      <c r="A468" s="151" t="s">
        <v>2610</v>
      </c>
      <c r="B468" s="17" t="s">
        <v>2611</v>
      </c>
      <c r="C468" s="211">
        <v>543397</v>
      </c>
      <c r="D468" s="151" t="s">
        <v>2612</v>
      </c>
      <c r="E468" s="211">
        <v>1447</v>
      </c>
      <c r="F468" s="151" t="s">
        <v>1752</v>
      </c>
      <c r="G468" s="151" t="s">
        <v>1533</v>
      </c>
      <c r="H468" s="211">
        <v>9216.2000000000007</v>
      </c>
      <c r="I468" s="17">
        <f t="shared" si="1"/>
        <v>63691776.088458881</v>
      </c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spans="1:24">
      <c r="A469" s="151" t="s">
        <v>2613</v>
      </c>
      <c r="B469" s="17" t="s">
        <v>2614</v>
      </c>
      <c r="C469" s="211">
        <v>543965</v>
      </c>
      <c r="D469" s="151" t="s">
        <v>2615</v>
      </c>
      <c r="E469" s="211">
        <v>209.8</v>
      </c>
      <c r="F469" s="151" t="s">
        <v>2616</v>
      </c>
      <c r="G469" s="151" t="s">
        <v>1280</v>
      </c>
      <c r="H469" s="211">
        <v>9214.7000000000007</v>
      </c>
      <c r="I469" s="17">
        <f t="shared" si="1"/>
        <v>439213536.70162058</v>
      </c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spans="1:24">
      <c r="A470" s="151" t="s">
        <v>2617</v>
      </c>
      <c r="B470" s="17" t="s">
        <v>2618</v>
      </c>
      <c r="C470" s="211">
        <v>543720</v>
      </c>
      <c r="D470" s="151" t="s">
        <v>2619</v>
      </c>
      <c r="E470" s="211">
        <v>538.70000000000005</v>
      </c>
      <c r="F470" s="151" t="s">
        <v>1831</v>
      </c>
      <c r="G470" s="151" t="s">
        <v>1137</v>
      </c>
      <c r="H470" s="211">
        <v>9179.1</v>
      </c>
      <c r="I470" s="17">
        <f t="shared" si="1"/>
        <v>170393540.00371262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spans="1:24">
      <c r="A471" s="151" t="s">
        <v>2620</v>
      </c>
      <c r="B471" s="17" t="s">
        <v>2621</v>
      </c>
      <c r="C471" s="211">
        <v>532784</v>
      </c>
      <c r="D471" s="151" t="s">
        <v>2622</v>
      </c>
      <c r="E471" s="211">
        <v>964.9</v>
      </c>
      <c r="F471" s="151" t="s">
        <v>1307</v>
      </c>
      <c r="G471" s="151" t="s">
        <v>1307</v>
      </c>
      <c r="H471" s="211">
        <v>9151.7000000000007</v>
      </c>
      <c r="I471" s="17">
        <f t="shared" si="1"/>
        <v>94846098.0412478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spans="1:24">
      <c r="A472" s="151" t="s">
        <v>2623</v>
      </c>
      <c r="B472" s="17" t="s">
        <v>2624</v>
      </c>
      <c r="C472" s="211">
        <v>500133</v>
      </c>
      <c r="D472" s="151" t="s">
        <v>2625</v>
      </c>
      <c r="E472" s="211">
        <v>5891.3</v>
      </c>
      <c r="F472" s="151" t="s">
        <v>1783</v>
      </c>
      <c r="G472" s="151" t="s">
        <v>1141</v>
      </c>
      <c r="H472" s="211">
        <v>9068.5</v>
      </c>
      <c r="I472" s="17">
        <f t="shared" si="1"/>
        <v>15393037.190433351</v>
      </c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spans="1:24">
      <c r="A473" s="151" t="s">
        <v>2626</v>
      </c>
      <c r="B473" s="17" t="s">
        <v>45</v>
      </c>
      <c r="C473" s="211">
        <v>500338</v>
      </c>
      <c r="D473" s="151" t="s">
        <v>2627</v>
      </c>
      <c r="E473" s="211">
        <v>180.2</v>
      </c>
      <c r="F473" s="151" t="s">
        <v>1238</v>
      </c>
      <c r="G473" s="151" t="s">
        <v>1138</v>
      </c>
      <c r="H473" s="211">
        <v>9068</v>
      </c>
      <c r="I473" s="17">
        <f t="shared" si="1"/>
        <v>503218645.94894564</v>
      </c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spans="1:24">
      <c r="A474" s="151" t="s">
        <v>2628</v>
      </c>
      <c r="B474" s="17" t="s">
        <v>2629</v>
      </c>
      <c r="C474" s="211">
        <v>533095</v>
      </c>
      <c r="D474" s="151" t="s">
        <v>2630</v>
      </c>
      <c r="E474" s="211">
        <v>8025</v>
      </c>
      <c r="F474" s="151" t="s">
        <v>1194</v>
      </c>
      <c r="G474" s="151" t="s">
        <v>1137</v>
      </c>
      <c r="H474" s="211">
        <v>9065.2999999999993</v>
      </c>
      <c r="I474" s="17">
        <f t="shared" si="1"/>
        <v>11296323.987538941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spans="1:24">
      <c r="A475" s="151" t="s">
        <v>2631</v>
      </c>
      <c r="B475" s="17" t="s">
        <v>2632</v>
      </c>
      <c r="C475" s="211">
        <v>541233</v>
      </c>
      <c r="D475" s="151" t="s">
        <v>2633</v>
      </c>
      <c r="E475" s="211">
        <v>114.1</v>
      </c>
      <c r="F475" s="151" t="s">
        <v>1532</v>
      </c>
      <c r="G475" s="151" t="s">
        <v>1533</v>
      </c>
      <c r="H475" s="211">
        <v>9039.5</v>
      </c>
      <c r="I475" s="17">
        <f t="shared" si="1"/>
        <v>792243645.92462754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spans="1:24">
      <c r="A476" s="151" t="s">
        <v>2634</v>
      </c>
      <c r="B476" s="17" t="s">
        <v>2635</v>
      </c>
      <c r="C476" s="211">
        <v>540565</v>
      </c>
      <c r="D476" s="151" t="s">
        <v>2636</v>
      </c>
      <c r="E476" s="211">
        <v>128.5</v>
      </c>
      <c r="F476" s="151" t="s">
        <v>1847</v>
      </c>
      <c r="G476" s="151" t="s">
        <v>1144</v>
      </c>
      <c r="H476" s="211">
        <v>8997.2999999999993</v>
      </c>
      <c r="I476" s="17">
        <f t="shared" si="1"/>
        <v>700178988.32684827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spans="1:24">
      <c r="A477" s="151" t="s">
        <v>2637</v>
      </c>
      <c r="B477" s="17" t="s">
        <v>2638</v>
      </c>
      <c r="C477" s="211">
        <v>532468</v>
      </c>
      <c r="D477" s="151" t="s">
        <v>2639</v>
      </c>
      <c r="E477" s="211">
        <v>2790</v>
      </c>
      <c r="F477" s="151" t="s">
        <v>1233</v>
      </c>
      <c r="G477" s="151" t="s">
        <v>1234</v>
      </c>
      <c r="H477" s="211">
        <v>8953.1</v>
      </c>
      <c r="I477" s="17">
        <f t="shared" si="1"/>
        <v>32089964.157706093</v>
      </c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spans="1:24">
      <c r="A478" s="151" t="s">
        <v>2640</v>
      </c>
      <c r="B478" s="17" t="s">
        <v>159</v>
      </c>
      <c r="C478" s="211">
        <v>532178</v>
      </c>
      <c r="D478" s="151" t="s">
        <v>2641</v>
      </c>
      <c r="E478" s="211">
        <v>157.6</v>
      </c>
      <c r="F478" s="151" t="s">
        <v>2642</v>
      </c>
      <c r="G478" s="151" t="s">
        <v>1229</v>
      </c>
      <c r="H478" s="211">
        <v>8857.7999999999993</v>
      </c>
      <c r="I478" s="17">
        <f t="shared" si="1"/>
        <v>562043147.2081219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spans="1:24">
      <c r="A479" s="151" t="s">
        <v>2643</v>
      </c>
      <c r="B479" s="17" t="s">
        <v>2644</v>
      </c>
      <c r="C479" s="211">
        <v>532627</v>
      </c>
      <c r="D479" s="151" t="s">
        <v>2645</v>
      </c>
      <c r="E479" s="211">
        <v>12.9</v>
      </c>
      <c r="F479" s="151" t="s">
        <v>1242</v>
      </c>
      <c r="G479" s="151" t="s">
        <v>1144</v>
      </c>
      <c r="H479" s="211">
        <v>8841</v>
      </c>
      <c r="I479" s="17">
        <f t="shared" si="1"/>
        <v>6853488372.0930233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spans="1:24">
      <c r="A480" s="151" t="s">
        <v>2646</v>
      </c>
      <c r="B480" s="17" t="s">
        <v>2647</v>
      </c>
      <c r="C480" s="211">
        <v>538962</v>
      </c>
      <c r="D480" s="151" t="s">
        <v>2648</v>
      </c>
      <c r="E480" s="211">
        <v>369.2</v>
      </c>
      <c r="F480" s="151" t="s">
        <v>1507</v>
      </c>
      <c r="G480" s="151" t="s">
        <v>1211</v>
      </c>
      <c r="H480" s="211">
        <v>8825.6</v>
      </c>
      <c r="I480" s="17">
        <f t="shared" si="1"/>
        <v>239046587.2156013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spans="1:24">
      <c r="A481" s="151" t="s">
        <v>2649</v>
      </c>
      <c r="B481" s="17" t="s">
        <v>2650</v>
      </c>
      <c r="C481" s="211">
        <v>539150</v>
      </c>
      <c r="D481" s="151" t="s">
        <v>2651</v>
      </c>
      <c r="E481" s="211">
        <v>343.8</v>
      </c>
      <c r="F481" s="151" t="s">
        <v>1970</v>
      </c>
      <c r="G481" s="151" t="s">
        <v>1138</v>
      </c>
      <c r="H481" s="211">
        <v>8819.7999999999993</v>
      </c>
      <c r="I481" s="17">
        <f t="shared" si="1"/>
        <v>256538685.28214076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spans="1:24">
      <c r="A482" s="151" t="s">
        <v>2652</v>
      </c>
      <c r="B482" s="17" t="s">
        <v>2653</v>
      </c>
      <c r="C482" s="211">
        <v>500878</v>
      </c>
      <c r="D482" s="151" t="s">
        <v>2654</v>
      </c>
      <c r="E482" s="211">
        <v>2177.6999999999998</v>
      </c>
      <c r="F482" s="151" t="s">
        <v>1646</v>
      </c>
      <c r="G482" s="151" t="s">
        <v>1211</v>
      </c>
      <c r="H482" s="211">
        <v>8808.7999999999993</v>
      </c>
      <c r="I482" s="17">
        <f t="shared" si="1"/>
        <v>40450016.072002575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spans="1:24">
      <c r="A483" s="151" t="s">
        <v>2655</v>
      </c>
      <c r="B483" s="17" t="s">
        <v>2656</v>
      </c>
      <c r="C483" s="211">
        <v>532872</v>
      </c>
      <c r="D483" s="151" t="s">
        <v>2657</v>
      </c>
      <c r="E483" s="211">
        <v>271</v>
      </c>
      <c r="F483" s="151" t="s">
        <v>694</v>
      </c>
      <c r="G483" s="151" t="s">
        <v>1224</v>
      </c>
      <c r="H483" s="211">
        <v>8794.5</v>
      </c>
      <c r="I483" s="17">
        <f t="shared" si="1"/>
        <v>324520295.20295203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spans="1:24">
      <c r="A484" s="151" t="s">
        <v>2658</v>
      </c>
      <c r="B484" s="17" t="s">
        <v>2659</v>
      </c>
      <c r="C484" s="211">
        <v>504614</v>
      </c>
      <c r="D484" s="151" t="s">
        <v>2660</v>
      </c>
      <c r="E484" s="211">
        <v>249.6</v>
      </c>
      <c r="F484" s="151" t="s">
        <v>1272</v>
      </c>
      <c r="G484" s="151" t="s">
        <v>1142</v>
      </c>
      <c r="H484" s="211">
        <v>8793.7000000000007</v>
      </c>
      <c r="I484" s="17">
        <f t="shared" si="1"/>
        <v>352311698.71794873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spans="1:24">
      <c r="A485" s="151" t="s">
        <v>2661</v>
      </c>
      <c r="B485" s="17" t="s">
        <v>2662</v>
      </c>
      <c r="C485" s="211">
        <v>530007</v>
      </c>
      <c r="D485" s="151" t="s">
        <v>2663</v>
      </c>
      <c r="E485" s="211">
        <v>356.8</v>
      </c>
      <c r="F485" s="151" t="s">
        <v>1646</v>
      </c>
      <c r="G485" s="151" t="s">
        <v>1211</v>
      </c>
      <c r="H485" s="211">
        <v>8786.7000000000007</v>
      </c>
      <c r="I485" s="17">
        <f t="shared" si="1"/>
        <v>246264013.4529148</v>
      </c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spans="1:24">
      <c r="A486" s="151" t="s">
        <v>2664</v>
      </c>
      <c r="B486" s="17" t="s">
        <v>2665</v>
      </c>
      <c r="C486" s="211">
        <v>541578</v>
      </c>
      <c r="D486" s="151" t="s">
        <v>2666</v>
      </c>
      <c r="E486" s="211">
        <v>572.6</v>
      </c>
      <c r="F486" s="151" t="s">
        <v>1507</v>
      </c>
      <c r="G486" s="151" t="s">
        <v>1211</v>
      </c>
      <c r="H486" s="211">
        <v>8749.2999999999993</v>
      </c>
      <c r="I486" s="17">
        <f t="shared" si="1"/>
        <v>152799511.00244498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spans="1:24">
      <c r="A487" s="151" t="s">
        <v>2667</v>
      </c>
      <c r="B487" s="17" t="s">
        <v>2668</v>
      </c>
      <c r="C487" s="211">
        <v>515055</v>
      </c>
      <c r="D487" s="151" t="s">
        <v>2669</v>
      </c>
      <c r="E487" s="211">
        <v>269.8</v>
      </c>
      <c r="F487" s="151" t="s">
        <v>1307</v>
      </c>
      <c r="G487" s="151" t="s">
        <v>1307</v>
      </c>
      <c r="H487" s="211">
        <v>8745.7000000000007</v>
      </c>
      <c r="I487" s="17">
        <f t="shared" si="1"/>
        <v>324154929.57746476</v>
      </c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spans="1:24">
      <c r="A488" s="151" t="s">
        <v>2670</v>
      </c>
      <c r="B488" s="17" t="s">
        <v>2671</v>
      </c>
      <c r="C488" s="211">
        <v>543385</v>
      </c>
      <c r="D488" s="151" t="s">
        <v>2672</v>
      </c>
      <c r="E488" s="211">
        <v>119</v>
      </c>
      <c r="F488" s="151" t="s">
        <v>1847</v>
      </c>
      <c r="G488" s="151" t="s">
        <v>1144</v>
      </c>
      <c r="H488" s="211">
        <v>8737.7000000000007</v>
      </c>
      <c r="I488" s="17">
        <f t="shared" si="1"/>
        <v>734260504.20168066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spans="1:24">
      <c r="A489" s="151" t="s">
        <v>2673</v>
      </c>
      <c r="B489" s="17" t="s">
        <v>2674</v>
      </c>
      <c r="C489" s="211">
        <v>519600</v>
      </c>
      <c r="D489" s="151" t="s">
        <v>2675</v>
      </c>
      <c r="E489" s="211">
        <v>650.6</v>
      </c>
      <c r="F489" s="151" t="s">
        <v>2550</v>
      </c>
      <c r="G489" s="151" t="s">
        <v>1140</v>
      </c>
      <c r="H489" s="211">
        <v>8654.7999999999993</v>
      </c>
      <c r="I489" s="17">
        <f t="shared" si="1"/>
        <v>133027974.17768213</v>
      </c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spans="1:24">
      <c r="A490" s="151" t="s">
        <v>2676</v>
      </c>
      <c r="B490" s="17" t="s">
        <v>2677</v>
      </c>
      <c r="C490" s="211">
        <v>542650</v>
      </c>
      <c r="D490" s="151" t="s">
        <v>2678</v>
      </c>
      <c r="E490" s="211">
        <v>1688</v>
      </c>
      <c r="F490" s="151" t="s">
        <v>1977</v>
      </c>
      <c r="G490" s="151" t="s">
        <v>1139</v>
      </c>
      <c r="H490" s="211">
        <v>8646.7999999999993</v>
      </c>
      <c r="I490" s="17">
        <f t="shared" si="1"/>
        <v>51225118.483412325</v>
      </c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spans="1:24">
      <c r="A491" s="151" t="s">
        <v>2679</v>
      </c>
      <c r="B491" s="17" t="s">
        <v>2680</v>
      </c>
      <c r="C491" s="211">
        <v>543290</v>
      </c>
      <c r="D491" s="151" t="s">
        <v>2681</v>
      </c>
      <c r="E491" s="211">
        <v>95</v>
      </c>
      <c r="F491" s="151" t="s">
        <v>1847</v>
      </c>
      <c r="G491" s="151" t="s">
        <v>1144</v>
      </c>
      <c r="H491" s="211">
        <v>8645</v>
      </c>
      <c r="I491" s="17">
        <f t="shared" si="1"/>
        <v>910000000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spans="1:24">
      <c r="A492" s="151" t="s">
        <v>2682</v>
      </c>
      <c r="B492" s="17" t="s">
        <v>2683</v>
      </c>
      <c r="C492" s="211">
        <v>505509</v>
      </c>
      <c r="D492" s="151" t="s">
        <v>2684</v>
      </c>
      <c r="E492" s="211">
        <v>323.8</v>
      </c>
      <c r="F492" s="151" t="s">
        <v>1220</v>
      </c>
      <c r="G492" s="151" t="s">
        <v>1139</v>
      </c>
      <c r="H492" s="211">
        <v>8632.7999999999993</v>
      </c>
      <c r="I492" s="17">
        <f t="shared" si="1"/>
        <v>266609017.91229153</v>
      </c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spans="1:24">
      <c r="A493" s="151" t="s">
        <v>2685</v>
      </c>
      <c r="B493" s="17" t="s">
        <v>2686</v>
      </c>
      <c r="C493" s="211">
        <v>507880</v>
      </c>
      <c r="D493" s="151" t="s">
        <v>2687</v>
      </c>
      <c r="E493" s="211">
        <v>605.1</v>
      </c>
      <c r="F493" s="151" t="s">
        <v>1710</v>
      </c>
      <c r="G493" s="151" t="s">
        <v>1216</v>
      </c>
      <c r="H493" s="211">
        <v>8587.7000000000007</v>
      </c>
      <c r="I493" s="17">
        <f t="shared" si="1"/>
        <v>141921996.36423731</v>
      </c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spans="1:24">
      <c r="A494" s="151" t="s">
        <v>2688</v>
      </c>
      <c r="B494" s="17" t="s">
        <v>2689</v>
      </c>
      <c r="C494" s="211">
        <v>500126</v>
      </c>
      <c r="D494" s="151" t="s">
        <v>2690</v>
      </c>
      <c r="E494" s="211">
        <v>5169.8</v>
      </c>
      <c r="F494" s="151" t="s">
        <v>694</v>
      </c>
      <c r="G494" s="151" t="s">
        <v>1224</v>
      </c>
      <c r="H494" s="211">
        <v>8581.6</v>
      </c>
      <c r="I494" s="17">
        <f t="shared" si="1"/>
        <v>16599481.604704244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spans="1:24">
      <c r="A495" s="151" t="s">
        <v>2691</v>
      </c>
      <c r="B495" s="17" t="s">
        <v>1105</v>
      </c>
      <c r="C495" s="211">
        <v>533293</v>
      </c>
      <c r="D495" s="151" t="s">
        <v>2692</v>
      </c>
      <c r="E495" s="211">
        <v>590.4</v>
      </c>
      <c r="F495" s="151" t="s">
        <v>1323</v>
      </c>
      <c r="G495" s="151" t="s">
        <v>1141</v>
      </c>
      <c r="H495" s="211">
        <v>8554.9</v>
      </c>
      <c r="I495" s="17">
        <f t="shared" si="1"/>
        <v>144900067.75067753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spans="1:24">
      <c r="A496" s="151" t="s">
        <v>2693</v>
      </c>
      <c r="B496" s="17" t="s">
        <v>2694</v>
      </c>
      <c r="C496" s="211">
        <v>532356</v>
      </c>
      <c r="D496" s="151" t="s">
        <v>2695</v>
      </c>
      <c r="E496" s="211">
        <v>390.4</v>
      </c>
      <c r="F496" s="151" t="s">
        <v>2449</v>
      </c>
      <c r="G496" s="151" t="s">
        <v>1140</v>
      </c>
      <c r="H496" s="211">
        <v>8544.7000000000007</v>
      </c>
      <c r="I496" s="17">
        <f t="shared" si="1"/>
        <v>218870389.3442623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spans="1:24">
      <c r="A497" s="151" t="s">
        <v>2696</v>
      </c>
      <c r="B497" s="17" t="s">
        <v>2697</v>
      </c>
      <c r="C497" s="211">
        <v>543626</v>
      </c>
      <c r="D497" s="151" t="s">
        <v>2698</v>
      </c>
      <c r="E497" s="211">
        <v>220.1</v>
      </c>
      <c r="F497" s="151" t="s">
        <v>1770</v>
      </c>
      <c r="G497" s="151" t="s">
        <v>1441</v>
      </c>
      <c r="H497" s="211">
        <v>8468.2999999999993</v>
      </c>
      <c r="I497" s="17">
        <f t="shared" si="1"/>
        <v>384747841.89004999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spans="1:24">
      <c r="A498" s="151" t="s">
        <v>2699</v>
      </c>
      <c r="B498" s="17" t="s">
        <v>2700</v>
      </c>
      <c r="C498" s="211">
        <v>543523</v>
      </c>
      <c r="D498" s="151" t="s">
        <v>2701</v>
      </c>
      <c r="E498" s="211">
        <v>277.2</v>
      </c>
      <c r="F498" s="151" t="s">
        <v>1748</v>
      </c>
      <c r="G498" s="151" t="s">
        <v>1247</v>
      </c>
      <c r="H498" s="211">
        <v>8460.2000000000007</v>
      </c>
      <c r="I498" s="17">
        <f t="shared" si="1"/>
        <v>305202020.20202023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spans="1:24">
      <c r="A499" s="151" t="s">
        <v>2702</v>
      </c>
      <c r="B499" s="17" t="s">
        <v>2703</v>
      </c>
      <c r="C499" s="211">
        <v>532313</v>
      </c>
      <c r="D499" s="151" t="s">
        <v>2704</v>
      </c>
      <c r="E499" s="211">
        <v>541.20000000000005</v>
      </c>
      <c r="F499" s="151" t="s">
        <v>1307</v>
      </c>
      <c r="G499" s="151" t="s">
        <v>1307</v>
      </c>
      <c r="H499" s="211">
        <v>8386.1</v>
      </c>
      <c r="I499" s="17">
        <f t="shared" si="1"/>
        <v>154953806.35624537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spans="1:24">
      <c r="A500" s="151" t="s">
        <v>2705</v>
      </c>
      <c r="B500" s="17" t="s">
        <v>2706</v>
      </c>
      <c r="C500" s="211">
        <v>524226</v>
      </c>
      <c r="D500" s="151" t="s">
        <v>2707</v>
      </c>
      <c r="E500" s="211">
        <v>365.5</v>
      </c>
      <c r="F500" s="151" t="s">
        <v>1616</v>
      </c>
      <c r="G500" s="151" t="s">
        <v>1173</v>
      </c>
      <c r="H500" s="211">
        <v>8382.2000000000007</v>
      </c>
      <c r="I500" s="17">
        <f t="shared" si="1"/>
        <v>229335157.31874144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spans="1:24">
      <c r="A501" s="151" t="s">
        <v>2708</v>
      </c>
      <c r="B501" s="17" t="s">
        <v>2709</v>
      </c>
      <c r="C501" s="211">
        <v>500690</v>
      </c>
      <c r="D501" s="151" t="s">
        <v>2710</v>
      </c>
      <c r="E501" s="211">
        <v>210</v>
      </c>
      <c r="F501" s="151" t="s">
        <v>1650</v>
      </c>
      <c r="G501" s="151" t="s">
        <v>1650</v>
      </c>
      <c r="H501" s="211">
        <v>8368</v>
      </c>
      <c r="I501" s="17">
        <f t="shared" si="1"/>
        <v>398476190.47619045</v>
      </c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spans="1:24">
      <c r="A502" s="151" t="s">
        <v>2711</v>
      </c>
      <c r="B502" s="17" t="s">
        <v>2712</v>
      </c>
      <c r="C502" s="211">
        <v>543259</v>
      </c>
      <c r="D502" s="151" t="s">
        <v>2713</v>
      </c>
      <c r="E502" s="211">
        <v>948.3</v>
      </c>
      <c r="F502" s="151" t="s">
        <v>1886</v>
      </c>
      <c r="G502" s="151" t="s">
        <v>1137</v>
      </c>
      <c r="H502" s="211">
        <v>8362.1</v>
      </c>
      <c r="I502" s="17">
        <f t="shared" si="1"/>
        <v>88179900.875250459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spans="1:24">
      <c r="A503" s="151" t="s">
        <v>2714</v>
      </c>
      <c r="B503" s="17" t="s">
        <v>2715</v>
      </c>
      <c r="C503" s="211">
        <v>532800</v>
      </c>
      <c r="D503" s="151" t="s">
        <v>2716</v>
      </c>
      <c r="E503" s="211">
        <v>48.6</v>
      </c>
      <c r="F503" s="151" t="s">
        <v>1907</v>
      </c>
      <c r="G503" s="151" t="s">
        <v>1908</v>
      </c>
      <c r="H503" s="211">
        <v>8340.4</v>
      </c>
      <c r="I503" s="17">
        <f t="shared" si="1"/>
        <v>1716131687.2427983</v>
      </c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spans="1:24">
      <c r="A504" s="151" t="s">
        <v>2717</v>
      </c>
      <c r="B504" s="17" t="s">
        <v>2718</v>
      </c>
      <c r="C504" s="211">
        <v>500214</v>
      </c>
      <c r="D504" s="151" t="s">
        <v>2719</v>
      </c>
      <c r="E504" s="211">
        <v>565</v>
      </c>
      <c r="F504" s="151" t="s">
        <v>1410</v>
      </c>
      <c r="G504" s="151" t="s">
        <v>1144</v>
      </c>
      <c r="H504" s="211">
        <v>8287.4</v>
      </c>
      <c r="I504" s="17">
        <f t="shared" si="1"/>
        <v>146679646.01769912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spans="1:24">
      <c r="A505" s="151" t="s">
        <v>2720</v>
      </c>
      <c r="B505" s="17" t="s">
        <v>2721</v>
      </c>
      <c r="C505" s="211">
        <v>534139</v>
      </c>
      <c r="D505" s="151" t="s">
        <v>2722</v>
      </c>
      <c r="E505" s="211">
        <v>344.4</v>
      </c>
      <c r="F505" s="151" t="s">
        <v>1323</v>
      </c>
      <c r="G505" s="151" t="s">
        <v>1141</v>
      </c>
      <c r="H505" s="211">
        <v>8235.9</v>
      </c>
      <c r="I505" s="17">
        <f t="shared" si="1"/>
        <v>239137630.66202092</v>
      </c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spans="1:24">
      <c r="A506" s="151" t="s">
        <v>2723</v>
      </c>
      <c r="B506" s="17" t="s">
        <v>2724</v>
      </c>
      <c r="C506" s="211">
        <v>523405</v>
      </c>
      <c r="D506" s="151" t="s">
        <v>2725</v>
      </c>
      <c r="E506" s="211">
        <v>86.1</v>
      </c>
      <c r="F506" s="151" t="s">
        <v>1233</v>
      </c>
      <c r="G506" s="151" t="s">
        <v>1234</v>
      </c>
      <c r="H506" s="211">
        <v>8223.9</v>
      </c>
      <c r="I506" s="17">
        <f t="shared" si="1"/>
        <v>955156794.42508721</v>
      </c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spans="1:24">
      <c r="A507" s="151" t="s">
        <v>2726</v>
      </c>
      <c r="B507" s="17" t="s">
        <v>2727</v>
      </c>
      <c r="C507" s="211">
        <v>543596</v>
      </c>
      <c r="D507" s="151" t="s">
        <v>2728</v>
      </c>
      <c r="E507" s="211">
        <v>517.79999999999995</v>
      </c>
      <c r="F507" s="151" t="s">
        <v>1165</v>
      </c>
      <c r="G507" s="151" t="s">
        <v>1137</v>
      </c>
      <c r="H507" s="211">
        <v>8199.4</v>
      </c>
      <c r="I507" s="17">
        <f t="shared" si="1"/>
        <v>158350714.56160682</v>
      </c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spans="1:24">
      <c r="A508" s="151" t="s">
        <v>2729</v>
      </c>
      <c r="B508" s="17" t="s">
        <v>2730</v>
      </c>
      <c r="C508" s="211">
        <v>543261</v>
      </c>
      <c r="D508" s="151" t="s">
        <v>2731</v>
      </c>
      <c r="E508" s="211">
        <v>239.9</v>
      </c>
      <c r="F508" s="151" t="s">
        <v>1847</v>
      </c>
      <c r="G508" s="151" t="s">
        <v>1144</v>
      </c>
      <c r="H508" s="211">
        <v>8039.1</v>
      </c>
      <c r="I508" s="17">
        <f t="shared" si="1"/>
        <v>335102125.88578576</v>
      </c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spans="1:24">
      <c r="A509" s="151" t="s">
        <v>2732</v>
      </c>
      <c r="B509" s="17" t="s">
        <v>2733</v>
      </c>
      <c r="C509" s="211">
        <v>500645</v>
      </c>
      <c r="D509" s="151" t="s">
        <v>2734</v>
      </c>
      <c r="E509" s="211">
        <v>635.79999999999995</v>
      </c>
      <c r="F509" s="151" t="s">
        <v>1840</v>
      </c>
      <c r="G509" s="151" t="s">
        <v>1335</v>
      </c>
      <c r="H509" s="211">
        <v>8026.8</v>
      </c>
      <c r="I509" s="17">
        <f t="shared" si="1"/>
        <v>126247247.56212646</v>
      </c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spans="1:24">
      <c r="A510" s="151" t="s">
        <v>2735</v>
      </c>
      <c r="B510" s="17" t="s">
        <v>2736</v>
      </c>
      <c r="C510" s="211">
        <v>532939</v>
      </c>
      <c r="D510" s="151" t="s">
        <v>2737</v>
      </c>
      <c r="E510" s="211">
        <v>21</v>
      </c>
      <c r="F510" s="151" t="s">
        <v>1242</v>
      </c>
      <c r="G510" s="151" t="s">
        <v>1144</v>
      </c>
      <c r="H510" s="211">
        <v>7984.4</v>
      </c>
      <c r="I510" s="17">
        <f t="shared" si="1"/>
        <v>3802095238.0952382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spans="1:24">
      <c r="A511" s="151" t="s">
        <v>2738</v>
      </c>
      <c r="B511" s="17" t="s">
        <v>2739</v>
      </c>
      <c r="C511" s="211">
        <v>530005</v>
      </c>
      <c r="D511" s="151" t="s">
        <v>2740</v>
      </c>
      <c r="E511" s="211">
        <v>257.60000000000002</v>
      </c>
      <c r="F511" s="151" t="s">
        <v>1238</v>
      </c>
      <c r="G511" s="151" t="s">
        <v>1138</v>
      </c>
      <c r="H511" s="211">
        <v>7983</v>
      </c>
      <c r="I511" s="17">
        <f t="shared" si="1"/>
        <v>309899068.32298136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spans="1:24">
      <c r="A512" s="151" t="s">
        <v>2741</v>
      </c>
      <c r="B512" s="17" t="s">
        <v>2742</v>
      </c>
      <c r="C512" s="211">
        <v>530813</v>
      </c>
      <c r="D512" s="151" t="s">
        <v>2743</v>
      </c>
      <c r="E512" s="211">
        <v>348.6</v>
      </c>
      <c r="F512" s="151" t="s">
        <v>1255</v>
      </c>
      <c r="G512" s="151" t="s">
        <v>1173</v>
      </c>
      <c r="H512" s="211">
        <v>7978</v>
      </c>
      <c r="I512" s="17">
        <f t="shared" ref="I512:I766" si="2">H512*10000000/E512</f>
        <v>228858290.30407342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spans="1:24">
      <c r="A513" s="151" t="s">
        <v>2744</v>
      </c>
      <c r="B513" s="17" t="s">
        <v>2745</v>
      </c>
      <c r="C513" s="211">
        <v>533088</v>
      </c>
      <c r="D513" s="151" t="s">
        <v>2746</v>
      </c>
      <c r="E513" s="211">
        <v>391.6</v>
      </c>
      <c r="F513" s="151" t="s">
        <v>1532</v>
      </c>
      <c r="G513" s="151" t="s">
        <v>1533</v>
      </c>
      <c r="H513" s="211">
        <v>7906.3</v>
      </c>
      <c r="I513" s="17">
        <f t="shared" si="2"/>
        <v>201897344.22880489</v>
      </c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spans="1:24">
      <c r="A514" s="151" t="s">
        <v>2747</v>
      </c>
      <c r="B514" s="17" t="s">
        <v>2748</v>
      </c>
      <c r="C514" s="211">
        <v>542907</v>
      </c>
      <c r="D514" s="151" t="s">
        <v>2749</v>
      </c>
      <c r="E514" s="211">
        <v>714</v>
      </c>
      <c r="F514" s="151" t="s">
        <v>1546</v>
      </c>
      <c r="G514" s="151" t="s">
        <v>1141</v>
      </c>
      <c r="H514" s="211">
        <v>7893.5</v>
      </c>
      <c r="I514" s="17">
        <f t="shared" si="2"/>
        <v>110553221.2885154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spans="1:24">
      <c r="A515" s="151" t="s">
        <v>2750</v>
      </c>
      <c r="B515" s="17" t="s">
        <v>202</v>
      </c>
      <c r="C515" s="211">
        <v>500241</v>
      </c>
      <c r="D515" s="151" t="s">
        <v>2751</v>
      </c>
      <c r="E515" s="211">
        <v>990.8</v>
      </c>
      <c r="F515" s="151" t="s">
        <v>1587</v>
      </c>
      <c r="G515" s="151" t="s">
        <v>1141</v>
      </c>
      <c r="H515" s="211">
        <v>7867.4</v>
      </c>
      <c r="I515" s="17">
        <f t="shared" si="2"/>
        <v>79404521.598708123</v>
      </c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spans="1:24">
      <c r="A516" s="151" t="s">
        <v>2752</v>
      </c>
      <c r="B516" s="17" t="s">
        <v>2753</v>
      </c>
      <c r="C516" s="211">
        <v>533282</v>
      </c>
      <c r="D516" s="151" t="s">
        <v>2754</v>
      </c>
      <c r="E516" s="211">
        <v>1138.3</v>
      </c>
      <c r="F516" s="151" t="s">
        <v>2755</v>
      </c>
      <c r="G516" s="151" t="s">
        <v>1142</v>
      </c>
      <c r="H516" s="211">
        <v>7858.6</v>
      </c>
      <c r="I516" s="17">
        <f t="shared" si="2"/>
        <v>69038039.181235179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spans="1:24">
      <c r="A517" s="151" t="s">
        <v>2756</v>
      </c>
      <c r="B517" s="17" t="s">
        <v>2757</v>
      </c>
      <c r="C517" s="211">
        <v>542141</v>
      </c>
      <c r="D517" s="151" t="s">
        <v>2758</v>
      </c>
      <c r="E517" s="211">
        <v>728.4</v>
      </c>
      <c r="F517" s="151" t="s">
        <v>1242</v>
      </c>
      <c r="G517" s="151" t="s">
        <v>1144</v>
      </c>
      <c r="H517" s="211">
        <v>7838.4</v>
      </c>
      <c r="I517" s="17">
        <f t="shared" si="2"/>
        <v>107611202.63591434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spans="1:24">
      <c r="A518" s="151" t="s">
        <v>2759</v>
      </c>
      <c r="B518" s="17" t="s">
        <v>2760</v>
      </c>
      <c r="C518" s="211">
        <v>532942</v>
      </c>
      <c r="D518" s="151" t="s">
        <v>2761</v>
      </c>
      <c r="E518" s="211">
        <v>277.8</v>
      </c>
      <c r="F518" s="151" t="s">
        <v>1190</v>
      </c>
      <c r="G518" s="151" t="s">
        <v>1138</v>
      </c>
      <c r="H518" s="211">
        <v>7812.7</v>
      </c>
      <c r="I518" s="17">
        <f t="shared" si="2"/>
        <v>281234701.22390205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spans="1:24">
      <c r="A519" s="151" t="s">
        <v>2762</v>
      </c>
      <c r="B519" s="17" t="s">
        <v>2763</v>
      </c>
      <c r="C519" s="211">
        <v>543322</v>
      </c>
      <c r="D519" s="151" t="s">
        <v>2764</v>
      </c>
      <c r="E519" s="211">
        <v>636.4</v>
      </c>
      <c r="F519" s="151" t="s">
        <v>694</v>
      </c>
      <c r="G519" s="151" t="s">
        <v>1224</v>
      </c>
      <c r="H519" s="211">
        <v>7798.2</v>
      </c>
      <c r="I519" s="17">
        <f t="shared" si="2"/>
        <v>122536140.79195476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spans="1:24">
      <c r="A520" s="151" t="s">
        <v>2765</v>
      </c>
      <c r="B520" s="17" t="s">
        <v>2766</v>
      </c>
      <c r="C520" s="211">
        <v>513377</v>
      </c>
      <c r="D520" s="151" t="s">
        <v>2767</v>
      </c>
      <c r="E520" s="211">
        <v>52</v>
      </c>
      <c r="F520" s="151" t="s">
        <v>1228</v>
      </c>
      <c r="G520" s="151" t="s">
        <v>1229</v>
      </c>
      <c r="H520" s="211">
        <v>7792.5</v>
      </c>
      <c r="I520" s="17">
        <f t="shared" si="2"/>
        <v>1498557692.3076923</v>
      </c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spans="1:24">
      <c r="A521" s="151" t="s">
        <v>2768</v>
      </c>
      <c r="B521" s="17" t="s">
        <v>167</v>
      </c>
      <c r="C521" s="211">
        <v>500390</v>
      </c>
      <c r="D521" s="151" t="s">
        <v>2769</v>
      </c>
      <c r="E521" s="211">
        <v>196.7</v>
      </c>
      <c r="F521" s="151" t="s">
        <v>1242</v>
      </c>
      <c r="G521" s="151" t="s">
        <v>1144</v>
      </c>
      <c r="H521" s="211">
        <v>7791.9</v>
      </c>
      <c r="I521" s="17">
        <f t="shared" si="2"/>
        <v>396131164.20945603</v>
      </c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spans="1:24">
      <c r="A522" s="151" t="s">
        <v>2770</v>
      </c>
      <c r="B522" s="17" t="s">
        <v>55</v>
      </c>
      <c r="C522" s="211">
        <v>524404</v>
      </c>
      <c r="D522" s="151" t="s">
        <v>2771</v>
      </c>
      <c r="E522" s="211">
        <v>171.3</v>
      </c>
      <c r="F522" s="151" t="s">
        <v>694</v>
      </c>
      <c r="G522" s="151" t="s">
        <v>1224</v>
      </c>
      <c r="H522" s="211">
        <v>7762.7</v>
      </c>
      <c r="I522" s="17">
        <f t="shared" si="2"/>
        <v>453164039.69643897</v>
      </c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spans="1:24">
      <c r="A523" s="151" t="s">
        <v>2772</v>
      </c>
      <c r="B523" s="17" t="s">
        <v>2773</v>
      </c>
      <c r="C523" s="211">
        <v>543277</v>
      </c>
      <c r="D523" s="151" t="s">
        <v>2774</v>
      </c>
      <c r="E523" s="211">
        <v>281.8</v>
      </c>
      <c r="F523" s="151" t="s">
        <v>1334</v>
      </c>
      <c r="G523" s="151" t="s">
        <v>1335</v>
      </c>
      <c r="H523" s="211">
        <v>7753.8</v>
      </c>
      <c r="I523" s="17">
        <f t="shared" si="2"/>
        <v>275152590.48970902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spans="1:24">
      <c r="A524" s="151" t="s">
        <v>2775</v>
      </c>
      <c r="B524" s="17" t="s">
        <v>2776</v>
      </c>
      <c r="C524" s="211">
        <v>532783</v>
      </c>
      <c r="D524" s="151" t="s">
        <v>2777</v>
      </c>
      <c r="E524" s="211">
        <v>222.4</v>
      </c>
      <c r="F524" s="151" t="s">
        <v>1255</v>
      </c>
      <c r="G524" s="151" t="s">
        <v>1173</v>
      </c>
      <c r="H524" s="211">
        <v>7724.6</v>
      </c>
      <c r="I524" s="17">
        <f t="shared" si="2"/>
        <v>347329136.69064748</v>
      </c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spans="1:24">
      <c r="A525" s="151" t="s">
        <v>2778</v>
      </c>
      <c r="B525" s="17" t="s">
        <v>2779</v>
      </c>
      <c r="C525" s="211">
        <v>532652</v>
      </c>
      <c r="D525" s="151" t="s">
        <v>2780</v>
      </c>
      <c r="E525" s="211">
        <v>222</v>
      </c>
      <c r="F525" s="151" t="s">
        <v>1165</v>
      </c>
      <c r="G525" s="151" t="s">
        <v>1137</v>
      </c>
      <c r="H525" s="211">
        <v>7698.1</v>
      </c>
      <c r="I525" s="17">
        <f t="shared" si="2"/>
        <v>346761261.26126128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spans="1:24">
      <c r="A526" s="151" t="s">
        <v>2781</v>
      </c>
      <c r="B526" s="17" t="s">
        <v>2782</v>
      </c>
      <c r="C526" s="211">
        <v>520113</v>
      </c>
      <c r="D526" s="151" t="s">
        <v>2783</v>
      </c>
      <c r="E526" s="211">
        <v>3779</v>
      </c>
      <c r="F526" s="151" t="s">
        <v>1783</v>
      </c>
      <c r="G526" s="151" t="s">
        <v>1141</v>
      </c>
      <c r="H526" s="211">
        <v>7669.9</v>
      </c>
      <c r="I526" s="17">
        <f t="shared" si="2"/>
        <v>20296110.082032282</v>
      </c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spans="1:24">
      <c r="A527" s="151" t="s">
        <v>2784</v>
      </c>
      <c r="B527" s="17" t="s">
        <v>2785</v>
      </c>
      <c r="C527" s="211">
        <v>543336</v>
      </c>
      <c r="D527" s="151" t="s">
        <v>2786</v>
      </c>
      <c r="E527" s="211">
        <v>483.2</v>
      </c>
      <c r="F527" s="151" t="s">
        <v>1334</v>
      </c>
      <c r="G527" s="151" t="s">
        <v>1335</v>
      </c>
      <c r="H527" s="211">
        <v>7639.9</v>
      </c>
      <c r="I527" s="17">
        <f t="shared" si="2"/>
        <v>158110513.24503312</v>
      </c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spans="1:24">
      <c r="A528" s="151" t="s">
        <v>2787</v>
      </c>
      <c r="B528" s="17" t="s">
        <v>1126</v>
      </c>
      <c r="C528" s="211">
        <v>533169</v>
      </c>
      <c r="D528" s="151" t="s">
        <v>2788</v>
      </c>
      <c r="E528" s="211">
        <v>204.2</v>
      </c>
      <c r="F528" s="151" t="s">
        <v>1190</v>
      </c>
      <c r="G528" s="151" t="s">
        <v>1138</v>
      </c>
      <c r="H528" s="211">
        <v>7580.9</v>
      </c>
      <c r="I528" s="17">
        <f t="shared" si="2"/>
        <v>371248775.71008819</v>
      </c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spans="1:24">
      <c r="A529" s="151" t="s">
        <v>2789</v>
      </c>
      <c r="B529" s="17" t="s">
        <v>2790</v>
      </c>
      <c r="C529" s="211">
        <v>532915</v>
      </c>
      <c r="D529" s="151" t="s">
        <v>2791</v>
      </c>
      <c r="E529" s="211">
        <v>228</v>
      </c>
      <c r="F529" s="151" t="s">
        <v>1831</v>
      </c>
      <c r="G529" s="151" t="s">
        <v>1137</v>
      </c>
      <c r="H529" s="211">
        <v>7510.6</v>
      </c>
      <c r="I529" s="17">
        <f t="shared" si="2"/>
        <v>329412280.70175439</v>
      </c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spans="1:24">
      <c r="A530" s="151" t="s">
        <v>2792</v>
      </c>
      <c r="B530" s="17" t="s">
        <v>2793</v>
      </c>
      <c r="C530" s="211">
        <v>539006</v>
      </c>
      <c r="D530" s="151" t="s">
        <v>2794</v>
      </c>
      <c r="E530" s="211">
        <v>5520</v>
      </c>
      <c r="F530" s="151" t="s">
        <v>1577</v>
      </c>
      <c r="G530" s="151" t="s">
        <v>1141</v>
      </c>
      <c r="H530" s="211">
        <v>7486.4</v>
      </c>
      <c r="I530" s="17">
        <f t="shared" si="2"/>
        <v>13562318.840579711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spans="1:24">
      <c r="A531" s="151" t="s">
        <v>2795</v>
      </c>
      <c r="B531" s="17" t="s">
        <v>2796</v>
      </c>
      <c r="C531" s="211">
        <v>538979</v>
      </c>
      <c r="D531" s="151" t="s">
        <v>2797</v>
      </c>
      <c r="E531" s="211">
        <v>586.4</v>
      </c>
      <c r="F531" s="151" t="s">
        <v>1220</v>
      </c>
      <c r="G531" s="151" t="s">
        <v>1139</v>
      </c>
      <c r="H531" s="211">
        <v>7480.3</v>
      </c>
      <c r="I531" s="17">
        <f t="shared" si="2"/>
        <v>127563096.86221009</v>
      </c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spans="1:24">
      <c r="A532" s="151" t="s">
        <v>2798</v>
      </c>
      <c r="B532" s="17" t="s">
        <v>2799</v>
      </c>
      <c r="C532" s="211">
        <v>543657</v>
      </c>
      <c r="D532" s="151" t="s">
        <v>2800</v>
      </c>
      <c r="E532" s="211">
        <v>605.6</v>
      </c>
      <c r="F532" s="151" t="s">
        <v>1840</v>
      </c>
      <c r="G532" s="151" t="s">
        <v>1335</v>
      </c>
      <c r="H532" s="211">
        <v>7458</v>
      </c>
      <c r="I532" s="17">
        <f t="shared" si="2"/>
        <v>123150594.45178334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spans="1:24">
      <c r="A533" s="151" t="s">
        <v>2801</v>
      </c>
      <c r="B533" s="17" t="s">
        <v>236</v>
      </c>
      <c r="C533" s="211">
        <v>542759</v>
      </c>
      <c r="D533" s="151" t="s">
        <v>2802</v>
      </c>
      <c r="E533" s="211">
        <v>1047.3</v>
      </c>
      <c r="F533" s="151" t="s">
        <v>1194</v>
      </c>
      <c r="G533" s="151" t="s">
        <v>1137</v>
      </c>
      <c r="H533" s="211">
        <v>7447.8</v>
      </c>
      <c r="I533" s="17">
        <f t="shared" si="2"/>
        <v>71114293.898596391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spans="1:24">
      <c r="A534" s="151" t="s">
        <v>2803</v>
      </c>
      <c r="B534" s="17" t="s">
        <v>2804</v>
      </c>
      <c r="C534" s="211">
        <v>532638</v>
      </c>
      <c r="D534" s="151" t="s">
        <v>2805</v>
      </c>
      <c r="E534" s="211">
        <v>675</v>
      </c>
      <c r="F534" s="151" t="s">
        <v>1246</v>
      </c>
      <c r="G534" s="151" t="s">
        <v>1247</v>
      </c>
      <c r="H534" s="211">
        <v>7420.6</v>
      </c>
      <c r="I534" s="17">
        <f t="shared" si="2"/>
        <v>109934814.81481482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spans="1:24">
      <c r="A535" s="151" t="s">
        <v>2806</v>
      </c>
      <c r="B535" s="17" t="s">
        <v>2807</v>
      </c>
      <c r="C535" s="211">
        <v>538730</v>
      </c>
      <c r="D535" s="151" t="s">
        <v>2808</v>
      </c>
      <c r="E535" s="211">
        <v>560.5</v>
      </c>
      <c r="F535" s="151" t="s">
        <v>1854</v>
      </c>
      <c r="G535" s="151" t="s">
        <v>1216</v>
      </c>
      <c r="H535" s="211">
        <v>7395.1</v>
      </c>
      <c r="I535" s="17">
        <f t="shared" si="2"/>
        <v>131937555.75379126</v>
      </c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spans="1:24">
      <c r="A536" s="151" t="s">
        <v>2809</v>
      </c>
      <c r="B536" s="17" t="s">
        <v>239</v>
      </c>
      <c r="C536" s="211">
        <v>524230</v>
      </c>
      <c r="D536" s="151" t="s">
        <v>2810</v>
      </c>
      <c r="E536" s="211">
        <v>133.80000000000001</v>
      </c>
      <c r="F536" s="151" t="s">
        <v>1650</v>
      </c>
      <c r="G536" s="151" t="s">
        <v>1650</v>
      </c>
      <c r="H536" s="211">
        <v>7384.3</v>
      </c>
      <c r="I536" s="17">
        <f t="shared" si="2"/>
        <v>551890881.91330338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spans="1:24">
      <c r="A537" s="151" t="s">
        <v>2811</v>
      </c>
      <c r="B537" s="17" t="s">
        <v>2812</v>
      </c>
      <c r="C537" s="211">
        <v>539978</v>
      </c>
      <c r="D537" s="151" t="s">
        <v>2813</v>
      </c>
      <c r="E537" s="211">
        <v>496.8</v>
      </c>
      <c r="F537" s="151" t="s">
        <v>2307</v>
      </c>
      <c r="G537" s="151" t="s">
        <v>1143</v>
      </c>
      <c r="H537" s="211">
        <v>7373.5</v>
      </c>
      <c r="I537" s="17">
        <f t="shared" si="2"/>
        <v>148419887.27858293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spans="1:24">
      <c r="A538" s="151" t="s">
        <v>2814</v>
      </c>
      <c r="B538" s="17" t="s">
        <v>2815</v>
      </c>
      <c r="C538" s="211">
        <v>500245</v>
      </c>
      <c r="D538" s="151" t="s">
        <v>2816</v>
      </c>
      <c r="E538" s="211">
        <v>530.29999999999995</v>
      </c>
      <c r="F538" s="151" t="s">
        <v>1272</v>
      </c>
      <c r="G538" s="151" t="s">
        <v>1142</v>
      </c>
      <c r="H538" s="211">
        <v>7371</v>
      </c>
      <c r="I538" s="17">
        <f t="shared" si="2"/>
        <v>138996794.26739582</v>
      </c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spans="1:24">
      <c r="A539" s="151" t="s">
        <v>2817</v>
      </c>
      <c r="B539" s="17" t="s">
        <v>596</v>
      </c>
      <c r="C539" s="211">
        <v>523598</v>
      </c>
      <c r="D539" s="151" t="s">
        <v>2818</v>
      </c>
      <c r="E539" s="211">
        <v>157.4</v>
      </c>
      <c r="F539" s="151" t="s">
        <v>1720</v>
      </c>
      <c r="G539" s="151" t="s">
        <v>1280</v>
      </c>
      <c r="H539" s="211">
        <v>7329.3</v>
      </c>
      <c r="I539" s="17">
        <f t="shared" si="2"/>
        <v>465648030.49555272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spans="1:24">
      <c r="A540" s="151" t="s">
        <v>2819</v>
      </c>
      <c r="B540" s="17" t="s">
        <v>2820</v>
      </c>
      <c r="C540" s="211">
        <v>530019</v>
      </c>
      <c r="D540" s="151" t="s">
        <v>2821</v>
      </c>
      <c r="E540" s="211">
        <v>460</v>
      </c>
      <c r="F540" s="151" t="s">
        <v>694</v>
      </c>
      <c r="G540" s="151" t="s">
        <v>1224</v>
      </c>
      <c r="H540" s="211">
        <v>7326.9</v>
      </c>
      <c r="I540" s="17">
        <f t="shared" si="2"/>
        <v>159280434.78260869</v>
      </c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spans="1:24">
      <c r="A541" s="151" t="s">
        <v>2822</v>
      </c>
      <c r="B541" s="17" t="s">
        <v>2823</v>
      </c>
      <c r="C541" s="211">
        <v>512179</v>
      </c>
      <c r="D541" s="151" t="s">
        <v>2824</v>
      </c>
      <c r="E541" s="211">
        <v>500</v>
      </c>
      <c r="F541" s="151" t="s">
        <v>1307</v>
      </c>
      <c r="G541" s="151" t="s">
        <v>1307</v>
      </c>
      <c r="H541" s="211">
        <v>7323.5</v>
      </c>
      <c r="I541" s="17">
        <f t="shared" si="2"/>
        <v>146470000</v>
      </c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spans="1:24">
      <c r="A542" s="151" t="s">
        <v>2825</v>
      </c>
      <c r="B542" s="17" t="s">
        <v>2826</v>
      </c>
      <c r="C542" s="211">
        <v>532163</v>
      </c>
      <c r="D542" s="151" t="s">
        <v>2827</v>
      </c>
      <c r="E542" s="211">
        <v>377.8</v>
      </c>
      <c r="F542" s="151" t="s">
        <v>2828</v>
      </c>
      <c r="G542" s="151" t="s">
        <v>1908</v>
      </c>
      <c r="H542" s="211">
        <v>7285.3</v>
      </c>
      <c r="I542" s="17">
        <f t="shared" si="2"/>
        <v>192834833.24510321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spans="1:24">
      <c r="A543" s="151" t="s">
        <v>2829</v>
      </c>
      <c r="B543" s="17" t="s">
        <v>2830</v>
      </c>
      <c r="C543" s="211">
        <v>543258</v>
      </c>
      <c r="D543" s="151" t="s">
        <v>2831</v>
      </c>
      <c r="E543" s="211">
        <v>1524.8</v>
      </c>
      <c r="F543" s="151" t="s">
        <v>1220</v>
      </c>
      <c r="G543" s="151" t="s">
        <v>1139</v>
      </c>
      <c r="H543" s="211">
        <v>7259</v>
      </c>
      <c r="I543" s="17">
        <f t="shared" si="2"/>
        <v>47606243.441762857</v>
      </c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spans="1:24">
      <c r="A544" s="151" t="s">
        <v>2832</v>
      </c>
      <c r="B544" s="17" t="s">
        <v>2833</v>
      </c>
      <c r="C544" s="211">
        <v>523704</v>
      </c>
      <c r="D544" s="151" t="s">
        <v>2834</v>
      </c>
      <c r="E544" s="211">
        <v>2366</v>
      </c>
      <c r="F544" s="151" t="s">
        <v>1161</v>
      </c>
      <c r="G544" s="151" t="s">
        <v>1143</v>
      </c>
      <c r="H544" s="211">
        <v>7251.9</v>
      </c>
      <c r="I544" s="17">
        <f t="shared" si="2"/>
        <v>30650464.91969569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spans="1:24">
      <c r="A545" s="151" t="s">
        <v>2835</v>
      </c>
      <c r="B545" s="17" t="s">
        <v>2836</v>
      </c>
      <c r="C545" s="211">
        <v>543980</v>
      </c>
      <c r="D545" s="151" t="s">
        <v>2837</v>
      </c>
      <c r="E545" s="211">
        <v>1095.5999999999999</v>
      </c>
      <c r="F545" s="151" t="s">
        <v>1445</v>
      </c>
      <c r="G545" s="151" t="s">
        <v>1139</v>
      </c>
      <c r="H545" s="211">
        <v>7183.7</v>
      </c>
      <c r="I545" s="17">
        <f t="shared" si="2"/>
        <v>65568638.189120121</v>
      </c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spans="1:24">
      <c r="A546" s="151" t="s">
        <v>2838</v>
      </c>
      <c r="B546" s="17" t="s">
        <v>2839</v>
      </c>
      <c r="C546" s="211">
        <v>543253</v>
      </c>
      <c r="D546" s="151" t="s">
        <v>2840</v>
      </c>
      <c r="E546" s="211">
        <v>1221</v>
      </c>
      <c r="F546" s="151" t="s">
        <v>1255</v>
      </c>
      <c r="G546" s="151" t="s">
        <v>1173</v>
      </c>
      <c r="H546" s="211">
        <v>7181.6</v>
      </c>
      <c r="I546" s="17">
        <f t="shared" si="2"/>
        <v>58817362.817362815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spans="1:24">
      <c r="A547" s="151" t="s">
        <v>2841</v>
      </c>
      <c r="B547" s="17" t="s">
        <v>217</v>
      </c>
      <c r="C547" s="211">
        <v>533248</v>
      </c>
      <c r="D547" s="151" t="s">
        <v>2842</v>
      </c>
      <c r="E547" s="211">
        <v>148.19999999999999</v>
      </c>
      <c r="F547" s="151" t="s">
        <v>1279</v>
      </c>
      <c r="G547" s="151" t="s">
        <v>1280</v>
      </c>
      <c r="H547" s="211">
        <v>7164.6</v>
      </c>
      <c r="I547" s="17">
        <f t="shared" si="2"/>
        <v>483441295.54655874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spans="1:24">
      <c r="A548" s="151" t="s">
        <v>2843</v>
      </c>
      <c r="B548" s="17" t="s">
        <v>2844</v>
      </c>
      <c r="C548" s="211">
        <v>532922</v>
      </c>
      <c r="D548" s="151" t="s">
        <v>2845</v>
      </c>
      <c r="E548" s="211">
        <v>75.8</v>
      </c>
      <c r="F548" s="151" t="s">
        <v>1831</v>
      </c>
      <c r="G548" s="151" t="s">
        <v>1137</v>
      </c>
      <c r="H548" s="211">
        <v>7158.2</v>
      </c>
      <c r="I548" s="17">
        <f t="shared" si="2"/>
        <v>944353562.00527704</v>
      </c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spans="1:24">
      <c r="A549" s="151" t="s">
        <v>2846</v>
      </c>
      <c r="B549" s="17" t="s">
        <v>2847</v>
      </c>
      <c r="C549" s="211">
        <v>541195</v>
      </c>
      <c r="D549" s="151" t="s">
        <v>2848</v>
      </c>
      <c r="E549" s="211">
        <v>381.7</v>
      </c>
      <c r="F549" s="151" t="s">
        <v>1675</v>
      </c>
      <c r="G549" s="151" t="s">
        <v>1142</v>
      </c>
      <c r="H549" s="211">
        <v>7150.8</v>
      </c>
      <c r="I549" s="17">
        <f t="shared" si="2"/>
        <v>187340843.59444591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spans="1:24">
      <c r="A550" s="151" t="s">
        <v>2849</v>
      </c>
      <c r="B550" s="17" t="s">
        <v>1122</v>
      </c>
      <c r="C550" s="211">
        <v>543417</v>
      </c>
      <c r="D550" s="151" t="s">
        <v>2850</v>
      </c>
      <c r="E550" s="211">
        <v>659</v>
      </c>
      <c r="F550" s="151" t="s">
        <v>2491</v>
      </c>
      <c r="G550" s="151" t="s">
        <v>1143</v>
      </c>
      <c r="H550" s="211">
        <v>7143.6</v>
      </c>
      <c r="I550" s="17">
        <f t="shared" si="2"/>
        <v>108400606.98027314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spans="1:24">
      <c r="A551" s="151" t="s">
        <v>2851</v>
      </c>
      <c r="B551" s="17" t="s">
        <v>2852</v>
      </c>
      <c r="C551" s="211">
        <v>532156</v>
      </c>
      <c r="D551" s="151" t="s">
        <v>2853</v>
      </c>
      <c r="E551" s="211">
        <v>431.5</v>
      </c>
      <c r="F551" s="151" t="s">
        <v>1710</v>
      </c>
      <c r="G551" s="151" t="s">
        <v>1216</v>
      </c>
      <c r="H551" s="211">
        <v>7139.5</v>
      </c>
      <c r="I551" s="17">
        <f t="shared" si="2"/>
        <v>165457705.67786789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spans="1:24">
      <c r="A552" s="151" t="s">
        <v>2854</v>
      </c>
      <c r="B552" s="17" t="s">
        <v>2855</v>
      </c>
      <c r="C552" s="211">
        <v>543401</v>
      </c>
      <c r="D552" s="151" t="s">
        <v>2856</v>
      </c>
      <c r="E552" s="211">
        <v>1315</v>
      </c>
      <c r="F552" s="151" t="s">
        <v>1710</v>
      </c>
      <c r="G552" s="151" t="s">
        <v>1216</v>
      </c>
      <c r="H552" s="211">
        <v>7101.9</v>
      </c>
      <c r="I552" s="17">
        <f t="shared" si="2"/>
        <v>54006844.106463879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spans="1:24">
      <c r="A553" s="151" t="s">
        <v>2857</v>
      </c>
      <c r="B553" s="17" t="s">
        <v>2858</v>
      </c>
      <c r="C553" s="211">
        <v>500413</v>
      </c>
      <c r="D553" s="151" t="s">
        <v>2859</v>
      </c>
      <c r="E553" s="211">
        <v>150.6</v>
      </c>
      <c r="F553" s="151" t="s">
        <v>1559</v>
      </c>
      <c r="G553" s="151" t="s">
        <v>1139</v>
      </c>
      <c r="H553" s="211">
        <v>7083.9</v>
      </c>
      <c r="I553" s="17">
        <f t="shared" si="2"/>
        <v>470378486.05577689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spans="1:24">
      <c r="A554" s="151" t="s">
        <v>2860</v>
      </c>
      <c r="B554" s="17" t="s">
        <v>2861</v>
      </c>
      <c r="C554" s="211">
        <v>533033</v>
      </c>
      <c r="D554" s="151" t="s">
        <v>2862</v>
      </c>
      <c r="E554" s="211">
        <v>954.4</v>
      </c>
      <c r="F554" s="151" t="s">
        <v>1587</v>
      </c>
      <c r="G554" s="151" t="s">
        <v>1141</v>
      </c>
      <c r="H554" s="211">
        <v>7017.7</v>
      </c>
      <c r="I554" s="17">
        <f t="shared" si="2"/>
        <v>73529966.471081316</v>
      </c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spans="1:24">
      <c r="A555" s="151" t="s">
        <v>2863</v>
      </c>
      <c r="B555" s="17" t="s">
        <v>2864</v>
      </c>
      <c r="C555" s="211">
        <v>542760</v>
      </c>
      <c r="D555" s="151" t="s">
        <v>2865</v>
      </c>
      <c r="E555" s="211">
        <v>368.1</v>
      </c>
      <c r="F555" s="151" t="s">
        <v>2642</v>
      </c>
      <c r="G555" s="151" t="s">
        <v>1229</v>
      </c>
      <c r="H555" s="211">
        <v>6984.7</v>
      </c>
      <c r="I555" s="17">
        <f t="shared" si="2"/>
        <v>189750067.91632706</v>
      </c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spans="1:24">
      <c r="A556" s="151" t="s">
        <v>2866</v>
      </c>
      <c r="B556" s="17" t="s">
        <v>2867</v>
      </c>
      <c r="C556" s="211">
        <v>543271</v>
      </c>
      <c r="D556" s="151" t="s">
        <v>2868</v>
      </c>
      <c r="E556" s="211">
        <v>437</v>
      </c>
      <c r="F556" s="151" t="s">
        <v>1334</v>
      </c>
      <c r="G556" s="151" t="s">
        <v>1335</v>
      </c>
      <c r="H556" s="211">
        <v>6959.8</v>
      </c>
      <c r="I556" s="17">
        <f t="shared" si="2"/>
        <v>159263157.89473686</v>
      </c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spans="1:24">
      <c r="A557" s="151" t="s">
        <v>2869</v>
      </c>
      <c r="B557" s="17" t="s">
        <v>2870</v>
      </c>
      <c r="C557" s="211">
        <v>543270</v>
      </c>
      <c r="D557" s="151" t="s">
        <v>2871</v>
      </c>
      <c r="E557" s="211">
        <v>2260</v>
      </c>
      <c r="F557" s="151" t="s">
        <v>1293</v>
      </c>
      <c r="G557" s="151" t="s">
        <v>1141</v>
      </c>
      <c r="H557" s="211">
        <v>6951.7</v>
      </c>
      <c r="I557" s="17">
        <f t="shared" si="2"/>
        <v>30759734.513274338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spans="1:24">
      <c r="A558" s="151" t="s">
        <v>2872</v>
      </c>
      <c r="B558" s="17" t="s">
        <v>2873</v>
      </c>
      <c r="C558" s="211">
        <v>524558</v>
      </c>
      <c r="D558" s="151" t="s">
        <v>2874</v>
      </c>
      <c r="E558" s="211">
        <v>5399.4</v>
      </c>
      <c r="F558" s="151" t="s">
        <v>694</v>
      </c>
      <c r="G558" s="151" t="s">
        <v>1224</v>
      </c>
      <c r="H558" s="211">
        <v>6927.4</v>
      </c>
      <c r="I558" s="17">
        <f t="shared" si="2"/>
        <v>12829944.067859393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spans="1:24">
      <c r="A559" s="151" t="s">
        <v>2875</v>
      </c>
      <c r="B559" s="17" t="s">
        <v>2876</v>
      </c>
      <c r="C559" s="211">
        <v>542867</v>
      </c>
      <c r="D559" s="151" t="s">
        <v>2877</v>
      </c>
      <c r="E559" s="211">
        <v>399.2</v>
      </c>
      <c r="F559" s="151" t="s">
        <v>1165</v>
      </c>
      <c r="G559" s="151" t="s">
        <v>1137</v>
      </c>
      <c r="H559" s="211">
        <v>6925.6</v>
      </c>
      <c r="I559" s="17">
        <f t="shared" si="2"/>
        <v>173486973.9478958</v>
      </c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spans="1:24">
      <c r="A560" s="151" t="s">
        <v>2878</v>
      </c>
      <c r="B560" s="17" t="s">
        <v>2879</v>
      </c>
      <c r="C560" s="211">
        <v>539302</v>
      </c>
      <c r="D560" s="151" t="s">
        <v>2880</v>
      </c>
      <c r="E560" s="211">
        <v>4377.6000000000004</v>
      </c>
      <c r="F560" s="151" t="s">
        <v>1190</v>
      </c>
      <c r="G560" s="151" t="s">
        <v>1138</v>
      </c>
      <c r="H560" s="211">
        <v>6920.1</v>
      </c>
      <c r="I560" s="17">
        <f t="shared" si="2"/>
        <v>15807976.973684208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spans="1:24">
      <c r="A561" s="151" t="s">
        <v>2881</v>
      </c>
      <c r="B561" s="17" t="s">
        <v>2882</v>
      </c>
      <c r="C561" s="211">
        <v>509557</v>
      </c>
      <c r="D561" s="151" t="s">
        <v>2883</v>
      </c>
      <c r="E561" s="211">
        <v>3389.6</v>
      </c>
      <c r="F561" s="151" t="s">
        <v>1854</v>
      </c>
      <c r="G561" s="151" t="s">
        <v>1216</v>
      </c>
      <c r="H561" s="211">
        <v>6907.3</v>
      </c>
      <c r="I561" s="17">
        <f t="shared" si="2"/>
        <v>20377920.698607504</v>
      </c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spans="1:24">
      <c r="A562" s="151" t="s">
        <v>2884</v>
      </c>
      <c r="B562" s="17" t="s">
        <v>2885</v>
      </c>
      <c r="C562" s="211">
        <v>540673</v>
      </c>
      <c r="D562" s="151" t="s">
        <v>2886</v>
      </c>
      <c r="E562" s="211">
        <v>473.9</v>
      </c>
      <c r="F562" s="151" t="s">
        <v>2887</v>
      </c>
      <c r="G562" s="151" t="s">
        <v>1229</v>
      </c>
      <c r="H562" s="211">
        <v>6906.5</v>
      </c>
      <c r="I562" s="17">
        <f t="shared" si="2"/>
        <v>145737497.36231273</v>
      </c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spans="1:24">
      <c r="A563" s="151" t="s">
        <v>2888</v>
      </c>
      <c r="B563" s="17" t="s">
        <v>2889</v>
      </c>
      <c r="C563" s="211">
        <v>543272</v>
      </c>
      <c r="D563" s="151" t="s">
        <v>2890</v>
      </c>
      <c r="E563" s="211">
        <v>39</v>
      </c>
      <c r="F563" s="151" t="s">
        <v>1373</v>
      </c>
      <c r="G563" s="151" t="s">
        <v>1143</v>
      </c>
      <c r="H563" s="211">
        <v>6902.1</v>
      </c>
      <c r="I563" s="17">
        <f t="shared" si="2"/>
        <v>1769769230.7692308</v>
      </c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spans="1:24">
      <c r="A564" s="151" t="s">
        <v>2891</v>
      </c>
      <c r="B564" s="17" t="s">
        <v>2892</v>
      </c>
      <c r="C564" s="211">
        <v>543325</v>
      </c>
      <c r="D564" s="151" t="s">
        <v>2893</v>
      </c>
      <c r="E564" s="211">
        <v>2504</v>
      </c>
      <c r="F564" s="151" t="s">
        <v>1507</v>
      </c>
      <c r="G564" s="151" t="s">
        <v>1211</v>
      </c>
      <c r="H564" s="211">
        <v>6819.2</v>
      </c>
      <c r="I564" s="17">
        <f t="shared" si="2"/>
        <v>27233226.837060701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spans="1:24">
      <c r="A565" s="151" t="s">
        <v>2894</v>
      </c>
      <c r="B565" s="17" t="s">
        <v>2895</v>
      </c>
      <c r="C565" s="211">
        <v>532349</v>
      </c>
      <c r="D565" s="151" t="s">
        <v>2896</v>
      </c>
      <c r="E565" s="211">
        <v>876</v>
      </c>
      <c r="F565" s="151" t="s">
        <v>2897</v>
      </c>
      <c r="G565" s="151" t="s">
        <v>1280</v>
      </c>
      <c r="H565" s="211">
        <v>6803.6</v>
      </c>
      <c r="I565" s="17">
        <f t="shared" si="2"/>
        <v>77666666.666666672</v>
      </c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spans="1:24">
      <c r="A566" s="151" t="s">
        <v>2898</v>
      </c>
      <c r="B566" s="17" t="s">
        <v>2899</v>
      </c>
      <c r="C566" s="211">
        <v>500106</v>
      </c>
      <c r="D566" s="151" t="s">
        <v>2900</v>
      </c>
      <c r="E566" s="211">
        <v>27.2</v>
      </c>
      <c r="F566" s="151" t="s">
        <v>2901</v>
      </c>
      <c r="G566" s="151" t="s">
        <v>1137</v>
      </c>
      <c r="H566" s="211">
        <v>6784.2</v>
      </c>
      <c r="I566" s="17">
        <f t="shared" si="2"/>
        <v>2494191176.4705882</v>
      </c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spans="1:24">
      <c r="A567" s="151" t="s">
        <v>2902</v>
      </c>
      <c r="B567" s="17" t="s">
        <v>2903</v>
      </c>
      <c r="C567" s="211">
        <v>505255</v>
      </c>
      <c r="D567" s="151" t="s">
        <v>2904</v>
      </c>
      <c r="E567" s="211">
        <v>1505.6</v>
      </c>
      <c r="F567" s="151" t="s">
        <v>1587</v>
      </c>
      <c r="G567" s="151" t="s">
        <v>1141</v>
      </c>
      <c r="H567" s="211">
        <v>6769</v>
      </c>
      <c r="I567" s="17">
        <f t="shared" si="2"/>
        <v>44958820.403825723</v>
      </c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spans="1:24">
      <c r="A568" s="151" t="s">
        <v>2905</v>
      </c>
      <c r="B568" s="17" t="s">
        <v>2906</v>
      </c>
      <c r="C568" s="211">
        <v>543413</v>
      </c>
      <c r="D568" s="151" t="s">
        <v>2907</v>
      </c>
      <c r="E568" s="211">
        <v>1016.2</v>
      </c>
      <c r="F568" s="151" t="s">
        <v>1591</v>
      </c>
      <c r="G568" s="151" t="s">
        <v>1142</v>
      </c>
      <c r="H568" s="211">
        <v>6752.5</v>
      </c>
      <c r="I568" s="17">
        <f t="shared" si="2"/>
        <v>66448533.753198184</v>
      </c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spans="1:24">
      <c r="A569" s="151" t="s">
        <v>2908</v>
      </c>
      <c r="B569" s="17" t="s">
        <v>71</v>
      </c>
      <c r="C569" s="211">
        <v>540575</v>
      </c>
      <c r="D569" s="151" t="s">
        <v>2909</v>
      </c>
      <c r="E569" s="211">
        <v>166.2</v>
      </c>
      <c r="F569" s="151" t="s">
        <v>1238</v>
      </c>
      <c r="G569" s="151" t="s">
        <v>1138</v>
      </c>
      <c r="H569" s="211">
        <v>6717.5</v>
      </c>
      <c r="I569" s="17">
        <f t="shared" si="2"/>
        <v>404181708.78459692</v>
      </c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spans="1:24">
      <c r="A570" s="151" t="s">
        <v>2910</v>
      </c>
      <c r="B570" s="17" t="s">
        <v>2911</v>
      </c>
      <c r="C570" s="211">
        <v>500128</v>
      </c>
      <c r="D570" s="151" t="s">
        <v>2912</v>
      </c>
      <c r="E570" s="211">
        <v>112.6</v>
      </c>
      <c r="F570" s="151" t="s">
        <v>1272</v>
      </c>
      <c r="G570" s="151" t="s">
        <v>1142</v>
      </c>
      <c r="H570" s="211">
        <v>6698.2</v>
      </c>
      <c r="I570" s="17">
        <f t="shared" si="2"/>
        <v>594866785.07992899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spans="1:24">
      <c r="A571" s="151" t="s">
        <v>2913</v>
      </c>
      <c r="B571" s="17" t="s">
        <v>2914</v>
      </c>
      <c r="C571" s="211">
        <v>531543</v>
      </c>
      <c r="D571" s="151" t="s">
        <v>2915</v>
      </c>
      <c r="E571" s="211">
        <v>333</v>
      </c>
      <c r="F571" s="151" t="s">
        <v>1854</v>
      </c>
      <c r="G571" s="151" t="s">
        <v>1216</v>
      </c>
      <c r="H571" s="211">
        <v>6678.3</v>
      </c>
      <c r="I571" s="17">
        <f t="shared" si="2"/>
        <v>200549549.54954955</v>
      </c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spans="1:24">
      <c r="A572" s="151" t="s">
        <v>2916</v>
      </c>
      <c r="B572" s="17" t="s">
        <v>2917</v>
      </c>
      <c r="C572" s="211">
        <v>543957</v>
      </c>
      <c r="D572" s="151" t="s">
        <v>2918</v>
      </c>
      <c r="E572" s="211">
        <v>483.2</v>
      </c>
      <c r="F572" s="151" t="s">
        <v>1748</v>
      </c>
      <c r="G572" s="151" t="s">
        <v>1247</v>
      </c>
      <c r="H572" s="211">
        <v>6677.9</v>
      </c>
      <c r="I572" s="17">
        <f t="shared" si="2"/>
        <v>138201572.84768212</v>
      </c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spans="1:24">
      <c r="A573" s="151" t="s">
        <v>2919</v>
      </c>
      <c r="B573" s="17" t="s">
        <v>2920</v>
      </c>
      <c r="C573" s="211">
        <v>543669</v>
      </c>
      <c r="D573" s="151" t="s">
        <v>2921</v>
      </c>
      <c r="E573" s="211">
        <v>586</v>
      </c>
      <c r="F573" s="151" t="s">
        <v>1307</v>
      </c>
      <c r="G573" s="151" t="s">
        <v>1307</v>
      </c>
      <c r="H573" s="211">
        <v>6673.4</v>
      </c>
      <c r="I573" s="17">
        <f t="shared" si="2"/>
        <v>113880546.07508533</v>
      </c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spans="1:24">
      <c r="A574" s="151" t="s">
        <v>2922</v>
      </c>
      <c r="B574" s="17" t="s">
        <v>627</v>
      </c>
      <c r="C574" s="211">
        <v>539874</v>
      </c>
      <c r="D574" s="151" t="s">
        <v>2923</v>
      </c>
      <c r="E574" s="211">
        <v>547.1</v>
      </c>
      <c r="F574" s="151" t="s">
        <v>1194</v>
      </c>
      <c r="G574" s="151" t="s">
        <v>1137</v>
      </c>
      <c r="H574" s="211">
        <v>6660.7</v>
      </c>
      <c r="I574" s="17">
        <f t="shared" si="2"/>
        <v>121745567.53792726</v>
      </c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spans="1:24">
      <c r="A575" s="151" t="s">
        <v>2924</v>
      </c>
      <c r="B575" s="17" t="s">
        <v>2925</v>
      </c>
      <c r="C575" s="211">
        <v>530999</v>
      </c>
      <c r="D575" s="151" t="s">
        <v>2926</v>
      </c>
      <c r="E575" s="211">
        <v>2027.4</v>
      </c>
      <c r="F575" s="151" t="s">
        <v>1334</v>
      </c>
      <c r="G575" s="151" t="s">
        <v>1335</v>
      </c>
      <c r="H575" s="211">
        <v>6569.1</v>
      </c>
      <c r="I575" s="17">
        <f t="shared" si="2"/>
        <v>32401598.105948504</v>
      </c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spans="1:24">
      <c r="A576" s="151" t="s">
        <v>2927</v>
      </c>
      <c r="B576" s="17" t="s">
        <v>2928</v>
      </c>
      <c r="C576" s="211">
        <v>509631</v>
      </c>
      <c r="D576" s="151" t="s">
        <v>2929</v>
      </c>
      <c r="E576" s="211">
        <v>1698.1</v>
      </c>
      <c r="F576" s="151" t="s">
        <v>1783</v>
      </c>
      <c r="G576" s="151" t="s">
        <v>1141</v>
      </c>
      <c r="H576" s="211">
        <v>6553.9</v>
      </c>
      <c r="I576" s="17">
        <f t="shared" si="2"/>
        <v>38595489.076026149</v>
      </c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spans="1:24">
      <c r="A577" s="151" t="s">
        <v>2930</v>
      </c>
      <c r="B577" s="17" t="s">
        <v>2931</v>
      </c>
      <c r="C577" s="211">
        <v>533339</v>
      </c>
      <c r="D577" s="151" t="s">
        <v>2932</v>
      </c>
      <c r="E577" s="211">
        <v>777</v>
      </c>
      <c r="F577" s="151" t="s">
        <v>1293</v>
      </c>
      <c r="G577" s="151" t="s">
        <v>1141</v>
      </c>
      <c r="H577" s="211">
        <v>6530.2</v>
      </c>
      <c r="I577" s="17">
        <f t="shared" si="2"/>
        <v>84043758.04375805</v>
      </c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spans="1:24">
      <c r="A578" s="151" t="s">
        <v>2933</v>
      </c>
      <c r="B578" s="17" t="s">
        <v>501</v>
      </c>
      <c r="C578" s="211">
        <v>531599</v>
      </c>
      <c r="D578" s="151" t="s">
        <v>2934</v>
      </c>
      <c r="E578" s="211">
        <v>400.8</v>
      </c>
      <c r="F578" s="151" t="s">
        <v>694</v>
      </c>
      <c r="G578" s="151" t="s">
        <v>1224</v>
      </c>
      <c r="H578" s="211">
        <v>6525.4</v>
      </c>
      <c r="I578" s="17">
        <f t="shared" si="2"/>
        <v>162809381.23752496</v>
      </c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spans="1:24">
      <c r="A579" s="151" t="s">
        <v>2935</v>
      </c>
      <c r="B579" s="17" t="s">
        <v>2936</v>
      </c>
      <c r="C579" s="211">
        <v>532749</v>
      </c>
      <c r="D579" s="151" t="s">
        <v>2937</v>
      </c>
      <c r="E579" s="211">
        <v>265.5</v>
      </c>
      <c r="F579" s="151" t="s">
        <v>1858</v>
      </c>
      <c r="G579" s="151" t="s">
        <v>1280</v>
      </c>
      <c r="H579" s="211">
        <v>6523.2</v>
      </c>
      <c r="I579" s="17">
        <f t="shared" si="2"/>
        <v>245694915.25423729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spans="1:24">
      <c r="A580" s="151" t="s">
        <v>2938</v>
      </c>
      <c r="B580" s="17" t="s">
        <v>2939</v>
      </c>
      <c r="C580" s="211">
        <v>533286</v>
      </c>
      <c r="D580" s="151" t="s">
        <v>2940</v>
      </c>
      <c r="E580" s="211">
        <v>320</v>
      </c>
      <c r="F580" s="151" t="s">
        <v>1591</v>
      </c>
      <c r="G580" s="151" t="s">
        <v>1142</v>
      </c>
      <c r="H580" s="211">
        <v>6512.5</v>
      </c>
      <c r="I580" s="17">
        <f t="shared" si="2"/>
        <v>203515625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spans="1:24">
      <c r="A581" s="151" t="s">
        <v>2941</v>
      </c>
      <c r="B581" s="17" t="s">
        <v>2942</v>
      </c>
      <c r="C581" s="211">
        <v>543350</v>
      </c>
      <c r="D581" s="151" t="s">
        <v>2943</v>
      </c>
      <c r="E581" s="211">
        <v>635.79999999999995</v>
      </c>
      <c r="F581" s="151" t="s">
        <v>1977</v>
      </c>
      <c r="G581" s="151" t="s">
        <v>1139</v>
      </c>
      <c r="H581" s="211">
        <v>6504.3</v>
      </c>
      <c r="I581" s="17">
        <f t="shared" si="2"/>
        <v>102301038.06228374</v>
      </c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spans="1:24">
      <c r="A582" s="151" t="s">
        <v>2944</v>
      </c>
      <c r="B582" s="17" t="s">
        <v>2945</v>
      </c>
      <c r="C582" s="211">
        <v>535648</v>
      </c>
      <c r="D582" s="151" t="s">
        <v>2946</v>
      </c>
      <c r="E582" s="211">
        <v>742.6</v>
      </c>
      <c r="F582" s="151" t="s">
        <v>1373</v>
      </c>
      <c r="G582" s="151" t="s">
        <v>1143</v>
      </c>
      <c r="H582" s="211">
        <v>6314.6</v>
      </c>
      <c r="I582" s="17">
        <f t="shared" si="2"/>
        <v>85033665.499596015</v>
      </c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spans="1:24">
      <c r="A583" s="151" t="s">
        <v>2947</v>
      </c>
      <c r="B583" s="17" t="s">
        <v>2948</v>
      </c>
      <c r="C583" s="211">
        <v>500135</v>
      </c>
      <c r="D583" s="151" t="s">
        <v>2949</v>
      </c>
      <c r="E583" s="211">
        <v>197.6</v>
      </c>
      <c r="F583" s="151" t="s">
        <v>2950</v>
      </c>
      <c r="G583" s="151" t="s">
        <v>1229</v>
      </c>
      <c r="H583" s="211">
        <v>6292.6</v>
      </c>
      <c r="I583" s="17">
        <f t="shared" si="2"/>
        <v>318451417.00404859</v>
      </c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spans="1:24">
      <c r="A584" s="151" t="s">
        <v>2951</v>
      </c>
      <c r="B584" s="17" t="s">
        <v>558</v>
      </c>
      <c r="C584" s="211">
        <v>539118</v>
      </c>
      <c r="D584" s="151" t="s">
        <v>2952</v>
      </c>
      <c r="E584" s="211">
        <v>717.3</v>
      </c>
      <c r="F584" s="151" t="s">
        <v>1858</v>
      </c>
      <c r="G584" s="151" t="s">
        <v>1280</v>
      </c>
      <c r="H584" s="211">
        <v>6274.1</v>
      </c>
      <c r="I584" s="17">
        <f t="shared" si="2"/>
        <v>87468283.842185974</v>
      </c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spans="1:24">
      <c r="A585" s="151" t="s">
        <v>2953</v>
      </c>
      <c r="B585" s="17" t="s">
        <v>2954</v>
      </c>
      <c r="C585" s="211">
        <v>532162</v>
      </c>
      <c r="D585" s="151" t="s">
        <v>2955</v>
      </c>
      <c r="E585" s="211">
        <v>369.3</v>
      </c>
      <c r="F585" s="151" t="s">
        <v>2222</v>
      </c>
      <c r="G585" s="151" t="s">
        <v>1229</v>
      </c>
      <c r="H585" s="211">
        <v>6256</v>
      </c>
      <c r="I585" s="17">
        <f t="shared" si="2"/>
        <v>169401570.53885728</v>
      </c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spans="1:24">
      <c r="A586" s="151" t="s">
        <v>2956</v>
      </c>
      <c r="B586" s="17" t="s">
        <v>2957</v>
      </c>
      <c r="C586" s="211">
        <v>543441</v>
      </c>
      <c r="D586" s="151" t="s">
        <v>2958</v>
      </c>
      <c r="E586" s="211">
        <v>399.1</v>
      </c>
      <c r="F586" s="151" t="s">
        <v>1831</v>
      </c>
      <c r="G586" s="151" t="s">
        <v>1137</v>
      </c>
      <c r="H586" s="211">
        <v>6246.4</v>
      </c>
      <c r="I586" s="17">
        <f t="shared" si="2"/>
        <v>156512152.34277123</v>
      </c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spans="1:24">
      <c r="A587" s="151" t="s">
        <v>2959</v>
      </c>
      <c r="B587" s="17" t="s">
        <v>2960</v>
      </c>
      <c r="C587" s="211">
        <v>500123</v>
      </c>
      <c r="D587" s="151" t="s">
        <v>2961</v>
      </c>
      <c r="E587" s="211">
        <v>7810</v>
      </c>
      <c r="F587" s="151" t="s">
        <v>1334</v>
      </c>
      <c r="G587" s="151" t="s">
        <v>1335</v>
      </c>
      <c r="H587" s="211">
        <v>6191.6</v>
      </c>
      <c r="I587" s="17">
        <f t="shared" si="2"/>
        <v>7927784.8911651727</v>
      </c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spans="1:24">
      <c r="A588" s="151" t="s">
        <v>2962</v>
      </c>
      <c r="B588" s="17" t="s">
        <v>2963</v>
      </c>
      <c r="C588" s="211">
        <v>530343</v>
      </c>
      <c r="D588" s="151" t="s">
        <v>2964</v>
      </c>
      <c r="E588" s="211">
        <v>238.6</v>
      </c>
      <c r="F588" s="151" t="s">
        <v>1440</v>
      </c>
      <c r="G588" s="151" t="s">
        <v>1441</v>
      </c>
      <c r="H588" s="211">
        <v>6147.2</v>
      </c>
      <c r="I588" s="17">
        <f t="shared" si="2"/>
        <v>257636211.23218778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spans="1:24">
      <c r="A589" s="151" t="s">
        <v>2965</v>
      </c>
      <c r="B589" s="17" t="s">
        <v>2966</v>
      </c>
      <c r="C589" s="211">
        <v>500187</v>
      </c>
      <c r="D589" s="151" t="s">
        <v>2967</v>
      </c>
      <c r="E589" s="211">
        <v>941.2</v>
      </c>
      <c r="F589" s="151" t="s">
        <v>1220</v>
      </c>
      <c r="G589" s="151" t="s">
        <v>1139</v>
      </c>
      <c r="H589" s="211">
        <v>6089</v>
      </c>
      <c r="I589" s="17">
        <f t="shared" si="2"/>
        <v>64694007.64980875</v>
      </c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spans="1:24">
      <c r="A590" s="151" t="s">
        <v>2968</v>
      </c>
      <c r="B590" s="17" t="s">
        <v>31</v>
      </c>
      <c r="C590" s="211">
        <v>521016</v>
      </c>
      <c r="D590" s="151" t="s">
        <v>2969</v>
      </c>
      <c r="E590" s="211">
        <v>307.3</v>
      </c>
      <c r="F590" s="151" t="s">
        <v>1854</v>
      </c>
      <c r="G590" s="151" t="s">
        <v>1216</v>
      </c>
      <c r="H590" s="211">
        <v>6086.2</v>
      </c>
      <c r="I590" s="17">
        <f t="shared" si="2"/>
        <v>198054018.87406442</v>
      </c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spans="1:24">
      <c r="A591" s="151" t="s">
        <v>2970</v>
      </c>
      <c r="B591" s="17" t="s">
        <v>2971</v>
      </c>
      <c r="C591" s="211">
        <v>519126</v>
      </c>
      <c r="D591" s="151" t="s">
        <v>2972</v>
      </c>
      <c r="E591" s="211">
        <v>539.1</v>
      </c>
      <c r="F591" s="151" t="s">
        <v>1255</v>
      </c>
      <c r="G591" s="151" t="s">
        <v>1173</v>
      </c>
      <c r="H591" s="211">
        <v>6078</v>
      </c>
      <c r="I591" s="17">
        <f t="shared" si="2"/>
        <v>112743461.3244296</v>
      </c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spans="1:24">
      <c r="A592" s="151" t="s">
        <v>2973</v>
      </c>
      <c r="B592" s="17" t="s">
        <v>2974</v>
      </c>
      <c r="C592" s="211">
        <v>532630</v>
      </c>
      <c r="D592" s="151" t="s">
        <v>2975</v>
      </c>
      <c r="E592" s="211">
        <v>1002</v>
      </c>
      <c r="F592" s="151" t="s">
        <v>1854</v>
      </c>
      <c r="G592" s="151" t="s">
        <v>1216</v>
      </c>
      <c r="H592" s="211">
        <v>6077</v>
      </c>
      <c r="I592" s="17">
        <f t="shared" si="2"/>
        <v>60648702.594810382</v>
      </c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spans="1:24">
      <c r="A593" s="151" t="s">
        <v>2976</v>
      </c>
      <c r="B593" s="17" t="s">
        <v>2977</v>
      </c>
      <c r="C593" s="211">
        <v>533581</v>
      </c>
      <c r="D593" s="151" t="s">
        <v>2978</v>
      </c>
      <c r="E593" s="211">
        <v>2330</v>
      </c>
      <c r="F593" s="151" t="s">
        <v>1770</v>
      </c>
      <c r="G593" s="151" t="s">
        <v>1441</v>
      </c>
      <c r="H593" s="211">
        <v>6063.7</v>
      </c>
      <c r="I593" s="17">
        <f t="shared" si="2"/>
        <v>26024463.519313306</v>
      </c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spans="1:24">
      <c r="A594" s="151" t="s">
        <v>2979</v>
      </c>
      <c r="B594" s="17" t="s">
        <v>2980</v>
      </c>
      <c r="C594" s="211">
        <v>505714</v>
      </c>
      <c r="D594" s="151" t="s">
        <v>2981</v>
      </c>
      <c r="E594" s="211">
        <v>421.8</v>
      </c>
      <c r="F594" s="151" t="s">
        <v>1507</v>
      </c>
      <c r="G594" s="151" t="s">
        <v>1211</v>
      </c>
      <c r="H594" s="211">
        <v>6058.2</v>
      </c>
      <c r="I594" s="17">
        <f t="shared" si="2"/>
        <v>143627311.52204835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spans="1:24">
      <c r="A595" s="151" t="s">
        <v>2982</v>
      </c>
      <c r="B595" s="17" t="s">
        <v>2983</v>
      </c>
      <c r="C595" s="211">
        <v>517385</v>
      </c>
      <c r="D595" s="151" t="s">
        <v>2984</v>
      </c>
      <c r="E595" s="211">
        <v>874.8</v>
      </c>
      <c r="F595" s="151" t="s">
        <v>1770</v>
      </c>
      <c r="G595" s="151" t="s">
        <v>1441</v>
      </c>
      <c r="H595" s="211">
        <v>6032.4</v>
      </c>
      <c r="I595" s="17">
        <f t="shared" si="2"/>
        <v>68957475.994513035</v>
      </c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spans="1:24">
      <c r="A596" s="151" t="s">
        <v>2985</v>
      </c>
      <c r="B596" s="17" t="s">
        <v>204</v>
      </c>
      <c r="C596" s="211">
        <v>505355</v>
      </c>
      <c r="D596" s="151" t="s">
        <v>2986</v>
      </c>
      <c r="E596" s="211">
        <v>855.2</v>
      </c>
      <c r="F596" s="151" t="s">
        <v>1307</v>
      </c>
      <c r="G596" s="151" t="s">
        <v>1307</v>
      </c>
      <c r="H596" s="211">
        <v>6025.7</v>
      </c>
      <c r="I596" s="17">
        <f t="shared" si="2"/>
        <v>70459541.627689421</v>
      </c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spans="1:24">
      <c r="A597" s="151" t="s">
        <v>2987</v>
      </c>
      <c r="B597" s="17" t="s">
        <v>2988</v>
      </c>
      <c r="C597" s="211">
        <v>532374</v>
      </c>
      <c r="D597" s="151" t="s">
        <v>2989</v>
      </c>
      <c r="E597" s="211">
        <v>150.5</v>
      </c>
      <c r="F597" s="151" t="s">
        <v>2556</v>
      </c>
      <c r="G597" s="151" t="s">
        <v>1913</v>
      </c>
      <c r="H597" s="211">
        <v>6005.7</v>
      </c>
      <c r="I597" s="17">
        <f t="shared" si="2"/>
        <v>399049833.88704318</v>
      </c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spans="1:24">
      <c r="A598" s="151" t="s">
        <v>2990</v>
      </c>
      <c r="B598" s="17" t="s">
        <v>2991</v>
      </c>
      <c r="C598" s="211">
        <v>544009</v>
      </c>
      <c r="D598" s="151" t="s">
        <v>2992</v>
      </c>
      <c r="E598" s="211">
        <v>346</v>
      </c>
      <c r="F598" s="151" t="s">
        <v>694</v>
      </c>
      <c r="G598" s="151" t="s">
        <v>1224</v>
      </c>
      <c r="H598" s="211">
        <v>6001.9</v>
      </c>
      <c r="I598" s="17">
        <f t="shared" si="2"/>
        <v>173465317.91907513</v>
      </c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spans="1:24">
      <c r="A599" s="151" t="s">
        <v>2993</v>
      </c>
      <c r="B599" s="17" t="s">
        <v>2994</v>
      </c>
      <c r="C599" s="211">
        <v>543936</v>
      </c>
      <c r="D599" s="151" t="s">
        <v>2995</v>
      </c>
      <c r="E599" s="211">
        <v>766</v>
      </c>
      <c r="F599" s="151" t="s">
        <v>1215</v>
      </c>
      <c r="G599" s="151" t="s">
        <v>1216</v>
      </c>
      <c r="H599" s="211">
        <v>5949</v>
      </c>
      <c r="I599" s="17">
        <f t="shared" si="2"/>
        <v>77663185.378590077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spans="1:24">
      <c r="A600" s="151" t="s">
        <v>2996</v>
      </c>
      <c r="B600" s="17" t="s">
        <v>2997</v>
      </c>
      <c r="C600" s="211">
        <v>540047</v>
      </c>
      <c r="D600" s="151" t="s">
        <v>2998</v>
      </c>
      <c r="E600" s="211">
        <v>406.8</v>
      </c>
      <c r="F600" s="151" t="s">
        <v>1970</v>
      </c>
      <c r="G600" s="151" t="s">
        <v>1138</v>
      </c>
      <c r="H600" s="211">
        <v>5947.3</v>
      </c>
      <c r="I600" s="17">
        <f t="shared" si="2"/>
        <v>146197148.47590953</v>
      </c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spans="1:24">
      <c r="A601" s="151" t="s">
        <v>2999</v>
      </c>
      <c r="B601" s="17" t="s">
        <v>3000</v>
      </c>
      <c r="C601" s="211">
        <v>500101</v>
      </c>
      <c r="D601" s="151" t="s">
        <v>3001</v>
      </c>
      <c r="E601" s="211">
        <v>226.4</v>
      </c>
      <c r="F601" s="151" t="s">
        <v>1854</v>
      </c>
      <c r="G601" s="151" t="s">
        <v>1216</v>
      </c>
      <c r="H601" s="211">
        <v>5924.1</v>
      </c>
      <c r="I601" s="17">
        <f t="shared" si="2"/>
        <v>261665194.34628975</v>
      </c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spans="1:24">
      <c r="A602" s="151" t="s">
        <v>3002</v>
      </c>
      <c r="B602" s="17" t="s">
        <v>3003</v>
      </c>
      <c r="C602" s="211">
        <v>532493</v>
      </c>
      <c r="D602" s="151" t="s">
        <v>3004</v>
      </c>
      <c r="E602" s="211">
        <v>623</v>
      </c>
      <c r="F602" s="151" t="s">
        <v>1293</v>
      </c>
      <c r="G602" s="151" t="s">
        <v>1141</v>
      </c>
      <c r="H602" s="211">
        <v>5915.5</v>
      </c>
      <c r="I602" s="17">
        <f t="shared" si="2"/>
        <v>94951845.90690209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spans="1:24">
      <c r="A603" s="151" t="s">
        <v>3005</v>
      </c>
      <c r="B603" s="17" t="s">
        <v>3006</v>
      </c>
      <c r="C603" s="211">
        <v>542484</v>
      </c>
      <c r="D603" s="151" t="s">
        <v>3007</v>
      </c>
      <c r="E603" s="211">
        <v>439.2</v>
      </c>
      <c r="F603" s="151" t="s">
        <v>1710</v>
      </c>
      <c r="G603" s="151" t="s">
        <v>1216</v>
      </c>
      <c r="H603" s="211">
        <v>5840.1</v>
      </c>
      <c r="I603" s="17">
        <f t="shared" si="2"/>
        <v>132971311.47540984</v>
      </c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spans="1:24">
      <c r="A604" s="151" t="s">
        <v>3008</v>
      </c>
      <c r="B604" s="17" t="s">
        <v>3009</v>
      </c>
      <c r="C604" s="211">
        <v>543280</v>
      </c>
      <c r="D604" s="151" t="s">
        <v>3010</v>
      </c>
      <c r="E604" s="211">
        <v>793.6</v>
      </c>
      <c r="F604" s="151" t="s">
        <v>1373</v>
      </c>
      <c r="G604" s="151" t="s">
        <v>1143</v>
      </c>
      <c r="H604" s="211">
        <v>5818.4</v>
      </c>
      <c r="I604" s="17">
        <f t="shared" si="2"/>
        <v>73316532.258064508</v>
      </c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spans="1:24">
      <c r="A605" s="151" t="s">
        <v>3011</v>
      </c>
      <c r="B605" s="17" t="s">
        <v>3012</v>
      </c>
      <c r="C605" s="211">
        <v>532757</v>
      </c>
      <c r="D605" s="151" t="s">
        <v>3013</v>
      </c>
      <c r="E605" s="211">
        <v>5734.8</v>
      </c>
      <c r="F605" s="151" t="s">
        <v>1323</v>
      </c>
      <c r="G605" s="151" t="s">
        <v>1141</v>
      </c>
      <c r="H605" s="211">
        <v>5801.9</v>
      </c>
      <c r="I605" s="17">
        <f t="shared" si="2"/>
        <v>10117004.952221524</v>
      </c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spans="1:24">
      <c r="A606" s="151" t="s">
        <v>3014</v>
      </c>
      <c r="B606" s="17" t="s">
        <v>3015</v>
      </c>
      <c r="C606" s="211">
        <v>500191</v>
      </c>
      <c r="D606" s="151" t="s">
        <v>3016</v>
      </c>
      <c r="E606" s="211">
        <v>47.8</v>
      </c>
      <c r="F606" s="151" t="s">
        <v>1323</v>
      </c>
      <c r="G606" s="151" t="s">
        <v>1141</v>
      </c>
      <c r="H606" s="211">
        <v>5755.6</v>
      </c>
      <c r="I606" s="17">
        <f t="shared" si="2"/>
        <v>1204100418.4100418</v>
      </c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spans="1:24">
      <c r="A607" s="151" t="s">
        <v>3017</v>
      </c>
      <c r="B607" s="17" t="s">
        <v>3018</v>
      </c>
      <c r="C607" s="211">
        <v>513023</v>
      </c>
      <c r="D607" s="151" t="s">
        <v>3019</v>
      </c>
      <c r="E607" s="211">
        <v>396.6</v>
      </c>
      <c r="F607" s="151" t="s">
        <v>1242</v>
      </c>
      <c r="G607" s="151" t="s">
        <v>1144</v>
      </c>
      <c r="H607" s="211">
        <v>5754</v>
      </c>
      <c r="I607" s="17">
        <f t="shared" si="2"/>
        <v>145083207.26172465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spans="1:24">
      <c r="A608" s="151" t="s">
        <v>3020</v>
      </c>
      <c r="B608" s="17" t="s">
        <v>3021</v>
      </c>
      <c r="C608" s="211">
        <v>502219</v>
      </c>
      <c r="D608" s="151" t="s">
        <v>3022</v>
      </c>
      <c r="E608" s="211">
        <v>440.8</v>
      </c>
      <c r="F608" s="151" t="s">
        <v>2470</v>
      </c>
      <c r="G608" s="151" t="s">
        <v>1441</v>
      </c>
      <c r="H608" s="211">
        <v>5753.9</v>
      </c>
      <c r="I608" s="17">
        <f t="shared" si="2"/>
        <v>130533121.59709619</v>
      </c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spans="1:24">
      <c r="A609" s="151" t="s">
        <v>3023</v>
      </c>
      <c r="B609" s="17" t="s">
        <v>77</v>
      </c>
      <c r="C609" s="211">
        <v>533326</v>
      </c>
      <c r="D609" s="151" t="s">
        <v>3024</v>
      </c>
      <c r="E609" s="211">
        <v>150</v>
      </c>
      <c r="F609" s="151" t="s">
        <v>1190</v>
      </c>
      <c r="G609" s="151" t="s">
        <v>1138</v>
      </c>
      <c r="H609" s="211">
        <v>5752</v>
      </c>
      <c r="I609" s="17">
        <f t="shared" si="2"/>
        <v>383466666.66666669</v>
      </c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spans="1:24">
      <c r="A610" s="151" t="s">
        <v>3025</v>
      </c>
      <c r="B610" s="17" t="s">
        <v>3026</v>
      </c>
      <c r="C610" s="211">
        <v>512237</v>
      </c>
      <c r="D610" s="151" t="s">
        <v>3027</v>
      </c>
      <c r="E610" s="211">
        <v>321.2</v>
      </c>
      <c r="F610" s="151" t="s">
        <v>1546</v>
      </c>
      <c r="G610" s="151" t="s">
        <v>1141</v>
      </c>
      <c r="H610" s="211">
        <v>5732.7</v>
      </c>
      <c r="I610" s="17">
        <f t="shared" si="2"/>
        <v>178477584.05977586</v>
      </c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spans="1:24">
      <c r="A611" s="151" t="s">
        <v>3028</v>
      </c>
      <c r="B611" s="17" t="s">
        <v>3029</v>
      </c>
      <c r="C611" s="211">
        <v>543248</v>
      </c>
      <c r="D611" s="151" t="s">
        <v>3030</v>
      </c>
      <c r="E611" s="211">
        <v>115.8</v>
      </c>
      <c r="F611" s="151" t="s">
        <v>1752</v>
      </c>
      <c r="G611" s="151" t="s">
        <v>1533</v>
      </c>
      <c r="H611" s="211">
        <v>5730.4</v>
      </c>
      <c r="I611" s="17">
        <f t="shared" si="2"/>
        <v>494853195.16407603</v>
      </c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spans="1:24">
      <c r="A612" s="151" t="s">
        <v>3031</v>
      </c>
      <c r="B612" s="17" t="s">
        <v>3032</v>
      </c>
      <c r="C612" s="211">
        <v>544022</v>
      </c>
      <c r="D612" s="151" t="s">
        <v>3033</v>
      </c>
      <c r="E612" s="211">
        <v>290.2</v>
      </c>
      <c r="F612" s="151" t="s">
        <v>1507</v>
      </c>
      <c r="G612" s="151" t="s">
        <v>1211</v>
      </c>
      <c r="H612" s="211">
        <v>5721.1</v>
      </c>
      <c r="I612" s="17">
        <f t="shared" si="2"/>
        <v>197143349.41419712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spans="1:24">
      <c r="A613" s="151" t="s">
        <v>3034</v>
      </c>
      <c r="B613" s="17" t="s">
        <v>3035</v>
      </c>
      <c r="C613" s="211">
        <v>532735</v>
      </c>
      <c r="D613" s="151" t="s">
        <v>3036</v>
      </c>
      <c r="E613" s="211">
        <v>481.6</v>
      </c>
      <c r="F613" s="151" t="s">
        <v>1161</v>
      </c>
      <c r="G613" s="151" t="s">
        <v>1143</v>
      </c>
      <c r="H613" s="211">
        <v>5696.9</v>
      </c>
      <c r="I613" s="17">
        <f t="shared" si="2"/>
        <v>118291112.95681062</v>
      </c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spans="1:24">
      <c r="A614" s="151" t="s">
        <v>3037</v>
      </c>
      <c r="B614" s="17" t="s">
        <v>3038</v>
      </c>
      <c r="C614" s="211">
        <v>540725</v>
      </c>
      <c r="D614" s="151" t="s">
        <v>3039</v>
      </c>
      <c r="E614" s="211">
        <v>1740.6</v>
      </c>
      <c r="F614" s="151" t="s">
        <v>1930</v>
      </c>
      <c r="G614" s="151" t="s">
        <v>1137</v>
      </c>
      <c r="H614" s="211">
        <v>5694.2</v>
      </c>
      <c r="I614" s="17">
        <f t="shared" si="2"/>
        <v>32714006.664368611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spans="1:24">
      <c r="A615" s="151" t="s">
        <v>3040</v>
      </c>
      <c r="B615" s="17" t="s">
        <v>3041</v>
      </c>
      <c r="C615" s="211">
        <v>532642</v>
      </c>
      <c r="D615" s="151" t="s">
        <v>3042</v>
      </c>
      <c r="E615" s="211">
        <v>5121</v>
      </c>
      <c r="F615" s="151" t="s">
        <v>1233</v>
      </c>
      <c r="G615" s="151" t="s">
        <v>1234</v>
      </c>
      <c r="H615" s="211">
        <v>5684</v>
      </c>
      <c r="I615" s="17">
        <f t="shared" si="2"/>
        <v>11099394.649482522</v>
      </c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spans="1:24">
      <c r="A616" s="151" t="s">
        <v>3043</v>
      </c>
      <c r="B616" s="17" t="s">
        <v>1111</v>
      </c>
      <c r="C616" s="211">
        <v>543652</v>
      </c>
      <c r="D616" s="151" t="s">
        <v>3044</v>
      </c>
      <c r="E616" s="211">
        <v>561</v>
      </c>
      <c r="F616" s="151" t="s">
        <v>1194</v>
      </c>
      <c r="G616" s="151" t="s">
        <v>1137</v>
      </c>
      <c r="H616" s="211">
        <v>5667.4</v>
      </c>
      <c r="I616" s="17">
        <f t="shared" si="2"/>
        <v>101023172.90552585</v>
      </c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spans="1:24">
      <c r="A617" s="151" t="s">
        <v>3045</v>
      </c>
      <c r="B617" s="17" t="s">
        <v>3046</v>
      </c>
      <c r="C617" s="211">
        <v>539807</v>
      </c>
      <c r="D617" s="151" t="s">
        <v>3047</v>
      </c>
      <c r="E617" s="211">
        <v>20.2</v>
      </c>
      <c r="F617" s="151" t="s">
        <v>1373</v>
      </c>
      <c r="G617" s="151" t="s">
        <v>1143</v>
      </c>
      <c r="H617" s="211">
        <v>5598.4</v>
      </c>
      <c r="I617" s="17">
        <f t="shared" si="2"/>
        <v>2771485148.5148516</v>
      </c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spans="1:24">
      <c r="A618" s="151" t="s">
        <v>3048</v>
      </c>
      <c r="B618" s="17" t="s">
        <v>161</v>
      </c>
      <c r="C618" s="211">
        <v>500336</v>
      </c>
      <c r="D618" s="151" t="s">
        <v>3049</v>
      </c>
      <c r="E618" s="211">
        <v>511.6</v>
      </c>
      <c r="F618" s="151" t="s">
        <v>1675</v>
      </c>
      <c r="G618" s="151" t="s">
        <v>1142</v>
      </c>
      <c r="H618" s="211">
        <v>5567.1</v>
      </c>
      <c r="I618" s="17">
        <f t="shared" si="2"/>
        <v>108817435.49648163</v>
      </c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spans="1:24">
      <c r="A619" s="151" t="s">
        <v>3050</v>
      </c>
      <c r="B619" s="17" t="s">
        <v>3051</v>
      </c>
      <c r="C619" s="211">
        <v>500033</v>
      </c>
      <c r="D619" s="151" t="s">
        <v>3052</v>
      </c>
      <c r="E619" s="211">
        <v>4220</v>
      </c>
      <c r="F619" s="151" t="s">
        <v>1210</v>
      </c>
      <c r="G619" s="151" t="s">
        <v>1211</v>
      </c>
      <c r="H619" s="211">
        <v>5560.4</v>
      </c>
      <c r="I619" s="17">
        <f t="shared" si="2"/>
        <v>13176303.317535546</v>
      </c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spans="1:24">
      <c r="A620" s="151" t="s">
        <v>3053</v>
      </c>
      <c r="B620" s="17" t="s">
        <v>3054</v>
      </c>
      <c r="C620" s="211">
        <v>543942</v>
      </c>
      <c r="D620" s="151" t="s">
        <v>3055</v>
      </c>
      <c r="E620" s="211">
        <v>50.5</v>
      </c>
      <c r="F620" s="151" t="s">
        <v>1165</v>
      </c>
      <c r="G620" s="151" t="s">
        <v>1137</v>
      </c>
      <c r="H620" s="211">
        <v>5543.5</v>
      </c>
      <c r="I620" s="17">
        <f t="shared" si="2"/>
        <v>1097722772.2772276</v>
      </c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spans="1:24">
      <c r="A621" s="151" t="s">
        <v>3056</v>
      </c>
      <c r="B621" s="17" t="s">
        <v>3057</v>
      </c>
      <c r="C621" s="211">
        <v>532811</v>
      </c>
      <c r="D621" s="151" t="s">
        <v>3058</v>
      </c>
      <c r="E621" s="211">
        <v>821.2</v>
      </c>
      <c r="F621" s="151" t="s">
        <v>1190</v>
      </c>
      <c r="G621" s="151" t="s">
        <v>1138</v>
      </c>
      <c r="H621" s="211">
        <v>5501.4</v>
      </c>
      <c r="I621" s="17">
        <f t="shared" si="2"/>
        <v>66992206.527033605</v>
      </c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spans="1:24">
      <c r="A622" s="151" t="s">
        <v>3059</v>
      </c>
      <c r="B622" s="17" t="s">
        <v>37</v>
      </c>
      <c r="C622" s="211">
        <v>541019</v>
      </c>
      <c r="D622" s="151" t="s">
        <v>3060</v>
      </c>
      <c r="E622" s="211">
        <v>842.3</v>
      </c>
      <c r="F622" s="151" t="s">
        <v>1190</v>
      </c>
      <c r="G622" s="151" t="s">
        <v>1138</v>
      </c>
      <c r="H622" s="211">
        <v>5489.4</v>
      </c>
      <c r="I622" s="17">
        <f t="shared" si="2"/>
        <v>65171554.078119442</v>
      </c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spans="1:24">
      <c r="A623" s="151" t="s">
        <v>3061</v>
      </c>
      <c r="B623" s="17" t="s">
        <v>3062</v>
      </c>
      <c r="C623" s="211">
        <v>543530</v>
      </c>
      <c r="D623" s="151" t="s">
        <v>3063</v>
      </c>
      <c r="E623" s="211">
        <v>67</v>
      </c>
      <c r="F623" s="151" t="s">
        <v>1650</v>
      </c>
      <c r="G623" s="151" t="s">
        <v>1650</v>
      </c>
      <c r="H623" s="211">
        <v>5454.7</v>
      </c>
      <c r="I623" s="17">
        <f t="shared" si="2"/>
        <v>814134328.35820901</v>
      </c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spans="1:24">
      <c r="A624" s="151" t="s">
        <v>3064</v>
      </c>
      <c r="B624" s="17" t="s">
        <v>3065</v>
      </c>
      <c r="C624" s="211">
        <v>538268</v>
      </c>
      <c r="D624" s="151" t="s">
        <v>3066</v>
      </c>
      <c r="E624" s="211">
        <v>958.4</v>
      </c>
      <c r="F624" s="151" t="s">
        <v>3067</v>
      </c>
      <c r="G624" s="151" t="s">
        <v>1139</v>
      </c>
      <c r="H624" s="211">
        <v>5422.3</v>
      </c>
      <c r="I624" s="17">
        <f t="shared" si="2"/>
        <v>56576585.976627715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spans="1:24">
      <c r="A625" s="151" t="s">
        <v>3068</v>
      </c>
      <c r="B625" s="17" t="s">
        <v>3069</v>
      </c>
      <c r="C625" s="211">
        <v>540212</v>
      </c>
      <c r="D625" s="151" t="s">
        <v>3070</v>
      </c>
      <c r="E625" s="211">
        <v>1414</v>
      </c>
      <c r="F625" s="151" t="s">
        <v>1858</v>
      </c>
      <c r="G625" s="151" t="s">
        <v>1280</v>
      </c>
      <c r="H625" s="211">
        <v>5420.6</v>
      </c>
      <c r="I625" s="17">
        <f t="shared" si="2"/>
        <v>38335219.236209333</v>
      </c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spans="1:24">
      <c r="A626" s="151" t="s">
        <v>3071</v>
      </c>
      <c r="B626" s="17" t="s">
        <v>3072</v>
      </c>
      <c r="C626" s="211">
        <v>512573</v>
      </c>
      <c r="D626" s="151" t="s">
        <v>3073</v>
      </c>
      <c r="E626" s="211">
        <v>396.2</v>
      </c>
      <c r="F626" s="151" t="s">
        <v>2576</v>
      </c>
      <c r="G626" s="151" t="s">
        <v>1140</v>
      </c>
      <c r="H626" s="211">
        <v>5397.4</v>
      </c>
      <c r="I626" s="17">
        <f t="shared" si="2"/>
        <v>136229177.1832408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spans="1:24">
      <c r="A627" s="151" t="s">
        <v>3074</v>
      </c>
      <c r="B627" s="17" t="s">
        <v>3075</v>
      </c>
      <c r="C627" s="211">
        <v>530001</v>
      </c>
      <c r="D627" s="151" t="s">
        <v>3076</v>
      </c>
      <c r="E627" s="211">
        <v>732</v>
      </c>
      <c r="F627" s="151" t="s">
        <v>1840</v>
      </c>
      <c r="G627" s="151" t="s">
        <v>1335</v>
      </c>
      <c r="H627" s="211">
        <v>5375.6</v>
      </c>
      <c r="I627" s="17">
        <f t="shared" si="2"/>
        <v>73437158.469945356</v>
      </c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spans="1:24">
      <c r="A628" s="151" t="s">
        <v>3077</v>
      </c>
      <c r="B628" s="17" t="s">
        <v>3078</v>
      </c>
      <c r="C628" s="211">
        <v>538891</v>
      </c>
      <c r="D628" s="151" t="s">
        <v>3079</v>
      </c>
      <c r="E628" s="211">
        <v>455.7</v>
      </c>
      <c r="F628" s="151" t="s">
        <v>1161</v>
      </c>
      <c r="G628" s="151" t="s">
        <v>1143</v>
      </c>
      <c r="H628" s="211">
        <v>5326.2</v>
      </c>
      <c r="I628" s="17">
        <f t="shared" si="2"/>
        <v>116879526.00394997</v>
      </c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spans="1:24">
      <c r="A629" s="151" t="s">
        <v>3080</v>
      </c>
      <c r="B629" s="17" t="s">
        <v>3081</v>
      </c>
      <c r="C629" s="211">
        <v>500171</v>
      </c>
      <c r="D629" s="151" t="s">
        <v>3082</v>
      </c>
      <c r="E629" s="211">
        <v>555.79999999999995</v>
      </c>
      <c r="F629" s="151" t="s">
        <v>1840</v>
      </c>
      <c r="G629" s="151" t="s">
        <v>1335</v>
      </c>
      <c r="H629" s="211">
        <v>5313.1</v>
      </c>
      <c r="I629" s="17">
        <f t="shared" si="2"/>
        <v>95593738.754947826</v>
      </c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spans="1:24">
      <c r="A630" s="151" t="s">
        <v>3083</v>
      </c>
      <c r="B630" s="17" t="s">
        <v>3084</v>
      </c>
      <c r="C630" s="211">
        <v>544027</v>
      </c>
      <c r="D630" s="151" t="s">
        <v>3085</v>
      </c>
      <c r="E630" s="211">
        <v>143.9</v>
      </c>
      <c r="F630" s="151" t="s">
        <v>1194</v>
      </c>
      <c r="G630" s="151" t="s">
        <v>1137</v>
      </c>
      <c r="H630" s="211">
        <v>5309.3</v>
      </c>
      <c r="I630" s="17">
        <f t="shared" si="2"/>
        <v>368957609.4510076</v>
      </c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spans="1:24">
      <c r="A631" s="151" t="s">
        <v>3086</v>
      </c>
      <c r="B631" s="17" t="s">
        <v>3087</v>
      </c>
      <c r="C631" s="211">
        <v>543952</v>
      </c>
      <c r="D631" s="151" t="s">
        <v>3088</v>
      </c>
      <c r="E631" s="211">
        <v>392.9</v>
      </c>
      <c r="F631" s="151" t="s">
        <v>3089</v>
      </c>
      <c r="G631" s="151" t="s">
        <v>1139</v>
      </c>
      <c r="H631" s="211">
        <v>5303.3</v>
      </c>
      <c r="I631" s="17">
        <f t="shared" si="2"/>
        <v>134978365.99643677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spans="1:24">
      <c r="A632" s="151" t="s">
        <v>3090</v>
      </c>
      <c r="B632" s="17" t="s">
        <v>3091</v>
      </c>
      <c r="C632" s="211">
        <v>532835</v>
      </c>
      <c r="D632" s="151" t="s">
        <v>3092</v>
      </c>
      <c r="E632" s="211">
        <v>5491.2</v>
      </c>
      <c r="F632" s="151" t="s">
        <v>1831</v>
      </c>
      <c r="G632" s="151" t="s">
        <v>1137</v>
      </c>
      <c r="H632" s="211">
        <v>5299.7</v>
      </c>
      <c r="I632" s="17">
        <f t="shared" si="2"/>
        <v>9651260.198135199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spans="1:24">
      <c r="A633" s="151" t="s">
        <v>3093</v>
      </c>
      <c r="B633" s="17" t="s">
        <v>3094</v>
      </c>
      <c r="C633" s="211">
        <v>532509</v>
      </c>
      <c r="D633" s="151" t="s">
        <v>3095</v>
      </c>
      <c r="E633" s="211">
        <v>382.6</v>
      </c>
      <c r="F633" s="151" t="s">
        <v>1507</v>
      </c>
      <c r="G633" s="151" t="s">
        <v>1211</v>
      </c>
      <c r="H633" s="211">
        <v>5297.2</v>
      </c>
      <c r="I633" s="17">
        <f t="shared" si="2"/>
        <v>138452692.10663879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spans="1:24">
      <c r="A634" s="151" t="s">
        <v>3096</v>
      </c>
      <c r="B634" s="17" t="s">
        <v>3097</v>
      </c>
      <c r="C634" s="211">
        <v>532218</v>
      </c>
      <c r="D634" s="151" t="s">
        <v>3098</v>
      </c>
      <c r="E634" s="211">
        <v>25.3</v>
      </c>
      <c r="F634" s="151" t="s">
        <v>1165</v>
      </c>
      <c r="G634" s="151" t="s">
        <v>1137</v>
      </c>
      <c r="H634" s="211">
        <v>5294.6</v>
      </c>
      <c r="I634" s="17">
        <f t="shared" si="2"/>
        <v>2092727272.7272727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spans="1:24">
      <c r="A635" s="151" t="s">
        <v>3099</v>
      </c>
      <c r="B635" s="17" t="s">
        <v>3100</v>
      </c>
      <c r="C635" s="211">
        <v>532301</v>
      </c>
      <c r="D635" s="151" t="s">
        <v>3101</v>
      </c>
      <c r="E635" s="211">
        <v>283.39999999999998</v>
      </c>
      <c r="F635" s="151" t="s">
        <v>2550</v>
      </c>
      <c r="G635" s="151" t="s">
        <v>1140</v>
      </c>
      <c r="H635" s="211">
        <v>5292.1</v>
      </c>
      <c r="I635" s="17">
        <f t="shared" si="2"/>
        <v>186736062.10303459</v>
      </c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spans="1:24">
      <c r="A636" s="151" t="s">
        <v>3102</v>
      </c>
      <c r="B636" s="17" t="s">
        <v>3103</v>
      </c>
      <c r="C636" s="211">
        <v>543527</v>
      </c>
      <c r="D636" s="151" t="s">
        <v>3104</v>
      </c>
      <c r="E636" s="211">
        <v>1272</v>
      </c>
      <c r="F636" s="151" t="s">
        <v>1831</v>
      </c>
      <c r="G636" s="151" t="s">
        <v>1137</v>
      </c>
      <c r="H636" s="211">
        <v>5266.9</v>
      </c>
      <c r="I636" s="17">
        <f t="shared" si="2"/>
        <v>41406446.540880501</v>
      </c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spans="1:24">
      <c r="A637" s="151" t="s">
        <v>3105</v>
      </c>
      <c r="B637" s="17" t="s">
        <v>3106</v>
      </c>
      <c r="C637" s="211">
        <v>532804</v>
      </c>
      <c r="D637" s="151" t="s">
        <v>3107</v>
      </c>
      <c r="E637" s="211">
        <v>2293.1999999999998</v>
      </c>
      <c r="F637" s="151" t="s">
        <v>1675</v>
      </c>
      <c r="G637" s="151" t="s">
        <v>1142</v>
      </c>
      <c r="H637" s="211">
        <v>5265.7</v>
      </c>
      <c r="I637" s="17">
        <f t="shared" si="2"/>
        <v>22962236.176521894</v>
      </c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spans="1:24">
      <c r="A638" s="151" t="s">
        <v>3108</v>
      </c>
      <c r="B638" s="17" t="s">
        <v>3109</v>
      </c>
      <c r="C638" s="17"/>
      <c r="D638" s="151" t="s">
        <v>3110</v>
      </c>
      <c r="E638" s="211">
        <v>116</v>
      </c>
      <c r="F638" s="151" t="s">
        <v>1847</v>
      </c>
      <c r="G638" s="151" t="s">
        <v>1144</v>
      </c>
      <c r="H638" s="211">
        <v>5233.8999999999996</v>
      </c>
      <c r="I638" s="17">
        <f t="shared" si="2"/>
        <v>451198275.86206895</v>
      </c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spans="1:24">
      <c r="A639" s="151" t="s">
        <v>3111</v>
      </c>
      <c r="B639" s="17" t="s">
        <v>3112</v>
      </c>
      <c r="C639" s="211">
        <v>543933</v>
      </c>
      <c r="D639" s="151" t="s">
        <v>3113</v>
      </c>
      <c r="E639" s="211">
        <v>658.8</v>
      </c>
      <c r="F639" s="151" t="s">
        <v>3114</v>
      </c>
      <c r="G639" s="151" t="s">
        <v>1229</v>
      </c>
      <c r="H639" s="211">
        <v>5224.7</v>
      </c>
      <c r="I639" s="17">
        <f t="shared" si="2"/>
        <v>79306314.511232555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spans="1:24">
      <c r="A640" s="151" t="s">
        <v>3115</v>
      </c>
      <c r="B640" s="17" t="s">
        <v>3116</v>
      </c>
      <c r="C640" s="211">
        <v>512463</v>
      </c>
      <c r="D640" s="151" t="s">
        <v>3117</v>
      </c>
      <c r="E640" s="211">
        <v>41</v>
      </c>
      <c r="F640" s="151" t="s">
        <v>1194</v>
      </c>
      <c r="G640" s="151" t="s">
        <v>1137</v>
      </c>
      <c r="H640" s="211">
        <v>5215.7</v>
      </c>
      <c r="I640" s="17">
        <f t="shared" si="2"/>
        <v>1272121951.2195122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spans="1:24">
      <c r="A641" s="151" t="s">
        <v>3118</v>
      </c>
      <c r="B641" s="17" t="s">
        <v>3119</v>
      </c>
      <c r="C641" s="211">
        <v>507205</v>
      </c>
      <c r="D641" s="151" t="s">
        <v>3120</v>
      </c>
      <c r="E641" s="211">
        <v>269.2</v>
      </c>
      <c r="F641" s="151" t="s">
        <v>1470</v>
      </c>
      <c r="G641" s="151" t="s">
        <v>1140</v>
      </c>
      <c r="H641" s="211">
        <v>5179.8</v>
      </c>
      <c r="I641" s="17">
        <f t="shared" si="2"/>
        <v>192414561.6641902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spans="1:24">
      <c r="A642" s="151" t="s">
        <v>3121</v>
      </c>
      <c r="B642" s="17" t="s">
        <v>3122</v>
      </c>
      <c r="C642" s="211">
        <v>533262</v>
      </c>
      <c r="D642" s="151" t="s">
        <v>3123</v>
      </c>
      <c r="E642" s="211">
        <v>748</v>
      </c>
      <c r="F642" s="151" t="s">
        <v>1190</v>
      </c>
      <c r="G642" s="151" t="s">
        <v>1138</v>
      </c>
      <c r="H642" s="211">
        <v>5176</v>
      </c>
      <c r="I642" s="17">
        <f t="shared" si="2"/>
        <v>69197860.962566838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spans="1:24">
      <c r="A643" s="151" t="s">
        <v>3124</v>
      </c>
      <c r="B643" s="17" t="s">
        <v>3125</v>
      </c>
      <c r="C643" s="211">
        <v>505890</v>
      </c>
      <c r="D643" s="151" t="s">
        <v>3126</v>
      </c>
      <c r="E643" s="211">
        <v>2333.4</v>
      </c>
      <c r="F643" s="151" t="s">
        <v>1577</v>
      </c>
      <c r="G643" s="151" t="s">
        <v>1141</v>
      </c>
      <c r="H643" s="211">
        <v>5128.3999999999996</v>
      </c>
      <c r="I643" s="17">
        <f t="shared" si="2"/>
        <v>21978229.193451613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spans="1:24">
      <c r="A644" s="151" t="s">
        <v>3127</v>
      </c>
      <c r="B644" s="17" t="s">
        <v>3128</v>
      </c>
      <c r="C644" s="211">
        <v>535754</v>
      </c>
      <c r="D644" s="151" t="s">
        <v>3129</v>
      </c>
      <c r="E644" s="211">
        <v>249.7</v>
      </c>
      <c r="F644" s="151" t="s">
        <v>1238</v>
      </c>
      <c r="G644" s="151" t="s">
        <v>1138</v>
      </c>
      <c r="H644" s="211">
        <v>5115.6000000000004</v>
      </c>
      <c r="I644" s="17">
        <f t="shared" si="2"/>
        <v>204869843.8125751</v>
      </c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spans="1:24">
      <c r="A645" s="151" t="s">
        <v>3130</v>
      </c>
      <c r="B645" s="17" t="s">
        <v>3131</v>
      </c>
      <c r="C645" s="211">
        <v>539992</v>
      </c>
      <c r="D645" s="151" t="s">
        <v>3132</v>
      </c>
      <c r="E645" s="211">
        <v>47.4</v>
      </c>
      <c r="F645" s="151" t="s">
        <v>1587</v>
      </c>
      <c r="G645" s="151" t="s">
        <v>1141</v>
      </c>
      <c r="H645" s="211">
        <v>5114.1000000000004</v>
      </c>
      <c r="I645" s="17">
        <f t="shared" si="2"/>
        <v>1078924050.6329114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spans="1:24">
      <c r="A646" s="151" t="s">
        <v>3133</v>
      </c>
      <c r="B646" s="17" t="s">
        <v>3134</v>
      </c>
      <c r="C646" s="211">
        <v>532300</v>
      </c>
      <c r="D646" s="151" t="s">
        <v>3135</v>
      </c>
      <c r="E646" s="211">
        <v>354</v>
      </c>
      <c r="F646" s="151" t="s">
        <v>694</v>
      </c>
      <c r="G646" s="151" t="s">
        <v>1224</v>
      </c>
      <c r="H646" s="211">
        <v>5101.2</v>
      </c>
      <c r="I646" s="17">
        <f t="shared" si="2"/>
        <v>144101694.91525424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spans="1:24">
      <c r="A647" s="151" t="s">
        <v>3136</v>
      </c>
      <c r="B647" s="17" t="s">
        <v>3137</v>
      </c>
      <c r="C647" s="211">
        <v>509966</v>
      </c>
      <c r="D647" s="151" t="s">
        <v>3138</v>
      </c>
      <c r="E647" s="211">
        <v>3278.4</v>
      </c>
      <c r="F647" s="151" t="s">
        <v>1183</v>
      </c>
      <c r="G647" s="151" t="s">
        <v>1140</v>
      </c>
      <c r="H647" s="211">
        <v>5062.5</v>
      </c>
      <c r="I647" s="17">
        <f t="shared" si="2"/>
        <v>15441983.894582722</v>
      </c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spans="1:24">
      <c r="A648" s="151" t="s">
        <v>3139</v>
      </c>
      <c r="B648" s="17" t="s">
        <v>146</v>
      </c>
      <c r="C648" s="211">
        <v>539787</v>
      </c>
      <c r="D648" s="151" t="s">
        <v>3140</v>
      </c>
      <c r="E648" s="211">
        <v>363.2</v>
      </c>
      <c r="F648" s="151" t="s">
        <v>1445</v>
      </c>
      <c r="G648" s="151" t="s">
        <v>1139</v>
      </c>
      <c r="H648" s="211">
        <v>5057.1000000000004</v>
      </c>
      <c r="I648" s="17">
        <f t="shared" si="2"/>
        <v>139237334.8017621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spans="1:24">
      <c r="A649" s="151" t="s">
        <v>3141</v>
      </c>
      <c r="B649" s="17" t="s">
        <v>3142</v>
      </c>
      <c r="C649" s="211">
        <v>543489</v>
      </c>
      <c r="D649" s="151" t="s">
        <v>3143</v>
      </c>
      <c r="E649" s="211">
        <v>101</v>
      </c>
      <c r="F649" s="151" t="s">
        <v>1858</v>
      </c>
      <c r="G649" s="151" t="s">
        <v>1280</v>
      </c>
      <c r="H649" s="211">
        <v>5048.8999999999996</v>
      </c>
      <c r="I649" s="17">
        <f t="shared" si="2"/>
        <v>499891089.10891092</v>
      </c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spans="1:24">
      <c r="A650" s="151" t="s">
        <v>3144</v>
      </c>
      <c r="B650" s="17" t="s">
        <v>3145</v>
      </c>
      <c r="C650" s="211">
        <v>543532</v>
      </c>
      <c r="D650" s="151" t="s">
        <v>3146</v>
      </c>
      <c r="E650" s="211">
        <v>2058</v>
      </c>
      <c r="F650" s="151" t="s">
        <v>1803</v>
      </c>
      <c r="G650" s="151" t="s">
        <v>1247</v>
      </c>
      <c r="H650" s="211">
        <v>5038.1000000000004</v>
      </c>
      <c r="I650" s="17">
        <f t="shared" si="2"/>
        <v>24480563.654033042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spans="1:24">
      <c r="A651" s="151" t="s">
        <v>3147</v>
      </c>
      <c r="B651" s="17" t="s">
        <v>3148</v>
      </c>
      <c r="C651" s="211">
        <v>543945</v>
      </c>
      <c r="D651" s="151" t="s">
        <v>3149</v>
      </c>
      <c r="E651" s="211">
        <v>886.3</v>
      </c>
      <c r="F651" s="151" t="s">
        <v>1161</v>
      </c>
      <c r="G651" s="151" t="s">
        <v>1143</v>
      </c>
      <c r="H651" s="211">
        <v>4969</v>
      </c>
      <c r="I651" s="17">
        <f t="shared" si="2"/>
        <v>56064537.966828391</v>
      </c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spans="1:24">
      <c r="A652" s="151" t="s">
        <v>3150</v>
      </c>
      <c r="B652" s="17" t="s">
        <v>172</v>
      </c>
      <c r="C652" s="211">
        <v>532524</v>
      </c>
      <c r="D652" s="151" t="s">
        <v>3151</v>
      </c>
      <c r="E652" s="211">
        <v>166.6</v>
      </c>
      <c r="F652" s="151" t="s">
        <v>1242</v>
      </c>
      <c r="G652" s="151" t="s">
        <v>1144</v>
      </c>
      <c r="H652" s="211">
        <v>4931.5</v>
      </c>
      <c r="I652" s="17">
        <f t="shared" si="2"/>
        <v>296008403.36134458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spans="1:24">
      <c r="A653" s="151" t="s">
        <v>3152</v>
      </c>
      <c r="B653" s="17" t="s">
        <v>3153</v>
      </c>
      <c r="C653" s="211">
        <v>530117</v>
      </c>
      <c r="D653" s="151" t="s">
        <v>3154</v>
      </c>
      <c r="E653" s="211">
        <v>1261.4000000000001</v>
      </c>
      <c r="F653" s="151" t="s">
        <v>1334</v>
      </c>
      <c r="G653" s="151" t="s">
        <v>1335</v>
      </c>
      <c r="H653" s="211">
        <v>4927.2</v>
      </c>
      <c r="I653" s="17">
        <f t="shared" si="2"/>
        <v>39061360.393213883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spans="1:24">
      <c r="A654" s="151" t="s">
        <v>3155</v>
      </c>
      <c r="B654" s="17" t="s">
        <v>3156</v>
      </c>
      <c r="C654" s="211">
        <v>543212</v>
      </c>
      <c r="D654" s="151" t="s">
        <v>3157</v>
      </c>
      <c r="E654" s="211">
        <v>429.6</v>
      </c>
      <c r="F654" s="151" t="s">
        <v>2470</v>
      </c>
      <c r="G654" s="151" t="s">
        <v>1441</v>
      </c>
      <c r="H654" s="211">
        <v>4923</v>
      </c>
      <c r="I654" s="17">
        <f t="shared" si="2"/>
        <v>114594972.0670391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spans="1:24">
      <c r="A655" s="151" t="s">
        <v>3158</v>
      </c>
      <c r="B655" s="17" t="s">
        <v>3159</v>
      </c>
      <c r="C655" s="211">
        <v>500339</v>
      </c>
      <c r="D655" s="151" t="s">
        <v>3160</v>
      </c>
      <c r="E655" s="211">
        <v>145</v>
      </c>
      <c r="F655" s="151" t="s">
        <v>2452</v>
      </c>
      <c r="G655" s="151" t="s">
        <v>1335</v>
      </c>
      <c r="H655" s="211">
        <v>4877</v>
      </c>
      <c r="I655" s="17">
        <f t="shared" si="2"/>
        <v>336344827.58620691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spans="1:24">
      <c r="A656" s="151" t="s">
        <v>3161</v>
      </c>
      <c r="B656" s="17" t="s">
        <v>3162</v>
      </c>
      <c r="C656" s="211">
        <v>543297</v>
      </c>
      <c r="D656" s="151" t="s">
        <v>3163</v>
      </c>
      <c r="E656" s="211">
        <v>4038.9</v>
      </c>
      <c r="F656" s="151" t="s">
        <v>1242</v>
      </c>
      <c r="G656" s="151" t="s">
        <v>1144</v>
      </c>
      <c r="H656" s="211">
        <v>4865.8999999999996</v>
      </c>
      <c r="I656" s="17">
        <f t="shared" si="2"/>
        <v>12047587.214340538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spans="1:24">
      <c r="A657" s="151" t="s">
        <v>3164</v>
      </c>
      <c r="B657" s="17" t="s">
        <v>3165</v>
      </c>
      <c r="C657" s="211">
        <v>532732</v>
      </c>
      <c r="D657" s="151" t="s">
        <v>3166</v>
      </c>
      <c r="E657" s="211">
        <v>787.8</v>
      </c>
      <c r="F657" s="151" t="s">
        <v>1710</v>
      </c>
      <c r="G657" s="151" t="s">
        <v>1216</v>
      </c>
      <c r="H657" s="211">
        <v>4854.5</v>
      </c>
      <c r="I657" s="17">
        <f t="shared" si="2"/>
        <v>61620969.789286621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spans="1:24">
      <c r="A658" s="151" t="s">
        <v>3167</v>
      </c>
      <c r="B658" s="17" t="s">
        <v>3168</v>
      </c>
      <c r="C658" s="211">
        <v>544021</v>
      </c>
      <c r="D658" s="151" t="s">
        <v>3169</v>
      </c>
      <c r="E658" s="211">
        <v>1197.4000000000001</v>
      </c>
      <c r="F658" s="151" t="s">
        <v>1161</v>
      </c>
      <c r="G658" s="151" t="s">
        <v>1143</v>
      </c>
      <c r="H658" s="211">
        <v>4843.3</v>
      </c>
      <c r="I658" s="17">
        <f t="shared" si="2"/>
        <v>40448471.688658759</v>
      </c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spans="1:24">
      <c r="A659" s="151" t="s">
        <v>3170</v>
      </c>
      <c r="B659" s="17" t="s">
        <v>196</v>
      </c>
      <c r="C659" s="211">
        <v>533122</v>
      </c>
      <c r="D659" s="151" t="s">
        <v>3171</v>
      </c>
      <c r="E659" s="211">
        <v>9</v>
      </c>
      <c r="F659" s="151" t="s">
        <v>1242</v>
      </c>
      <c r="G659" s="151" t="s">
        <v>1144</v>
      </c>
      <c r="H659" s="211">
        <v>4806.2</v>
      </c>
      <c r="I659" s="17">
        <f t="shared" si="2"/>
        <v>5340222222.2222223</v>
      </c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spans="1:24">
      <c r="A660" s="151" t="s">
        <v>3172</v>
      </c>
      <c r="B660" s="17" t="s">
        <v>3173</v>
      </c>
      <c r="C660" s="211">
        <v>532668</v>
      </c>
      <c r="D660" s="151" t="s">
        <v>3174</v>
      </c>
      <c r="E660" s="211">
        <v>1932</v>
      </c>
      <c r="F660" s="151" t="s">
        <v>2491</v>
      </c>
      <c r="G660" s="151" t="s">
        <v>1143</v>
      </c>
      <c r="H660" s="211">
        <v>4794.3999999999996</v>
      </c>
      <c r="I660" s="17">
        <f t="shared" si="2"/>
        <v>24815734.989648033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spans="1:24">
      <c r="A661" s="151" t="s">
        <v>3175</v>
      </c>
      <c r="B661" s="17" t="s">
        <v>48</v>
      </c>
      <c r="C661" s="211">
        <v>509496</v>
      </c>
      <c r="D661" s="151" t="s">
        <v>3176</v>
      </c>
      <c r="E661" s="211">
        <v>279</v>
      </c>
      <c r="F661" s="151" t="s">
        <v>1190</v>
      </c>
      <c r="G661" s="151" t="s">
        <v>1138</v>
      </c>
      <c r="H661" s="211">
        <v>4793.7</v>
      </c>
      <c r="I661" s="17">
        <f t="shared" si="2"/>
        <v>171817204.30107528</v>
      </c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spans="1:24">
      <c r="A662" s="151" t="s">
        <v>3177</v>
      </c>
      <c r="B662" s="17" t="s">
        <v>224</v>
      </c>
      <c r="C662" s="211">
        <v>502937</v>
      </c>
      <c r="D662" s="151" t="s">
        <v>3178</v>
      </c>
      <c r="E662" s="211">
        <v>153.6</v>
      </c>
      <c r="F662" s="151" t="s">
        <v>1238</v>
      </c>
      <c r="G662" s="151" t="s">
        <v>1138</v>
      </c>
      <c r="H662" s="211">
        <v>4773.3</v>
      </c>
      <c r="I662" s="17">
        <f t="shared" si="2"/>
        <v>310761718.75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spans="1:24">
      <c r="A663" s="151" t="s">
        <v>3179</v>
      </c>
      <c r="B663" s="17" t="s">
        <v>3180</v>
      </c>
      <c r="C663" s="211">
        <v>543306</v>
      </c>
      <c r="D663" s="151" t="s">
        <v>3181</v>
      </c>
      <c r="E663" s="211">
        <v>802.3</v>
      </c>
      <c r="F663" s="151" t="s">
        <v>1255</v>
      </c>
      <c r="G663" s="151" t="s">
        <v>1173</v>
      </c>
      <c r="H663" s="211">
        <v>4773.1000000000004</v>
      </c>
      <c r="I663" s="17">
        <f t="shared" si="2"/>
        <v>59492708.463168398</v>
      </c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spans="1:24">
      <c r="A664" s="151" t="s">
        <v>3182</v>
      </c>
      <c r="B664" s="17" t="s">
        <v>3183</v>
      </c>
      <c r="C664" s="211">
        <v>532859</v>
      </c>
      <c r="D664" s="151" t="s">
        <v>3184</v>
      </c>
      <c r="E664" s="211">
        <v>1016.6</v>
      </c>
      <c r="F664" s="151" t="s">
        <v>2307</v>
      </c>
      <c r="G664" s="151" t="s">
        <v>1143</v>
      </c>
      <c r="H664" s="211">
        <v>4729</v>
      </c>
      <c r="I664" s="17">
        <f t="shared" si="2"/>
        <v>46517804.446193188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spans="1:24">
      <c r="A665" s="151" t="s">
        <v>3185</v>
      </c>
      <c r="B665" s="17" t="s">
        <v>3186</v>
      </c>
      <c r="C665" s="211">
        <v>543358</v>
      </c>
      <c r="D665" s="151" t="s">
        <v>3187</v>
      </c>
      <c r="E665" s="211">
        <v>885.7</v>
      </c>
      <c r="F665" s="151" t="s">
        <v>1507</v>
      </c>
      <c r="G665" s="151" t="s">
        <v>1211</v>
      </c>
      <c r="H665" s="211">
        <v>4723.1000000000004</v>
      </c>
      <c r="I665" s="17">
        <f t="shared" si="2"/>
        <v>53326182.680365808</v>
      </c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spans="1:24">
      <c r="A666" s="151" t="s">
        <v>3188</v>
      </c>
      <c r="B666" s="17" t="s">
        <v>3189</v>
      </c>
      <c r="C666" s="211">
        <v>500219</v>
      </c>
      <c r="D666" s="151" t="s">
        <v>3190</v>
      </c>
      <c r="E666" s="211">
        <v>70.5</v>
      </c>
      <c r="F666" s="151" t="s">
        <v>1546</v>
      </c>
      <c r="G666" s="151" t="s">
        <v>1141</v>
      </c>
      <c r="H666" s="211">
        <v>4705.6000000000004</v>
      </c>
      <c r="I666" s="17">
        <f t="shared" si="2"/>
        <v>667460992.90780139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spans="1:24">
      <c r="A667" s="151" t="s">
        <v>3191</v>
      </c>
      <c r="B667" s="17" t="s">
        <v>79</v>
      </c>
      <c r="C667" s="211">
        <v>532375</v>
      </c>
      <c r="D667" s="151" t="s">
        <v>3192</v>
      </c>
      <c r="E667" s="211">
        <v>364.8</v>
      </c>
      <c r="F667" s="151" t="s">
        <v>2828</v>
      </c>
      <c r="G667" s="151" t="s">
        <v>1908</v>
      </c>
      <c r="H667" s="211">
        <v>4685</v>
      </c>
      <c r="I667" s="17">
        <f t="shared" si="2"/>
        <v>128426535.08771929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spans="1:24">
      <c r="A668" s="151" t="s">
        <v>3193</v>
      </c>
      <c r="B668" s="17" t="s">
        <v>518</v>
      </c>
      <c r="C668" s="211">
        <v>533151</v>
      </c>
      <c r="D668" s="151" t="s">
        <v>3194</v>
      </c>
      <c r="E668" s="211">
        <v>262.2</v>
      </c>
      <c r="F668" s="151" t="s">
        <v>3195</v>
      </c>
      <c r="G668" s="151" t="s">
        <v>1229</v>
      </c>
      <c r="H668" s="211">
        <v>4669.2</v>
      </c>
      <c r="I668" s="17">
        <f t="shared" si="2"/>
        <v>178077803.20366132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spans="1:24">
      <c r="A669" s="151" t="s">
        <v>3196</v>
      </c>
      <c r="B669" s="17" t="s">
        <v>81</v>
      </c>
      <c r="C669" s="17"/>
      <c r="D669" s="151" t="s">
        <v>3197</v>
      </c>
      <c r="E669" s="211">
        <v>1059.5999999999999</v>
      </c>
      <c r="F669" s="151" t="s">
        <v>1587</v>
      </c>
      <c r="G669" s="151" t="s">
        <v>1141</v>
      </c>
      <c r="H669" s="211">
        <v>4667.5</v>
      </c>
      <c r="I669" s="17">
        <f t="shared" si="2"/>
        <v>44049641.374103442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spans="1:24">
      <c r="A670" s="151" t="s">
        <v>3198</v>
      </c>
      <c r="B670" s="17" t="s">
        <v>3199</v>
      </c>
      <c r="C670" s="211">
        <v>541301</v>
      </c>
      <c r="D670" s="151" t="s">
        <v>3200</v>
      </c>
      <c r="E670" s="211">
        <v>217.4</v>
      </c>
      <c r="F670" s="151" t="s">
        <v>1770</v>
      </c>
      <c r="G670" s="151" t="s">
        <v>1441</v>
      </c>
      <c r="H670" s="211">
        <v>4637.5</v>
      </c>
      <c r="I670" s="17">
        <f t="shared" si="2"/>
        <v>213316467.34130633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spans="1:24">
      <c r="A671" s="151" t="s">
        <v>3201</v>
      </c>
      <c r="B671" s="17" t="s">
        <v>3202</v>
      </c>
      <c r="C671" s="211">
        <v>540749</v>
      </c>
      <c r="D671" s="151" t="s">
        <v>3203</v>
      </c>
      <c r="E671" s="211">
        <v>843.3</v>
      </c>
      <c r="F671" s="151" t="s">
        <v>1194</v>
      </c>
      <c r="G671" s="151" t="s">
        <v>1137</v>
      </c>
      <c r="H671" s="211">
        <v>4609.6000000000004</v>
      </c>
      <c r="I671" s="17">
        <f t="shared" si="2"/>
        <v>54661449.06913317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spans="1:24">
      <c r="A672" s="151" t="s">
        <v>3204</v>
      </c>
      <c r="B672" s="17" t="s">
        <v>3205</v>
      </c>
      <c r="C672" s="211">
        <v>543989</v>
      </c>
      <c r="D672" s="151" t="s">
        <v>3206</v>
      </c>
      <c r="E672" s="211">
        <v>300.2</v>
      </c>
      <c r="F672" s="151" t="s">
        <v>1710</v>
      </c>
      <c r="G672" s="151" t="s">
        <v>1216</v>
      </c>
      <c r="H672" s="211">
        <v>4604.1000000000004</v>
      </c>
      <c r="I672" s="17">
        <f t="shared" si="2"/>
        <v>153367754.83011326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spans="1:24">
      <c r="A673" s="151" t="s">
        <v>3207</v>
      </c>
      <c r="B673" s="17" t="s">
        <v>3208</v>
      </c>
      <c r="C673" s="211">
        <v>532553</v>
      </c>
      <c r="D673" s="151" t="s">
        <v>3209</v>
      </c>
      <c r="E673" s="211">
        <v>331.4</v>
      </c>
      <c r="F673" s="151" t="s">
        <v>1272</v>
      </c>
      <c r="G673" s="151" t="s">
        <v>1142</v>
      </c>
      <c r="H673" s="211">
        <v>4585.3</v>
      </c>
      <c r="I673" s="17">
        <f t="shared" si="2"/>
        <v>138361496.68074834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spans="1:24">
      <c r="A674" s="151" t="s">
        <v>3210</v>
      </c>
      <c r="B674" s="17" t="s">
        <v>3211</v>
      </c>
      <c r="C674" s="211">
        <v>532531</v>
      </c>
      <c r="D674" s="151" t="s">
        <v>3212</v>
      </c>
      <c r="E674" s="211">
        <v>498.6</v>
      </c>
      <c r="F674" s="151" t="s">
        <v>694</v>
      </c>
      <c r="G674" s="151" t="s">
        <v>1224</v>
      </c>
      <c r="H674" s="211">
        <v>4581</v>
      </c>
      <c r="I674" s="17">
        <f t="shared" si="2"/>
        <v>91877256.317689523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spans="1:24">
      <c r="A675" s="151" t="s">
        <v>3213</v>
      </c>
      <c r="B675" s="17" t="s">
        <v>3214</v>
      </c>
      <c r="C675" s="211">
        <v>532832</v>
      </c>
      <c r="D675" s="151" t="s">
        <v>3215</v>
      </c>
      <c r="E675" s="211">
        <v>83.7</v>
      </c>
      <c r="F675" s="151" t="s">
        <v>1307</v>
      </c>
      <c r="G675" s="151" t="s">
        <v>1307</v>
      </c>
      <c r="H675" s="211">
        <v>4533.8</v>
      </c>
      <c r="I675" s="17">
        <f t="shared" si="2"/>
        <v>541672640.38231778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spans="1:24">
      <c r="A676" s="151" t="s">
        <v>3216</v>
      </c>
      <c r="B676" s="17" t="s">
        <v>3217</v>
      </c>
      <c r="C676" s="211">
        <v>524348</v>
      </c>
      <c r="D676" s="151" t="s">
        <v>3218</v>
      </c>
      <c r="E676" s="211">
        <v>491.3</v>
      </c>
      <c r="F676" s="151" t="s">
        <v>694</v>
      </c>
      <c r="G676" s="151" t="s">
        <v>1224</v>
      </c>
      <c r="H676" s="211">
        <v>4516.8</v>
      </c>
      <c r="I676" s="17">
        <f t="shared" si="2"/>
        <v>91935680.846733153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spans="1:24">
      <c r="A677" s="151" t="s">
        <v>3219</v>
      </c>
      <c r="B677" s="17" t="s">
        <v>3220</v>
      </c>
      <c r="C677" s="211">
        <v>500355</v>
      </c>
      <c r="D677" s="151" t="s">
        <v>3221</v>
      </c>
      <c r="E677" s="211">
        <v>232.2</v>
      </c>
      <c r="F677" s="151" t="s">
        <v>1552</v>
      </c>
      <c r="G677" s="151" t="s">
        <v>1335</v>
      </c>
      <c r="H677" s="211">
        <v>4515.6000000000004</v>
      </c>
      <c r="I677" s="17">
        <f t="shared" si="2"/>
        <v>194470284.23772612</v>
      </c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spans="1:24">
      <c r="A678" s="151" t="s">
        <v>3222</v>
      </c>
      <c r="B678" s="17" t="s">
        <v>3223</v>
      </c>
      <c r="C678" s="211">
        <v>532528</v>
      </c>
      <c r="D678" s="151" t="s">
        <v>3224</v>
      </c>
      <c r="E678" s="211">
        <v>763.8</v>
      </c>
      <c r="F678" s="151" t="s">
        <v>1161</v>
      </c>
      <c r="G678" s="151" t="s">
        <v>1143</v>
      </c>
      <c r="H678" s="211">
        <v>4506.7</v>
      </c>
      <c r="I678" s="17">
        <f t="shared" si="2"/>
        <v>59003665.881120719</v>
      </c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spans="1:24">
      <c r="A679" s="151" t="s">
        <v>3225</v>
      </c>
      <c r="B679" s="17" t="s">
        <v>3226</v>
      </c>
      <c r="C679" s="211">
        <v>500185</v>
      </c>
      <c r="D679" s="151" t="s">
        <v>3227</v>
      </c>
      <c r="E679" s="211">
        <v>29.6</v>
      </c>
      <c r="F679" s="151" t="s">
        <v>1190</v>
      </c>
      <c r="G679" s="151" t="s">
        <v>1138</v>
      </c>
      <c r="H679" s="211">
        <v>4478.6000000000004</v>
      </c>
      <c r="I679" s="17">
        <f t="shared" si="2"/>
        <v>1513040540.5405405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spans="1:24">
      <c r="A680" s="151" t="s">
        <v>3228</v>
      </c>
      <c r="B680" s="17" t="s">
        <v>3229</v>
      </c>
      <c r="C680" s="211">
        <v>520051</v>
      </c>
      <c r="D680" s="151" t="s">
        <v>3230</v>
      </c>
      <c r="E680" s="211">
        <v>112.2</v>
      </c>
      <c r="F680" s="151" t="s">
        <v>1507</v>
      </c>
      <c r="G680" s="151" t="s">
        <v>1211</v>
      </c>
      <c r="H680" s="211">
        <v>4476.8999999999996</v>
      </c>
      <c r="I680" s="17">
        <f t="shared" si="2"/>
        <v>399010695.18716574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spans="1:24">
      <c r="A681" s="151" t="s">
        <v>3231</v>
      </c>
      <c r="B681" s="17" t="s">
        <v>3232</v>
      </c>
      <c r="C681" s="211">
        <v>513262</v>
      </c>
      <c r="D681" s="151" t="s">
        <v>3233</v>
      </c>
      <c r="E681" s="211">
        <v>284.10000000000002</v>
      </c>
      <c r="F681" s="151" t="s">
        <v>1507</v>
      </c>
      <c r="G681" s="151" t="s">
        <v>1211</v>
      </c>
      <c r="H681" s="211">
        <v>4446.5</v>
      </c>
      <c r="I681" s="17">
        <f t="shared" si="2"/>
        <v>156511791.62266806</v>
      </c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spans="1:24">
      <c r="A682" s="151" t="s">
        <v>3234</v>
      </c>
      <c r="B682" s="17" t="s">
        <v>3235</v>
      </c>
      <c r="C682" s="211">
        <v>500292</v>
      </c>
      <c r="D682" s="151" t="s">
        <v>3236</v>
      </c>
      <c r="E682" s="211">
        <v>196.2</v>
      </c>
      <c r="F682" s="151" t="s">
        <v>1238</v>
      </c>
      <c r="G682" s="151" t="s">
        <v>1138</v>
      </c>
      <c r="H682" s="211">
        <v>4446.1000000000004</v>
      </c>
      <c r="I682" s="17">
        <f t="shared" si="2"/>
        <v>226610601.4271152</v>
      </c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spans="1:24">
      <c r="A683" s="151" t="s">
        <v>3237</v>
      </c>
      <c r="B683" s="17" t="s">
        <v>3238</v>
      </c>
      <c r="C683" s="211">
        <v>504966</v>
      </c>
      <c r="D683" s="151" t="s">
        <v>3239</v>
      </c>
      <c r="E683" s="211">
        <v>422.7</v>
      </c>
      <c r="F683" s="151" t="s">
        <v>1272</v>
      </c>
      <c r="G683" s="151" t="s">
        <v>1142</v>
      </c>
      <c r="H683" s="211">
        <v>4424.3</v>
      </c>
      <c r="I683" s="17">
        <f t="shared" si="2"/>
        <v>104667612.96427727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spans="1:24">
      <c r="A684" s="151" t="s">
        <v>3240</v>
      </c>
      <c r="B684" s="17" t="s">
        <v>182</v>
      </c>
      <c r="C684" s="211">
        <v>507717</v>
      </c>
      <c r="D684" s="151" t="s">
        <v>3241</v>
      </c>
      <c r="E684" s="211">
        <v>965.3</v>
      </c>
      <c r="F684" s="151" t="s">
        <v>1552</v>
      </c>
      <c r="G684" s="151" t="s">
        <v>1335</v>
      </c>
      <c r="H684" s="211">
        <v>4399.7</v>
      </c>
      <c r="I684" s="17">
        <f t="shared" si="2"/>
        <v>45578576.6083083</v>
      </c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spans="1:24">
      <c r="A685" s="151" t="s">
        <v>3242</v>
      </c>
      <c r="B685" s="17" t="s">
        <v>3243</v>
      </c>
      <c r="C685" s="211">
        <v>544008</v>
      </c>
      <c r="D685" s="151" t="s">
        <v>3244</v>
      </c>
      <c r="E685" s="211">
        <v>298.2</v>
      </c>
      <c r="F685" s="151" t="s">
        <v>1307</v>
      </c>
      <c r="G685" s="151" t="s">
        <v>1307</v>
      </c>
      <c r="H685" s="211">
        <v>4386.8</v>
      </c>
      <c r="I685" s="17">
        <f t="shared" si="2"/>
        <v>147109322.60228035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spans="1:24">
      <c r="A686" s="151" t="s">
        <v>3245</v>
      </c>
      <c r="B686" s="17" t="s">
        <v>3246</v>
      </c>
      <c r="C686" s="211">
        <v>522285</v>
      </c>
      <c r="D686" s="151" t="s">
        <v>3247</v>
      </c>
      <c r="E686" s="211">
        <v>45.1</v>
      </c>
      <c r="F686" s="151" t="s">
        <v>1272</v>
      </c>
      <c r="G686" s="151" t="s">
        <v>1142</v>
      </c>
      <c r="H686" s="211">
        <v>4379.2</v>
      </c>
      <c r="I686" s="17">
        <f t="shared" si="2"/>
        <v>970997782.7050997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spans="1:24">
      <c r="A687" s="151" t="s">
        <v>3248</v>
      </c>
      <c r="B687" s="17" t="s">
        <v>3249</v>
      </c>
      <c r="C687" s="211">
        <v>500463</v>
      </c>
      <c r="D687" s="151" t="s">
        <v>3250</v>
      </c>
      <c r="E687" s="211">
        <v>259.39999999999998</v>
      </c>
      <c r="F687" s="151" t="s">
        <v>1161</v>
      </c>
      <c r="G687" s="151" t="s">
        <v>1143</v>
      </c>
      <c r="H687" s="211">
        <v>4356.3</v>
      </c>
      <c r="I687" s="17">
        <f t="shared" si="2"/>
        <v>167937548.18812647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spans="1:24">
      <c r="A688" s="151" t="s">
        <v>3251</v>
      </c>
      <c r="B688" s="17" t="s">
        <v>3252</v>
      </c>
      <c r="C688" s="211">
        <v>539658</v>
      </c>
      <c r="D688" s="151" t="s">
        <v>3253</v>
      </c>
      <c r="E688" s="211">
        <v>2589.1</v>
      </c>
      <c r="F688" s="151" t="s">
        <v>2887</v>
      </c>
      <c r="G688" s="151" t="s">
        <v>1229</v>
      </c>
      <c r="H688" s="211">
        <v>4341.6000000000004</v>
      </c>
      <c r="I688" s="17">
        <f t="shared" si="2"/>
        <v>16768761.345641343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spans="1:24">
      <c r="A689" s="151" t="s">
        <v>3254</v>
      </c>
      <c r="B689" s="17" t="s">
        <v>3255</v>
      </c>
      <c r="C689" s="211">
        <v>532532</v>
      </c>
      <c r="D689" s="151" t="s">
        <v>3256</v>
      </c>
      <c r="E689" s="211">
        <v>17.600000000000001</v>
      </c>
      <c r="F689" s="151" t="s">
        <v>1190</v>
      </c>
      <c r="G689" s="151" t="s">
        <v>1138</v>
      </c>
      <c r="H689" s="211">
        <v>4332.3999999999996</v>
      </c>
      <c r="I689" s="17">
        <f t="shared" si="2"/>
        <v>2461590909.090909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spans="1:24">
      <c r="A690" s="151" t="s">
        <v>3257</v>
      </c>
      <c r="B690" s="17" t="s">
        <v>221</v>
      </c>
      <c r="C690" s="211">
        <v>500444</v>
      </c>
      <c r="D690" s="151" t="s">
        <v>3258</v>
      </c>
      <c r="E690" s="211">
        <v>655</v>
      </c>
      <c r="F690" s="151" t="s">
        <v>2222</v>
      </c>
      <c r="G690" s="151" t="s">
        <v>1229</v>
      </c>
      <c r="H690" s="211">
        <v>4326.2</v>
      </c>
      <c r="I690" s="17">
        <f t="shared" si="2"/>
        <v>66048854.961832061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spans="1:24">
      <c r="A691" s="151" t="s">
        <v>3259</v>
      </c>
      <c r="B691" s="17" t="s">
        <v>3260</v>
      </c>
      <c r="C691" s="211">
        <v>531358</v>
      </c>
      <c r="D691" s="151" t="s">
        <v>3261</v>
      </c>
      <c r="E691" s="211">
        <v>434.7</v>
      </c>
      <c r="F691" s="151" t="s">
        <v>1930</v>
      </c>
      <c r="G691" s="151" t="s">
        <v>1137</v>
      </c>
      <c r="H691" s="211">
        <v>4325.8</v>
      </c>
      <c r="I691" s="17">
        <f t="shared" si="2"/>
        <v>99512307.338394299</v>
      </c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spans="1:24">
      <c r="A692" s="151" t="s">
        <v>3262</v>
      </c>
      <c r="B692" s="17" t="s">
        <v>3263</v>
      </c>
      <c r="C692" s="211">
        <v>533553</v>
      </c>
      <c r="D692" s="151" t="s">
        <v>3264</v>
      </c>
      <c r="E692" s="211">
        <v>276.5</v>
      </c>
      <c r="F692" s="151" t="s">
        <v>1323</v>
      </c>
      <c r="G692" s="151" t="s">
        <v>1141</v>
      </c>
      <c r="H692" s="211">
        <v>4318.1000000000004</v>
      </c>
      <c r="I692" s="17">
        <f t="shared" si="2"/>
        <v>156169981.91681737</v>
      </c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spans="1:24">
      <c r="A693" s="151" t="s">
        <v>3265</v>
      </c>
      <c r="B693" s="17" t="s">
        <v>3266</v>
      </c>
      <c r="C693" s="211">
        <v>543748</v>
      </c>
      <c r="D693" s="151" t="s">
        <v>3267</v>
      </c>
      <c r="E693" s="211">
        <v>475.4</v>
      </c>
      <c r="F693" s="151" t="s">
        <v>694</v>
      </c>
      <c r="G693" s="151" t="s">
        <v>1224</v>
      </c>
      <c r="H693" s="211">
        <v>4308.8</v>
      </c>
      <c r="I693" s="17">
        <f t="shared" si="2"/>
        <v>90635254.52250737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spans="1:24">
      <c r="A694" s="151" t="s">
        <v>3268</v>
      </c>
      <c r="B694" s="17" t="s">
        <v>3269</v>
      </c>
      <c r="C694" s="211">
        <v>590086</v>
      </c>
      <c r="D694" s="151" t="s">
        <v>3270</v>
      </c>
      <c r="E694" s="211">
        <v>7165.1</v>
      </c>
      <c r="F694" s="151" t="s">
        <v>1591</v>
      </c>
      <c r="G694" s="151" t="s">
        <v>1142</v>
      </c>
      <c r="H694" s="211">
        <v>4299.1000000000004</v>
      </c>
      <c r="I694" s="17">
        <f t="shared" si="2"/>
        <v>6000055.8261573454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spans="1:24">
      <c r="A695" s="151" t="s">
        <v>3271</v>
      </c>
      <c r="B695" s="17" t="s">
        <v>520</v>
      </c>
      <c r="C695" s="211">
        <v>500032</v>
      </c>
      <c r="D695" s="151" t="s">
        <v>3272</v>
      </c>
      <c r="E695" s="211">
        <v>33.6</v>
      </c>
      <c r="F695" s="151" t="s">
        <v>2449</v>
      </c>
      <c r="G695" s="151" t="s">
        <v>1140</v>
      </c>
      <c r="H695" s="211">
        <v>4285.5</v>
      </c>
      <c r="I695" s="17">
        <f t="shared" si="2"/>
        <v>1275446428.5714285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spans="1:24">
      <c r="A696" s="151" t="s">
        <v>3273</v>
      </c>
      <c r="B696" s="17" t="s">
        <v>3274</v>
      </c>
      <c r="C696" s="211">
        <v>544030</v>
      </c>
      <c r="D696" s="151" t="s">
        <v>3275</v>
      </c>
      <c r="E696" s="211">
        <v>405.8</v>
      </c>
      <c r="F696" s="151" t="s">
        <v>3276</v>
      </c>
      <c r="G696" s="151" t="s">
        <v>1441</v>
      </c>
      <c r="H696" s="211">
        <v>4277.5</v>
      </c>
      <c r="I696" s="17">
        <f t="shared" si="2"/>
        <v>105409068.50665352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spans="1:24">
      <c r="A697" s="151" t="s">
        <v>3277</v>
      </c>
      <c r="B697" s="17" t="s">
        <v>3278</v>
      </c>
      <c r="C697" s="211">
        <v>542857</v>
      </c>
      <c r="D697" s="151" t="s">
        <v>3279</v>
      </c>
      <c r="E697" s="211">
        <v>348.2</v>
      </c>
      <c r="F697" s="151" t="s">
        <v>2215</v>
      </c>
      <c r="G697" s="151" t="s">
        <v>2216</v>
      </c>
      <c r="H697" s="211">
        <v>4269.3</v>
      </c>
      <c r="I697" s="17">
        <f t="shared" si="2"/>
        <v>122610568.63871339</v>
      </c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spans="1:24">
      <c r="A698" s="151" t="s">
        <v>3280</v>
      </c>
      <c r="B698" s="17" t="s">
        <v>3281</v>
      </c>
      <c r="C698" s="211">
        <v>504918</v>
      </c>
      <c r="D698" s="151" t="s">
        <v>3282</v>
      </c>
      <c r="E698" s="211">
        <v>1580</v>
      </c>
      <c r="F698" s="151" t="s">
        <v>1591</v>
      </c>
      <c r="G698" s="151" t="s">
        <v>1142</v>
      </c>
      <c r="H698" s="211">
        <v>4266.8999999999996</v>
      </c>
      <c r="I698" s="17">
        <f t="shared" si="2"/>
        <v>27005696.202531647</v>
      </c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spans="1:24">
      <c r="A699" s="151" t="s">
        <v>3283</v>
      </c>
      <c r="B699" s="17" t="s">
        <v>3284</v>
      </c>
      <c r="C699" s="211">
        <v>543213</v>
      </c>
      <c r="D699" s="151" t="s">
        <v>3285</v>
      </c>
      <c r="E699" s="211">
        <v>770.8</v>
      </c>
      <c r="F699" s="151" t="s">
        <v>1334</v>
      </c>
      <c r="G699" s="151" t="s">
        <v>1335</v>
      </c>
      <c r="H699" s="211">
        <v>4257.6000000000004</v>
      </c>
      <c r="I699" s="17">
        <f t="shared" si="2"/>
        <v>55236118.318629995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spans="1:24">
      <c r="A700" s="151" t="s">
        <v>3286</v>
      </c>
      <c r="B700" s="17" t="s">
        <v>3287</v>
      </c>
      <c r="C700" s="211">
        <v>526947</v>
      </c>
      <c r="D700" s="151" t="s">
        <v>3288</v>
      </c>
      <c r="E700" s="211">
        <v>380.4</v>
      </c>
      <c r="F700" s="151" t="s">
        <v>2470</v>
      </c>
      <c r="G700" s="151" t="s">
        <v>1441</v>
      </c>
      <c r="H700" s="211">
        <v>4221.8999999999996</v>
      </c>
      <c r="I700" s="17">
        <f t="shared" si="2"/>
        <v>110985804.41640379</v>
      </c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spans="1:24">
      <c r="A701" s="151" t="s">
        <v>3289</v>
      </c>
      <c r="B701" s="17" t="s">
        <v>3290</v>
      </c>
      <c r="C701" s="211">
        <v>542323</v>
      </c>
      <c r="D701" s="151" t="s">
        <v>3291</v>
      </c>
      <c r="E701" s="211">
        <v>1167.4000000000001</v>
      </c>
      <c r="F701" s="151" t="s">
        <v>1242</v>
      </c>
      <c r="G701" s="151" t="s">
        <v>1144</v>
      </c>
      <c r="H701" s="211">
        <v>4218.3</v>
      </c>
      <c r="I701" s="17">
        <f t="shared" si="2"/>
        <v>36134144.252184339</v>
      </c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spans="1:24">
      <c r="A702" s="151" t="s">
        <v>3292</v>
      </c>
      <c r="B702" s="17" t="s">
        <v>3293</v>
      </c>
      <c r="C702" s="211">
        <v>540293</v>
      </c>
      <c r="D702" s="151" t="s">
        <v>3294</v>
      </c>
      <c r="E702" s="211">
        <v>342.6</v>
      </c>
      <c r="F702" s="151" t="s">
        <v>1507</v>
      </c>
      <c r="G702" s="151" t="s">
        <v>1211</v>
      </c>
      <c r="H702" s="211">
        <v>4175.7</v>
      </c>
      <c r="I702" s="17">
        <f t="shared" si="2"/>
        <v>121882661.99649736</v>
      </c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spans="1:24">
      <c r="A703" s="151" t="s">
        <v>3295</v>
      </c>
      <c r="B703" s="17" t="s">
        <v>3296</v>
      </c>
      <c r="C703" s="211">
        <v>505726</v>
      </c>
      <c r="D703" s="151" t="s">
        <v>3297</v>
      </c>
      <c r="E703" s="211">
        <v>1025.4000000000001</v>
      </c>
      <c r="F703" s="151" t="s">
        <v>2094</v>
      </c>
      <c r="G703" s="151" t="s">
        <v>1441</v>
      </c>
      <c r="H703" s="211">
        <v>4154.8</v>
      </c>
      <c r="I703" s="17">
        <f t="shared" si="2"/>
        <v>40518821.92315194</v>
      </c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spans="1:24">
      <c r="A704" s="151" t="s">
        <v>3298</v>
      </c>
      <c r="B704" s="17" t="s">
        <v>3299</v>
      </c>
      <c r="C704" s="211">
        <v>533333</v>
      </c>
      <c r="D704" s="151" t="s">
        <v>3300</v>
      </c>
      <c r="E704" s="211">
        <v>372</v>
      </c>
      <c r="F704" s="151" t="s">
        <v>1334</v>
      </c>
      <c r="G704" s="151" t="s">
        <v>1335</v>
      </c>
      <c r="H704" s="211">
        <v>4119.8</v>
      </c>
      <c r="I704" s="17">
        <f t="shared" si="2"/>
        <v>110747311.82795699</v>
      </c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spans="1:24">
      <c r="A705" s="151" t="s">
        <v>3301</v>
      </c>
      <c r="B705" s="17" t="s">
        <v>3302</v>
      </c>
      <c r="C705" s="211">
        <v>500730</v>
      </c>
      <c r="D705" s="151" t="s">
        <v>3303</v>
      </c>
      <c r="E705" s="211">
        <v>247</v>
      </c>
      <c r="F705" s="151" t="s">
        <v>1334</v>
      </c>
      <c r="G705" s="151" t="s">
        <v>1335</v>
      </c>
      <c r="H705" s="211">
        <v>4116.1000000000004</v>
      </c>
      <c r="I705" s="17">
        <f t="shared" si="2"/>
        <v>166643724.69635627</v>
      </c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spans="1:24">
      <c r="A706" s="151" t="s">
        <v>3304</v>
      </c>
      <c r="B706" s="17" t="s">
        <v>3305</v>
      </c>
      <c r="C706" s="211">
        <v>539542</v>
      </c>
      <c r="D706" s="151" t="s">
        <v>3306</v>
      </c>
      <c r="E706" s="211">
        <v>1366.8</v>
      </c>
      <c r="F706" s="151" t="s">
        <v>1710</v>
      </c>
      <c r="G706" s="151" t="s">
        <v>1216</v>
      </c>
      <c r="H706" s="211">
        <v>4110.2</v>
      </c>
      <c r="I706" s="17">
        <f t="shared" si="2"/>
        <v>30071700.321919814</v>
      </c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spans="1:24">
      <c r="A707" s="151" t="s">
        <v>3307</v>
      </c>
      <c r="B707" s="17" t="s">
        <v>3308</v>
      </c>
      <c r="C707" s="211">
        <v>532029</v>
      </c>
      <c r="D707" s="151" t="s">
        <v>3309</v>
      </c>
      <c r="E707" s="211">
        <v>26.6</v>
      </c>
      <c r="F707" s="151" t="s">
        <v>1654</v>
      </c>
      <c r="G707" s="151" t="s">
        <v>1229</v>
      </c>
      <c r="H707" s="211">
        <v>4093.8</v>
      </c>
      <c r="I707" s="17">
        <f t="shared" si="2"/>
        <v>1539022556.3909774</v>
      </c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spans="1:24">
      <c r="A708" s="151" t="s">
        <v>3310</v>
      </c>
      <c r="B708" s="17" t="s">
        <v>494</v>
      </c>
      <c r="C708" s="211">
        <v>532924</v>
      </c>
      <c r="D708" s="151" t="s">
        <v>3311</v>
      </c>
      <c r="E708" s="211">
        <v>537.6</v>
      </c>
      <c r="F708" s="151" t="s">
        <v>1307</v>
      </c>
      <c r="G708" s="151" t="s">
        <v>1307</v>
      </c>
      <c r="H708" s="211">
        <v>4085.6</v>
      </c>
      <c r="I708" s="17">
        <f t="shared" si="2"/>
        <v>75997023.809523806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spans="1:24">
      <c r="A709" s="151" t="s">
        <v>3312</v>
      </c>
      <c r="B709" s="17" t="s">
        <v>3313</v>
      </c>
      <c r="C709" s="211">
        <v>543349</v>
      </c>
      <c r="D709" s="151" t="s">
        <v>3314</v>
      </c>
      <c r="E709" s="211">
        <v>1107</v>
      </c>
      <c r="F709" s="151" t="s">
        <v>694</v>
      </c>
      <c r="G709" s="151" t="s">
        <v>1224</v>
      </c>
      <c r="H709" s="211">
        <v>4082.9</v>
      </c>
      <c r="I709" s="17">
        <f t="shared" si="2"/>
        <v>36882565.492321588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spans="1:24">
      <c r="A710" s="151" t="s">
        <v>3315</v>
      </c>
      <c r="B710" s="17" t="s">
        <v>3316</v>
      </c>
      <c r="C710" s="211">
        <v>532856</v>
      </c>
      <c r="D710" s="151" t="s">
        <v>3317</v>
      </c>
      <c r="E710" s="211">
        <v>178.6</v>
      </c>
      <c r="F710" s="151" t="s">
        <v>1546</v>
      </c>
      <c r="G710" s="151" t="s">
        <v>1141</v>
      </c>
      <c r="H710" s="211">
        <v>4054.1</v>
      </c>
      <c r="I710" s="17">
        <f t="shared" si="2"/>
        <v>226993281.075028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spans="1:24">
      <c r="A711" s="151" t="s">
        <v>3318</v>
      </c>
      <c r="B711" s="17" t="s">
        <v>3319</v>
      </c>
      <c r="C711" s="211">
        <v>533271</v>
      </c>
      <c r="D711" s="151" t="s">
        <v>3320</v>
      </c>
      <c r="E711" s="211">
        <v>143.9</v>
      </c>
      <c r="F711" s="151" t="s">
        <v>1970</v>
      </c>
      <c r="G711" s="151" t="s">
        <v>1138</v>
      </c>
      <c r="H711" s="211">
        <v>4039.6</v>
      </c>
      <c r="I711" s="17">
        <f t="shared" si="2"/>
        <v>280722724.11396801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spans="1:24">
      <c r="A712" s="151" t="s">
        <v>3321</v>
      </c>
      <c r="B712" s="17" t="s">
        <v>3322</v>
      </c>
      <c r="C712" s="211">
        <v>532900</v>
      </c>
      <c r="D712" s="151" t="s">
        <v>3323</v>
      </c>
      <c r="E712" s="211">
        <v>90</v>
      </c>
      <c r="F712" s="151" t="s">
        <v>1194</v>
      </c>
      <c r="G712" s="151" t="s">
        <v>1137</v>
      </c>
      <c r="H712" s="211">
        <v>4039</v>
      </c>
      <c r="I712" s="17">
        <f t="shared" si="2"/>
        <v>448777777.77777779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spans="1:24">
      <c r="A713" s="151" t="s">
        <v>3324</v>
      </c>
      <c r="B713" s="17" t="s">
        <v>3325</v>
      </c>
      <c r="C713" s="211">
        <v>540526</v>
      </c>
      <c r="D713" s="151" t="s">
        <v>3326</v>
      </c>
      <c r="E713" s="211">
        <v>69.2</v>
      </c>
      <c r="F713" s="151" t="s">
        <v>1847</v>
      </c>
      <c r="G713" s="151" t="s">
        <v>1144</v>
      </c>
      <c r="H713" s="211">
        <v>4020</v>
      </c>
      <c r="I713" s="17">
        <f t="shared" si="2"/>
        <v>580924855.49132943</v>
      </c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spans="1:24">
      <c r="A714" s="151" t="s">
        <v>3327</v>
      </c>
      <c r="B714" s="17" t="s">
        <v>3328</v>
      </c>
      <c r="C714" s="211">
        <v>540205</v>
      </c>
      <c r="D714" s="151" t="s">
        <v>3329</v>
      </c>
      <c r="E714" s="211">
        <v>3335</v>
      </c>
      <c r="F714" s="151" t="s">
        <v>1803</v>
      </c>
      <c r="G714" s="151" t="s">
        <v>1247</v>
      </c>
      <c r="H714" s="211">
        <v>4011.4</v>
      </c>
      <c r="I714" s="17">
        <f t="shared" si="2"/>
        <v>12028185.907046476</v>
      </c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spans="1:24">
      <c r="A715" s="151" t="s">
        <v>3330</v>
      </c>
      <c r="B715" s="17" t="s">
        <v>3331</v>
      </c>
      <c r="C715" s="211">
        <v>542665</v>
      </c>
      <c r="D715" s="151" t="s">
        <v>3332</v>
      </c>
      <c r="E715" s="211">
        <v>1515.8</v>
      </c>
      <c r="F715" s="151" t="s">
        <v>1334</v>
      </c>
      <c r="G715" s="151" t="s">
        <v>1335</v>
      </c>
      <c r="H715" s="211">
        <v>3998.9</v>
      </c>
      <c r="I715" s="17">
        <f t="shared" si="2"/>
        <v>26381448.739939306</v>
      </c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spans="1:24">
      <c r="A716" s="151" t="s">
        <v>3333</v>
      </c>
      <c r="B716" s="17" t="s">
        <v>3334</v>
      </c>
      <c r="C716" s="211">
        <v>543711</v>
      </c>
      <c r="D716" s="151" t="s">
        <v>3335</v>
      </c>
      <c r="E716" s="211">
        <v>472.6</v>
      </c>
      <c r="F716" s="151" t="s">
        <v>1470</v>
      </c>
      <c r="G716" s="151" t="s">
        <v>1140</v>
      </c>
      <c r="H716" s="211">
        <v>3988.3</v>
      </c>
      <c r="I716" s="17">
        <f t="shared" si="2"/>
        <v>84390605.162928477</v>
      </c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spans="1:24">
      <c r="A717" s="151" t="s">
        <v>3336</v>
      </c>
      <c r="B717" s="17" t="s">
        <v>178</v>
      </c>
      <c r="C717" s="211">
        <v>531120</v>
      </c>
      <c r="D717" s="151" t="s">
        <v>3337</v>
      </c>
      <c r="E717" s="211">
        <v>51.5</v>
      </c>
      <c r="F717" s="151" t="s">
        <v>1190</v>
      </c>
      <c r="G717" s="151" t="s">
        <v>1138</v>
      </c>
      <c r="H717" s="211">
        <v>3984.1</v>
      </c>
      <c r="I717" s="17">
        <f t="shared" si="2"/>
        <v>773611650.48543692</v>
      </c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spans="1:24">
      <c r="A718" s="151" t="s">
        <v>3338</v>
      </c>
      <c r="B718" s="17" t="s">
        <v>175</v>
      </c>
      <c r="C718" s="211">
        <v>535602</v>
      </c>
      <c r="D718" s="151" t="s">
        <v>3339</v>
      </c>
      <c r="E718" s="211">
        <v>1340</v>
      </c>
      <c r="F718" s="151" t="s">
        <v>1507</v>
      </c>
      <c r="G718" s="151" t="s">
        <v>1211</v>
      </c>
      <c r="H718" s="211">
        <v>3983.9</v>
      </c>
      <c r="I718" s="17">
        <f t="shared" si="2"/>
        <v>29730597.014925372</v>
      </c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spans="1:24">
      <c r="A719" s="151" t="s">
        <v>3340</v>
      </c>
      <c r="B719" s="17" t="s">
        <v>3341</v>
      </c>
      <c r="C719" s="211">
        <v>500039</v>
      </c>
      <c r="D719" s="151" t="s">
        <v>3342</v>
      </c>
      <c r="E719" s="211">
        <v>555.20000000000005</v>
      </c>
      <c r="F719" s="151" t="s">
        <v>1507</v>
      </c>
      <c r="G719" s="151" t="s">
        <v>1211</v>
      </c>
      <c r="H719" s="211">
        <v>3970.7</v>
      </c>
      <c r="I719" s="17">
        <f t="shared" si="2"/>
        <v>71518371.757925063</v>
      </c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spans="1:24">
      <c r="A720" s="151" t="s">
        <v>3343</v>
      </c>
      <c r="B720" s="17" t="s">
        <v>3344</v>
      </c>
      <c r="C720" s="211">
        <v>508486</v>
      </c>
      <c r="D720" s="151" t="s">
        <v>3345</v>
      </c>
      <c r="E720" s="211">
        <v>7464.9</v>
      </c>
      <c r="F720" s="151" t="s">
        <v>2470</v>
      </c>
      <c r="G720" s="151" t="s">
        <v>1441</v>
      </c>
      <c r="H720" s="211">
        <v>3947.3</v>
      </c>
      <c r="I720" s="17">
        <f t="shared" si="2"/>
        <v>5287813.6344760144</v>
      </c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spans="1:24">
      <c r="A721" s="151" t="s">
        <v>3346</v>
      </c>
      <c r="B721" s="17" t="s">
        <v>3347</v>
      </c>
      <c r="C721" s="211">
        <v>543242</v>
      </c>
      <c r="D721" s="151" t="s">
        <v>3348</v>
      </c>
      <c r="E721" s="211">
        <v>138.1</v>
      </c>
      <c r="F721" s="151" t="s">
        <v>1307</v>
      </c>
      <c r="G721" s="151" t="s">
        <v>1307</v>
      </c>
      <c r="H721" s="211">
        <v>3935.8</v>
      </c>
      <c r="I721" s="17">
        <f t="shared" si="2"/>
        <v>284996379.43519193</v>
      </c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spans="1:24">
      <c r="A722" s="151" t="s">
        <v>3349</v>
      </c>
      <c r="B722" s="17" t="s">
        <v>3350</v>
      </c>
      <c r="C722" s="211">
        <v>543984</v>
      </c>
      <c r="D722" s="151" t="s">
        <v>3351</v>
      </c>
      <c r="E722" s="211">
        <v>179</v>
      </c>
      <c r="F722" s="151" t="s">
        <v>1532</v>
      </c>
      <c r="G722" s="151" t="s">
        <v>1533</v>
      </c>
      <c r="H722" s="211">
        <v>3901.7</v>
      </c>
      <c r="I722" s="17">
        <f t="shared" si="2"/>
        <v>217972067.03910613</v>
      </c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spans="1:24">
      <c r="A723" s="151" t="s">
        <v>3352</v>
      </c>
      <c r="B723" s="17" t="s">
        <v>3353</v>
      </c>
      <c r="C723" s="211">
        <v>531209</v>
      </c>
      <c r="D723" s="151" t="s">
        <v>3354</v>
      </c>
      <c r="E723" s="211">
        <v>1452</v>
      </c>
      <c r="F723" s="151" t="s">
        <v>1161</v>
      </c>
      <c r="G723" s="151" t="s">
        <v>1143</v>
      </c>
      <c r="H723" s="211">
        <v>3887.5</v>
      </c>
      <c r="I723" s="17">
        <f t="shared" si="2"/>
        <v>26773415.977961432</v>
      </c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spans="1:24">
      <c r="A724" s="151" t="s">
        <v>3355</v>
      </c>
      <c r="B724" s="17" t="s">
        <v>3356</v>
      </c>
      <c r="C724" s="211">
        <v>532891</v>
      </c>
      <c r="D724" s="151" t="s">
        <v>3357</v>
      </c>
      <c r="E724" s="211">
        <v>162.6</v>
      </c>
      <c r="F724" s="151" t="s">
        <v>1307</v>
      </c>
      <c r="G724" s="151" t="s">
        <v>1307</v>
      </c>
      <c r="H724" s="211">
        <v>3857.2</v>
      </c>
      <c r="I724" s="17">
        <f t="shared" si="2"/>
        <v>237220172.20172203</v>
      </c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spans="1:24">
      <c r="A725" s="151" t="s">
        <v>3358</v>
      </c>
      <c r="B725" s="17" t="s">
        <v>3359</v>
      </c>
      <c r="C725" s="211">
        <v>533269</v>
      </c>
      <c r="D725" s="151" t="s">
        <v>3360</v>
      </c>
      <c r="E725" s="211">
        <v>617</v>
      </c>
      <c r="F725" s="151" t="s">
        <v>1410</v>
      </c>
      <c r="G725" s="151" t="s">
        <v>1144</v>
      </c>
      <c r="H725" s="211">
        <v>3837.1</v>
      </c>
      <c r="I725" s="17">
        <f t="shared" si="2"/>
        <v>62189627.228525124</v>
      </c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spans="1:24">
      <c r="A726" s="151" t="s">
        <v>3361</v>
      </c>
      <c r="B726" s="17" t="s">
        <v>3362</v>
      </c>
      <c r="C726" s="211">
        <v>533158</v>
      </c>
      <c r="D726" s="151" t="s">
        <v>3363</v>
      </c>
      <c r="E726" s="211">
        <v>1393</v>
      </c>
      <c r="F726" s="151" t="s">
        <v>1215</v>
      </c>
      <c r="G726" s="151" t="s">
        <v>1216</v>
      </c>
      <c r="H726" s="211">
        <v>3822.3</v>
      </c>
      <c r="I726" s="17">
        <f t="shared" si="2"/>
        <v>27439339.554917444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spans="1:24">
      <c r="A727" s="151" t="s">
        <v>3364</v>
      </c>
      <c r="B727" s="17" t="s">
        <v>3365</v>
      </c>
      <c r="C727" s="211">
        <v>543600</v>
      </c>
      <c r="D727" s="151" t="s">
        <v>3366</v>
      </c>
      <c r="E727" s="211">
        <v>418.8</v>
      </c>
      <c r="F727" s="151" t="s">
        <v>1675</v>
      </c>
      <c r="G727" s="151" t="s">
        <v>1142</v>
      </c>
      <c r="H727" s="211">
        <v>3812.5</v>
      </c>
      <c r="I727" s="17">
        <f t="shared" si="2"/>
        <v>91033906.399235904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spans="1:24">
      <c r="A728" s="151" t="s">
        <v>3367</v>
      </c>
      <c r="B728" s="17" t="s">
        <v>3368</v>
      </c>
      <c r="C728" s="211">
        <v>522034</v>
      </c>
      <c r="D728" s="151" t="s">
        <v>3369</v>
      </c>
      <c r="E728" s="211">
        <v>496.5</v>
      </c>
      <c r="F728" s="151" t="s">
        <v>1507</v>
      </c>
      <c r="G728" s="151" t="s">
        <v>1211</v>
      </c>
      <c r="H728" s="211">
        <v>3808.9</v>
      </c>
      <c r="I728" s="17">
        <f t="shared" si="2"/>
        <v>76715005.03524673</v>
      </c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spans="1:24">
      <c r="A729" s="151" t="s">
        <v>3370</v>
      </c>
      <c r="B729" s="17" t="s">
        <v>3371</v>
      </c>
      <c r="C729" s="211">
        <v>543332</v>
      </c>
      <c r="D729" s="151" t="s">
        <v>3372</v>
      </c>
      <c r="E729" s="211">
        <v>912.9</v>
      </c>
      <c r="F729" s="151" t="s">
        <v>1334</v>
      </c>
      <c r="G729" s="151" t="s">
        <v>1335</v>
      </c>
      <c r="H729" s="211">
        <v>3793.1</v>
      </c>
      <c r="I729" s="17">
        <f t="shared" si="2"/>
        <v>41550005.477051154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spans="1:24">
      <c r="A730" s="151" t="s">
        <v>3373</v>
      </c>
      <c r="B730" s="17" t="s">
        <v>3374</v>
      </c>
      <c r="C730" s="211">
        <v>538666</v>
      </c>
      <c r="D730" s="151" t="s">
        <v>3375</v>
      </c>
      <c r="E730" s="211">
        <v>420.2</v>
      </c>
      <c r="F730" s="151" t="s">
        <v>1552</v>
      </c>
      <c r="G730" s="151" t="s">
        <v>1335</v>
      </c>
      <c r="H730" s="211">
        <v>3790.6</v>
      </c>
      <c r="I730" s="17">
        <f t="shared" si="2"/>
        <v>90209424.083769634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spans="1:24">
      <c r="A731" s="151" t="s">
        <v>3376</v>
      </c>
      <c r="B731" s="17" t="s">
        <v>3377</v>
      </c>
      <c r="C731" s="211">
        <v>519091</v>
      </c>
      <c r="D731" s="151" t="s">
        <v>3378</v>
      </c>
      <c r="E731" s="211">
        <v>14750</v>
      </c>
      <c r="F731" s="151" t="s">
        <v>1255</v>
      </c>
      <c r="G731" s="151" t="s">
        <v>1173</v>
      </c>
      <c r="H731" s="211">
        <v>3784.8</v>
      </c>
      <c r="I731" s="17">
        <f t="shared" si="2"/>
        <v>2565966.1016949154</v>
      </c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spans="1:24">
      <c r="A732" s="151" t="s">
        <v>3379</v>
      </c>
      <c r="B732" s="17" t="s">
        <v>3380</v>
      </c>
      <c r="C732" s="211">
        <v>590021</v>
      </c>
      <c r="D732" s="151" t="s">
        <v>3381</v>
      </c>
      <c r="E732" s="211">
        <v>9089.9</v>
      </c>
      <c r="F732" s="151" t="s">
        <v>1552</v>
      </c>
      <c r="G732" s="151" t="s">
        <v>1335</v>
      </c>
      <c r="H732" s="211">
        <v>3777.1</v>
      </c>
      <c r="I732" s="17">
        <f t="shared" si="2"/>
        <v>4155271.2351070968</v>
      </c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spans="1:24">
      <c r="A733" s="151" t="s">
        <v>3382</v>
      </c>
      <c r="B733" s="17" t="s">
        <v>3383</v>
      </c>
      <c r="C733" s="211">
        <v>542905</v>
      </c>
      <c r="D733" s="151" t="s">
        <v>3384</v>
      </c>
      <c r="E733" s="211">
        <v>522.20000000000005</v>
      </c>
      <c r="F733" s="151" t="s">
        <v>2094</v>
      </c>
      <c r="G733" s="151" t="s">
        <v>1441</v>
      </c>
      <c r="H733" s="211">
        <v>3775.7</v>
      </c>
      <c r="I733" s="17">
        <f t="shared" si="2"/>
        <v>72303715.051704317</v>
      </c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spans="1:24">
      <c r="A734" s="151" t="s">
        <v>3385</v>
      </c>
      <c r="B734" s="17" t="s">
        <v>3386</v>
      </c>
      <c r="C734" s="211">
        <v>517522</v>
      </c>
      <c r="D734" s="151" t="s">
        <v>3387</v>
      </c>
      <c r="E734" s="211">
        <v>742.4</v>
      </c>
      <c r="F734" s="151" t="s">
        <v>1507</v>
      </c>
      <c r="G734" s="151" t="s">
        <v>1211</v>
      </c>
      <c r="H734" s="211">
        <v>3769</v>
      </c>
      <c r="I734" s="17">
        <f t="shared" si="2"/>
        <v>50767780.172413796</v>
      </c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spans="1:24">
      <c r="A735" s="151" t="s">
        <v>3388</v>
      </c>
      <c r="B735" s="17" t="s">
        <v>3389</v>
      </c>
      <c r="C735" s="211">
        <v>532848</v>
      </c>
      <c r="D735" s="151" t="s">
        <v>3390</v>
      </c>
      <c r="E735" s="211">
        <v>140.19999999999999</v>
      </c>
      <c r="F735" s="151" t="s">
        <v>2887</v>
      </c>
      <c r="G735" s="151" t="s">
        <v>1229</v>
      </c>
      <c r="H735" s="211">
        <v>3754.2</v>
      </c>
      <c r="I735" s="17">
        <f t="shared" si="2"/>
        <v>267774607.70328104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spans="1:24">
      <c r="A736" s="151" t="s">
        <v>3391</v>
      </c>
      <c r="B736" s="17" t="s">
        <v>3392</v>
      </c>
      <c r="C736" s="211">
        <v>500250</v>
      </c>
      <c r="D736" s="151" t="s">
        <v>3393</v>
      </c>
      <c r="E736" s="211">
        <v>1194.4000000000001</v>
      </c>
      <c r="F736" s="151" t="s">
        <v>1507</v>
      </c>
      <c r="G736" s="151" t="s">
        <v>1211</v>
      </c>
      <c r="H736" s="211">
        <v>3749.4</v>
      </c>
      <c r="I736" s="17">
        <f t="shared" si="2"/>
        <v>31391493.636972535</v>
      </c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spans="1:24">
      <c r="A737" s="151" t="s">
        <v>3394</v>
      </c>
      <c r="B737" s="17" t="s">
        <v>3395</v>
      </c>
      <c r="C737" s="211">
        <v>513010</v>
      </c>
      <c r="D737" s="151" t="s">
        <v>3396</v>
      </c>
      <c r="E737" s="211">
        <v>830</v>
      </c>
      <c r="F737" s="151" t="s">
        <v>1272</v>
      </c>
      <c r="G737" s="151" t="s">
        <v>1142</v>
      </c>
      <c r="H737" s="211">
        <v>3743.1</v>
      </c>
      <c r="I737" s="17">
        <f t="shared" si="2"/>
        <v>45097590.361445785</v>
      </c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spans="1:24">
      <c r="A738" s="151" t="s">
        <v>3397</v>
      </c>
      <c r="B738" s="17" t="s">
        <v>3398</v>
      </c>
      <c r="C738" s="211">
        <v>505283</v>
      </c>
      <c r="D738" s="151" t="s">
        <v>3399</v>
      </c>
      <c r="E738" s="211">
        <v>577.6</v>
      </c>
      <c r="F738" s="151" t="s">
        <v>1587</v>
      </c>
      <c r="G738" s="151" t="s">
        <v>1141</v>
      </c>
      <c r="H738" s="211">
        <v>3740.6</v>
      </c>
      <c r="I738" s="17">
        <f t="shared" si="2"/>
        <v>64761080.33240997</v>
      </c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spans="1:24">
      <c r="A739" s="151" t="s">
        <v>3400</v>
      </c>
      <c r="B739" s="17" t="s">
        <v>3401</v>
      </c>
      <c r="C739" s="211">
        <v>500097</v>
      </c>
      <c r="D739" s="151" t="s">
        <v>3402</v>
      </c>
      <c r="E739" s="211">
        <v>461.4</v>
      </c>
      <c r="F739" s="151" t="s">
        <v>2449</v>
      </c>
      <c r="G739" s="151" t="s">
        <v>1140</v>
      </c>
      <c r="H739" s="211">
        <v>3734.1</v>
      </c>
      <c r="I739" s="17">
        <f t="shared" si="2"/>
        <v>80929778.933680102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spans="1:24">
      <c r="A740" s="151" t="s">
        <v>3403</v>
      </c>
      <c r="B740" s="17" t="s">
        <v>3404</v>
      </c>
      <c r="C740" s="211">
        <v>522215</v>
      </c>
      <c r="D740" s="151" t="s">
        <v>3405</v>
      </c>
      <c r="E740" s="211">
        <v>542.4</v>
      </c>
      <c r="F740" s="151" t="s">
        <v>1587</v>
      </c>
      <c r="G740" s="151" t="s">
        <v>1141</v>
      </c>
      <c r="H740" s="211">
        <v>3702.7</v>
      </c>
      <c r="I740" s="17">
        <f t="shared" si="2"/>
        <v>68265117.994100302</v>
      </c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spans="1:24">
      <c r="A741" s="151" t="s">
        <v>3406</v>
      </c>
      <c r="B741" s="17" t="s">
        <v>3407</v>
      </c>
      <c r="C741" s="211">
        <v>543321</v>
      </c>
      <c r="D741" s="151" t="s">
        <v>3408</v>
      </c>
      <c r="E741" s="211">
        <v>1578.2</v>
      </c>
      <c r="F741" s="151" t="s">
        <v>1334</v>
      </c>
      <c r="G741" s="151" t="s">
        <v>1335</v>
      </c>
      <c r="H741" s="211">
        <v>3691.6</v>
      </c>
      <c r="I741" s="17">
        <f t="shared" si="2"/>
        <v>23391205.170447346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spans="1:24">
      <c r="A742" s="151" t="s">
        <v>3409</v>
      </c>
      <c r="B742" s="17" t="s">
        <v>3410</v>
      </c>
      <c r="C742" s="211">
        <v>500307</v>
      </c>
      <c r="D742" s="151" t="s">
        <v>3411</v>
      </c>
      <c r="E742" s="211">
        <v>409</v>
      </c>
      <c r="F742" s="151" t="s">
        <v>1307</v>
      </c>
      <c r="G742" s="151" t="s">
        <v>1307</v>
      </c>
      <c r="H742" s="211">
        <v>3685.8</v>
      </c>
      <c r="I742" s="17">
        <f t="shared" si="2"/>
        <v>90117359.413202941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spans="1:24">
      <c r="A743" s="151" t="s">
        <v>3412</v>
      </c>
      <c r="B743" s="17" t="s">
        <v>3413</v>
      </c>
      <c r="C743" s="211">
        <v>543311</v>
      </c>
      <c r="D743" s="151" t="s">
        <v>3414</v>
      </c>
      <c r="E743" s="211">
        <v>320</v>
      </c>
      <c r="F743" s="151" t="s">
        <v>1552</v>
      </c>
      <c r="G743" s="151" t="s">
        <v>1335</v>
      </c>
      <c r="H743" s="211">
        <v>3685.2</v>
      </c>
      <c r="I743" s="17">
        <f t="shared" si="2"/>
        <v>115162500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spans="1:24">
      <c r="A744" s="151" t="s">
        <v>3415</v>
      </c>
      <c r="B744" s="17" t="s">
        <v>3416</v>
      </c>
      <c r="C744" s="211">
        <v>532054</v>
      </c>
      <c r="D744" s="151" t="s">
        <v>3417</v>
      </c>
      <c r="E744" s="211">
        <v>2939.2</v>
      </c>
      <c r="F744" s="151" t="s">
        <v>1710</v>
      </c>
      <c r="G744" s="151" t="s">
        <v>1216</v>
      </c>
      <c r="H744" s="211">
        <v>3684.9</v>
      </c>
      <c r="I744" s="17">
        <f t="shared" si="2"/>
        <v>12537084.921066958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spans="1:24">
      <c r="A745" s="151" t="s">
        <v>3418</v>
      </c>
      <c r="B745" s="17" t="s">
        <v>3419</v>
      </c>
      <c r="C745" s="211">
        <v>532189</v>
      </c>
      <c r="D745" s="151" t="s">
        <v>3420</v>
      </c>
      <c r="E745" s="211">
        <v>428.8</v>
      </c>
      <c r="F745" s="151" t="s">
        <v>1532</v>
      </c>
      <c r="G745" s="151" t="s">
        <v>1533</v>
      </c>
      <c r="H745" s="211">
        <v>3677.4</v>
      </c>
      <c r="I745" s="17">
        <f t="shared" si="2"/>
        <v>85760261.194029853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spans="1:24">
      <c r="A746" s="151" t="s">
        <v>3421</v>
      </c>
      <c r="B746" s="17" t="s">
        <v>3422</v>
      </c>
      <c r="C746" s="211">
        <v>527001</v>
      </c>
      <c r="D746" s="151" t="s">
        <v>3423</v>
      </c>
      <c r="E746" s="211">
        <v>400.6</v>
      </c>
      <c r="F746" s="151" t="s">
        <v>1591</v>
      </c>
      <c r="G746" s="151" t="s">
        <v>1142</v>
      </c>
      <c r="H746" s="211">
        <v>3664.5</v>
      </c>
      <c r="I746" s="17">
        <f t="shared" si="2"/>
        <v>91475287.0693959</v>
      </c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spans="1:24">
      <c r="A747" s="151" t="s">
        <v>3424</v>
      </c>
      <c r="B747" s="17" t="s">
        <v>3425</v>
      </c>
      <c r="C747" s="211">
        <v>543333</v>
      </c>
      <c r="D747" s="151" t="s">
        <v>3426</v>
      </c>
      <c r="E747" s="211">
        <v>782</v>
      </c>
      <c r="F747" s="151" t="s">
        <v>1626</v>
      </c>
      <c r="G747" s="151" t="s">
        <v>1143</v>
      </c>
      <c r="H747" s="211">
        <v>3664</v>
      </c>
      <c r="I747" s="17">
        <f t="shared" si="2"/>
        <v>46854219.948849104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spans="1:24">
      <c r="A748" s="151" t="s">
        <v>3427</v>
      </c>
      <c r="B748" s="17" t="s">
        <v>3428</v>
      </c>
      <c r="C748" s="211">
        <v>540025</v>
      </c>
      <c r="D748" s="151" t="s">
        <v>3429</v>
      </c>
      <c r="E748" s="211">
        <v>326.7</v>
      </c>
      <c r="F748" s="151" t="s">
        <v>1871</v>
      </c>
      <c r="G748" s="151" t="s">
        <v>1224</v>
      </c>
      <c r="H748" s="211">
        <v>3653.3</v>
      </c>
      <c r="I748" s="17">
        <f t="shared" si="2"/>
        <v>111824303.64248547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spans="1:24">
      <c r="A749" s="151" t="s">
        <v>3430</v>
      </c>
      <c r="B749" s="17" t="s">
        <v>3431</v>
      </c>
      <c r="C749" s="211">
        <v>542773</v>
      </c>
      <c r="D749" s="151" t="s">
        <v>3432</v>
      </c>
      <c r="E749" s="211">
        <v>119.2</v>
      </c>
      <c r="F749" s="151" t="s">
        <v>1930</v>
      </c>
      <c r="G749" s="151" t="s">
        <v>1137</v>
      </c>
      <c r="H749" s="211">
        <v>3648.9</v>
      </c>
      <c r="I749" s="17">
        <f t="shared" si="2"/>
        <v>306115771.8120805</v>
      </c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spans="1:24">
      <c r="A750" s="151" t="s">
        <v>3433</v>
      </c>
      <c r="B750" s="17" t="s">
        <v>3434</v>
      </c>
      <c r="C750" s="211">
        <v>534600</v>
      </c>
      <c r="D750" s="151" t="s">
        <v>3435</v>
      </c>
      <c r="E750" s="211">
        <v>213.6</v>
      </c>
      <c r="F750" s="151" t="s">
        <v>1675</v>
      </c>
      <c r="G750" s="151" t="s">
        <v>1142</v>
      </c>
      <c r="H750" s="211">
        <v>3643.9</v>
      </c>
      <c r="I750" s="17">
        <f t="shared" si="2"/>
        <v>170594569.2883895</v>
      </c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spans="1:24">
      <c r="A751" s="151" t="s">
        <v>3436</v>
      </c>
      <c r="B751" s="17" t="s">
        <v>3437</v>
      </c>
      <c r="C751" s="211">
        <v>523630</v>
      </c>
      <c r="D751" s="151" t="s">
        <v>3438</v>
      </c>
      <c r="E751" s="211">
        <v>73.400000000000006</v>
      </c>
      <c r="F751" s="151" t="s">
        <v>1650</v>
      </c>
      <c r="G751" s="151" t="s">
        <v>1650</v>
      </c>
      <c r="H751" s="211">
        <v>3603.3</v>
      </c>
      <c r="I751" s="17">
        <f t="shared" si="2"/>
        <v>490912806.53950948</v>
      </c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spans="1:24">
      <c r="A752" s="151" t="s">
        <v>3439</v>
      </c>
      <c r="B752" s="17" t="s">
        <v>3440</v>
      </c>
      <c r="C752" s="211">
        <v>523323</v>
      </c>
      <c r="D752" s="151" t="s">
        <v>3441</v>
      </c>
      <c r="E752" s="211">
        <v>3275.4</v>
      </c>
      <c r="F752" s="151" t="s">
        <v>1977</v>
      </c>
      <c r="G752" s="151" t="s">
        <v>1139</v>
      </c>
      <c r="H752" s="211">
        <v>3584</v>
      </c>
      <c r="I752" s="17">
        <f t="shared" si="2"/>
        <v>10942175.001526531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spans="1:24">
      <c r="A753" s="151" t="s">
        <v>3442</v>
      </c>
      <c r="B753" s="17" t="s">
        <v>3443</v>
      </c>
      <c r="C753" s="211">
        <v>543533</v>
      </c>
      <c r="D753" s="151" t="s">
        <v>3444</v>
      </c>
      <c r="E753" s="211">
        <v>458.6</v>
      </c>
      <c r="F753" s="151" t="s">
        <v>2887</v>
      </c>
      <c r="G753" s="151" t="s">
        <v>1229</v>
      </c>
      <c r="H753" s="211">
        <v>3580.4</v>
      </c>
      <c r="I753" s="17">
        <f t="shared" si="2"/>
        <v>78072394.243349314</v>
      </c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spans="1:24">
      <c r="A754" s="151" t="s">
        <v>3445</v>
      </c>
      <c r="B754" s="17" t="s">
        <v>3446</v>
      </c>
      <c r="C754" s="211">
        <v>540879</v>
      </c>
      <c r="D754" s="151" t="s">
        <v>3447</v>
      </c>
      <c r="E754" s="211">
        <v>127.5</v>
      </c>
      <c r="F754" s="151" t="s">
        <v>1293</v>
      </c>
      <c r="G754" s="151" t="s">
        <v>1141</v>
      </c>
      <c r="H754" s="211">
        <v>3562.4</v>
      </c>
      <c r="I754" s="17">
        <f t="shared" si="2"/>
        <v>279403921.56862748</v>
      </c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spans="1:24">
      <c r="A755" s="151" t="s">
        <v>3448</v>
      </c>
      <c r="B755" s="17" t="s">
        <v>3449</v>
      </c>
      <c r="C755" s="211">
        <v>590051</v>
      </c>
      <c r="D755" s="151" t="s">
        <v>3450</v>
      </c>
      <c r="E755" s="211">
        <v>336</v>
      </c>
      <c r="F755" s="151" t="s">
        <v>1161</v>
      </c>
      <c r="G755" s="151" t="s">
        <v>1143</v>
      </c>
      <c r="H755" s="211">
        <v>3561.4</v>
      </c>
      <c r="I755" s="17">
        <f t="shared" si="2"/>
        <v>105994047.61904761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spans="1:24">
      <c r="A756" s="151" t="s">
        <v>3451</v>
      </c>
      <c r="B756" s="17" t="s">
        <v>3452</v>
      </c>
      <c r="C756" s="211">
        <v>532772</v>
      </c>
      <c r="D756" s="151" t="s">
        <v>3453</v>
      </c>
      <c r="E756" s="211">
        <v>113.9</v>
      </c>
      <c r="F756" s="151" t="s">
        <v>1165</v>
      </c>
      <c r="G756" s="151" t="s">
        <v>1137</v>
      </c>
      <c r="H756" s="211">
        <v>3554.6</v>
      </c>
      <c r="I756" s="17">
        <f t="shared" si="2"/>
        <v>312080772.60755044</v>
      </c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spans="1:24">
      <c r="A757" s="151" t="s">
        <v>3454</v>
      </c>
      <c r="B757" s="17" t="s">
        <v>3455</v>
      </c>
      <c r="C757" s="211">
        <v>534976</v>
      </c>
      <c r="D757" s="151" t="s">
        <v>3456</v>
      </c>
      <c r="E757" s="211">
        <v>1793</v>
      </c>
      <c r="F757" s="151" t="s">
        <v>1246</v>
      </c>
      <c r="G757" s="151" t="s">
        <v>1247</v>
      </c>
      <c r="H757" s="211">
        <v>3545.9</v>
      </c>
      <c r="I757" s="17">
        <f t="shared" si="2"/>
        <v>19776352.481873956</v>
      </c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spans="1:24">
      <c r="A758" s="151" t="s">
        <v>3457</v>
      </c>
      <c r="B758" s="17" t="s">
        <v>3458</v>
      </c>
      <c r="C758" s="211">
        <v>533162</v>
      </c>
      <c r="D758" s="151" t="s">
        <v>3459</v>
      </c>
      <c r="E758" s="211">
        <v>20</v>
      </c>
      <c r="F758" s="151" t="s">
        <v>1907</v>
      </c>
      <c r="G758" s="151" t="s">
        <v>1908</v>
      </c>
      <c r="H758" s="211">
        <v>3531.4</v>
      </c>
      <c r="I758" s="17">
        <f t="shared" si="2"/>
        <v>1765700000</v>
      </c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spans="1:24">
      <c r="A759" s="151" t="s">
        <v>3460</v>
      </c>
      <c r="B759" s="17" t="s">
        <v>3461</v>
      </c>
      <c r="C759" s="211">
        <v>524735</v>
      </c>
      <c r="D759" s="151" t="s">
        <v>3462</v>
      </c>
      <c r="E759" s="211">
        <v>285.7</v>
      </c>
      <c r="F759" s="151" t="s">
        <v>694</v>
      </c>
      <c r="G759" s="151" t="s">
        <v>1224</v>
      </c>
      <c r="H759" s="211">
        <v>3522.7</v>
      </c>
      <c r="I759" s="17">
        <f t="shared" si="2"/>
        <v>123300665.03325167</v>
      </c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spans="1:24">
      <c r="A760" s="151" t="s">
        <v>3463</v>
      </c>
      <c r="B760" s="17" t="s">
        <v>3464</v>
      </c>
      <c r="C760" s="211">
        <v>505010</v>
      </c>
      <c r="D760" s="151" t="s">
        <v>3465</v>
      </c>
      <c r="E760" s="211">
        <v>2329.6</v>
      </c>
      <c r="F760" s="151" t="s">
        <v>1507</v>
      </c>
      <c r="G760" s="151" t="s">
        <v>1211</v>
      </c>
      <c r="H760" s="211">
        <v>3520.6</v>
      </c>
      <c r="I760" s="17">
        <f t="shared" si="2"/>
        <v>15112465.659340659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spans="1:24">
      <c r="A761" s="151" t="s">
        <v>3466</v>
      </c>
      <c r="B761" s="17" t="s">
        <v>3467</v>
      </c>
      <c r="C761" s="211">
        <v>500404</v>
      </c>
      <c r="D761" s="151" t="s">
        <v>3468</v>
      </c>
      <c r="E761" s="211">
        <v>194.6</v>
      </c>
      <c r="F761" s="151" t="s">
        <v>1272</v>
      </c>
      <c r="G761" s="151" t="s">
        <v>1142</v>
      </c>
      <c r="H761" s="211">
        <v>3506.2</v>
      </c>
      <c r="I761" s="17">
        <f t="shared" si="2"/>
        <v>180174717.36896199</v>
      </c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spans="1:24">
      <c r="A762" s="151" t="s">
        <v>3469</v>
      </c>
      <c r="B762" s="17" t="s">
        <v>3470</v>
      </c>
      <c r="C762" s="211">
        <v>532612</v>
      </c>
      <c r="D762" s="151" t="s">
        <v>3471</v>
      </c>
      <c r="E762" s="211">
        <v>380.2</v>
      </c>
      <c r="F762" s="151" t="s">
        <v>694</v>
      </c>
      <c r="G762" s="151" t="s">
        <v>1224</v>
      </c>
      <c r="H762" s="211">
        <v>3503.1</v>
      </c>
      <c r="I762" s="17">
        <f t="shared" si="2"/>
        <v>92138348.237769604</v>
      </c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spans="1:24">
      <c r="A763" s="151" t="s">
        <v>3472</v>
      </c>
      <c r="B763" s="17" t="s">
        <v>3473</v>
      </c>
      <c r="C763" s="211">
        <v>502090</v>
      </c>
      <c r="D763" s="151" t="s">
        <v>3474</v>
      </c>
      <c r="E763" s="211">
        <v>268</v>
      </c>
      <c r="F763" s="151" t="s">
        <v>1238</v>
      </c>
      <c r="G763" s="151" t="s">
        <v>1138</v>
      </c>
      <c r="H763" s="211">
        <v>3503</v>
      </c>
      <c r="I763" s="17">
        <f t="shared" si="2"/>
        <v>130708955.2238806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spans="1:24">
      <c r="A764" s="151" t="s">
        <v>3475</v>
      </c>
      <c r="B764" s="17" t="s">
        <v>3476</v>
      </c>
      <c r="C764" s="211">
        <v>543650</v>
      </c>
      <c r="D764" s="151" t="s">
        <v>3477</v>
      </c>
      <c r="E764" s="211">
        <v>361</v>
      </c>
      <c r="F764" s="151" t="s">
        <v>1293</v>
      </c>
      <c r="G764" s="151" t="s">
        <v>1141</v>
      </c>
      <c r="H764" s="211">
        <v>3491.2</v>
      </c>
      <c r="I764" s="17">
        <f t="shared" si="2"/>
        <v>96709141.274238229</v>
      </c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spans="1:24">
      <c r="A765" s="151" t="s">
        <v>3478</v>
      </c>
      <c r="B765" s="17" t="s">
        <v>3479</v>
      </c>
      <c r="C765" s="211">
        <v>532839</v>
      </c>
      <c r="D765" s="151" t="s">
        <v>3480</v>
      </c>
      <c r="E765" s="211">
        <v>18.899999999999999</v>
      </c>
      <c r="F765" s="151" t="s">
        <v>1907</v>
      </c>
      <c r="G765" s="151" t="s">
        <v>1908</v>
      </c>
      <c r="H765" s="211">
        <v>3480</v>
      </c>
      <c r="I765" s="17">
        <f t="shared" si="2"/>
        <v>1841269841.2698414</v>
      </c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spans="1:24">
      <c r="A766" s="151" t="s">
        <v>3481</v>
      </c>
      <c r="B766" s="17" t="s">
        <v>3482</v>
      </c>
      <c r="C766" s="211">
        <v>509243</v>
      </c>
      <c r="D766" s="151" t="s">
        <v>3483</v>
      </c>
      <c r="E766" s="211">
        <v>4521.5</v>
      </c>
      <c r="F766" s="151" t="s">
        <v>1646</v>
      </c>
      <c r="G766" s="151" t="s">
        <v>1211</v>
      </c>
      <c r="H766" s="211">
        <v>3462.1</v>
      </c>
      <c r="I766" s="17">
        <f t="shared" si="2"/>
        <v>7656972.2437244281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spans="1:24">
      <c r="A767" s="151" t="s">
        <v>3484</v>
      </c>
      <c r="B767" s="17" t="s">
        <v>3485</v>
      </c>
      <c r="C767" s="17"/>
      <c r="D767" s="151" t="s">
        <v>3486</v>
      </c>
      <c r="E767" s="211">
        <v>155.80000000000001</v>
      </c>
      <c r="F767" s="151" t="s">
        <v>2059</v>
      </c>
      <c r="G767" s="151" t="s">
        <v>2060</v>
      </c>
      <c r="H767" s="211">
        <v>3459.3</v>
      </c>
      <c r="I767" s="17">
        <f t="shared" ref="I767:I1021" si="3">H767*10000000/E767</f>
        <v>222034659.8202824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spans="1:24">
      <c r="A768" s="151" t="s">
        <v>3487</v>
      </c>
      <c r="B768" s="17" t="s">
        <v>3488</v>
      </c>
      <c r="C768" s="211">
        <v>531266</v>
      </c>
      <c r="D768" s="151" t="s">
        <v>3489</v>
      </c>
      <c r="E768" s="211">
        <v>4000.5</v>
      </c>
      <c r="F768" s="151" t="s">
        <v>1259</v>
      </c>
      <c r="G768" s="151" t="s">
        <v>1211</v>
      </c>
      <c r="H768" s="211">
        <v>3456.2</v>
      </c>
      <c r="I768" s="17">
        <f t="shared" si="3"/>
        <v>8639420.072490938</v>
      </c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spans="1:24">
      <c r="A769" s="151" t="s">
        <v>3490</v>
      </c>
      <c r="B769" s="17" t="s">
        <v>3491</v>
      </c>
      <c r="C769" s="211">
        <v>530073</v>
      </c>
      <c r="D769" s="151" t="s">
        <v>3492</v>
      </c>
      <c r="E769" s="211">
        <v>796.4</v>
      </c>
      <c r="F769" s="151" t="s">
        <v>2616</v>
      </c>
      <c r="G769" s="151" t="s">
        <v>1280</v>
      </c>
      <c r="H769" s="211">
        <v>3447.7</v>
      </c>
      <c r="I769" s="17">
        <f t="shared" si="3"/>
        <v>43291059.768960319</v>
      </c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spans="1:24">
      <c r="A770" s="151" t="s">
        <v>3493</v>
      </c>
      <c r="B770" s="17" t="s">
        <v>50</v>
      </c>
      <c r="C770" s="211">
        <v>538567</v>
      </c>
      <c r="D770" s="151" t="s">
        <v>3494</v>
      </c>
      <c r="E770" s="211">
        <v>697.8</v>
      </c>
      <c r="F770" s="151" t="s">
        <v>1300</v>
      </c>
      <c r="G770" s="151" t="s">
        <v>1158</v>
      </c>
      <c r="H770" s="211">
        <v>3424.3</v>
      </c>
      <c r="I770" s="17">
        <f t="shared" si="3"/>
        <v>49072800.229292065</v>
      </c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spans="1:24">
      <c r="A771" s="151" t="s">
        <v>3495</v>
      </c>
      <c r="B771" s="17" t="s">
        <v>3496</v>
      </c>
      <c r="C771" s="211">
        <v>500243</v>
      </c>
      <c r="D771" s="151" t="s">
        <v>3497</v>
      </c>
      <c r="E771" s="211">
        <v>3459.8</v>
      </c>
      <c r="F771" s="151" t="s">
        <v>1242</v>
      </c>
      <c r="G771" s="151" t="s">
        <v>1144</v>
      </c>
      <c r="H771" s="211">
        <v>3422.4</v>
      </c>
      <c r="I771" s="17">
        <f t="shared" si="3"/>
        <v>9891901.2659691311</v>
      </c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spans="1:24">
      <c r="A772" s="151" t="s">
        <v>3498</v>
      </c>
      <c r="B772" s="17" t="s">
        <v>3499</v>
      </c>
      <c r="C772" s="211">
        <v>532368</v>
      </c>
      <c r="D772" s="151" t="s">
        <v>3500</v>
      </c>
      <c r="E772" s="211">
        <v>16.899999999999999</v>
      </c>
      <c r="F772" s="151" t="s">
        <v>1373</v>
      </c>
      <c r="G772" s="151" t="s">
        <v>1143</v>
      </c>
      <c r="H772" s="211">
        <v>3411.3</v>
      </c>
      <c r="I772" s="17">
        <f t="shared" si="3"/>
        <v>2018520710.0591717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spans="1:24">
      <c r="A773" s="151" t="s">
        <v>3501</v>
      </c>
      <c r="B773" s="17" t="s">
        <v>3502</v>
      </c>
      <c r="C773" s="211">
        <v>524051</v>
      </c>
      <c r="D773" s="151" t="s">
        <v>3503</v>
      </c>
      <c r="E773" s="211">
        <v>1086</v>
      </c>
      <c r="F773" s="151" t="s">
        <v>2950</v>
      </c>
      <c r="G773" s="151" t="s">
        <v>1229</v>
      </c>
      <c r="H773" s="211">
        <v>3409.2</v>
      </c>
      <c r="I773" s="17">
        <f t="shared" si="3"/>
        <v>31392265.193370167</v>
      </c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spans="1:24">
      <c r="A774" s="151" t="s">
        <v>3504</v>
      </c>
      <c r="B774" s="17" t="s">
        <v>3505</v>
      </c>
      <c r="C774" s="211">
        <v>532899</v>
      </c>
      <c r="D774" s="151" t="s">
        <v>3506</v>
      </c>
      <c r="E774" s="211">
        <v>604.6</v>
      </c>
      <c r="F774" s="151" t="s">
        <v>2563</v>
      </c>
      <c r="G774" s="151" t="s">
        <v>1140</v>
      </c>
      <c r="H774" s="211">
        <v>3381</v>
      </c>
      <c r="I774" s="17">
        <f t="shared" si="3"/>
        <v>55921270.2613298</v>
      </c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spans="1:24">
      <c r="A775" s="151" t="s">
        <v>3507</v>
      </c>
      <c r="B775" s="17" t="s">
        <v>663</v>
      </c>
      <c r="C775" s="211">
        <v>520057</v>
      </c>
      <c r="D775" s="151" t="s">
        <v>3508</v>
      </c>
      <c r="E775" s="211">
        <v>138.1</v>
      </c>
      <c r="F775" s="151" t="s">
        <v>1507</v>
      </c>
      <c r="G775" s="151" t="s">
        <v>1211</v>
      </c>
      <c r="H775" s="211">
        <v>3376.3</v>
      </c>
      <c r="I775" s="17">
        <f t="shared" si="3"/>
        <v>244482259.23244026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spans="1:24">
      <c r="A776" s="151" t="s">
        <v>3509</v>
      </c>
      <c r="B776" s="17" t="s">
        <v>3510</v>
      </c>
      <c r="C776" s="211">
        <v>590078</v>
      </c>
      <c r="D776" s="151" t="s">
        <v>3511</v>
      </c>
      <c r="E776" s="211">
        <v>1159.5999999999999</v>
      </c>
      <c r="F776" s="151" t="s">
        <v>1272</v>
      </c>
      <c r="G776" s="151" t="s">
        <v>1142</v>
      </c>
      <c r="H776" s="211">
        <v>3375.9</v>
      </c>
      <c r="I776" s="17">
        <f t="shared" si="3"/>
        <v>29112625.04311832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spans="1:24">
      <c r="A777" s="151" t="s">
        <v>3512</v>
      </c>
      <c r="B777" s="17" t="s">
        <v>1117</v>
      </c>
      <c r="C777" s="211">
        <v>543950</v>
      </c>
      <c r="D777" s="151" t="s">
        <v>3513</v>
      </c>
      <c r="E777" s="211">
        <v>391.8</v>
      </c>
      <c r="F777" s="151" t="s">
        <v>1445</v>
      </c>
      <c r="G777" s="151" t="s">
        <v>1139</v>
      </c>
      <c r="H777" s="211">
        <v>3364</v>
      </c>
      <c r="I777" s="17">
        <f t="shared" si="3"/>
        <v>85860132.720775902</v>
      </c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spans="1:24">
      <c r="A778" s="151" t="s">
        <v>3514</v>
      </c>
      <c r="B778" s="17" t="s">
        <v>3515</v>
      </c>
      <c r="C778" s="211">
        <v>543896</v>
      </c>
      <c r="D778" s="151" t="s">
        <v>3516</v>
      </c>
      <c r="E778" s="211">
        <v>510.2</v>
      </c>
      <c r="F778" s="151" t="s">
        <v>1323</v>
      </c>
      <c r="G778" s="151" t="s">
        <v>1141</v>
      </c>
      <c r="H778" s="211">
        <v>3342</v>
      </c>
      <c r="I778" s="17">
        <f t="shared" si="3"/>
        <v>65503724.029792242</v>
      </c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spans="1:24">
      <c r="A779" s="151" t="s">
        <v>3517</v>
      </c>
      <c r="B779" s="17" t="s">
        <v>3518</v>
      </c>
      <c r="C779" s="211">
        <v>543932</v>
      </c>
      <c r="D779" s="151" t="s">
        <v>3519</v>
      </c>
      <c r="E779" s="211">
        <v>790</v>
      </c>
      <c r="F779" s="151" t="s">
        <v>1293</v>
      </c>
      <c r="G779" s="151" t="s">
        <v>1141</v>
      </c>
      <c r="H779" s="211">
        <v>3335</v>
      </c>
      <c r="I779" s="17">
        <f t="shared" si="3"/>
        <v>42215189.87341772</v>
      </c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spans="1:24">
      <c r="A780" s="151" t="s">
        <v>3520</v>
      </c>
      <c r="B780" s="17" t="s">
        <v>3521</v>
      </c>
      <c r="C780" s="211">
        <v>526521</v>
      </c>
      <c r="D780" s="151" t="s">
        <v>3522</v>
      </c>
      <c r="E780" s="211">
        <v>128.69999999999999</v>
      </c>
      <c r="F780" s="151" t="s">
        <v>1238</v>
      </c>
      <c r="G780" s="151" t="s">
        <v>1138</v>
      </c>
      <c r="H780" s="211">
        <v>3324.7</v>
      </c>
      <c r="I780" s="17">
        <f t="shared" si="3"/>
        <v>258329448.32944834</v>
      </c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spans="1:24">
      <c r="A781" s="151" t="s">
        <v>3523</v>
      </c>
      <c r="B781" s="17" t="s">
        <v>3524</v>
      </c>
      <c r="C781" s="211">
        <v>523385</v>
      </c>
      <c r="D781" s="151" t="s">
        <v>3525</v>
      </c>
      <c r="E781" s="211">
        <v>2225.4</v>
      </c>
      <c r="F781" s="151" t="s">
        <v>1546</v>
      </c>
      <c r="G781" s="151" t="s">
        <v>1141</v>
      </c>
      <c r="H781" s="211">
        <v>3320.8</v>
      </c>
      <c r="I781" s="17">
        <f t="shared" si="3"/>
        <v>14922261.166531859</v>
      </c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spans="1:24">
      <c r="A782" s="151" t="s">
        <v>3526</v>
      </c>
      <c r="B782" s="17" t="s">
        <v>184</v>
      </c>
      <c r="C782" s="211">
        <v>540797</v>
      </c>
      <c r="D782" s="151" t="s">
        <v>3527</v>
      </c>
      <c r="E782" s="211">
        <v>306.89999999999998</v>
      </c>
      <c r="F782" s="151" t="s">
        <v>1445</v>
      </c>
      <c r="G782" s="151" t="s">
        <v>1139</v>
      </c>
      <c r="H782" s="211">
        <v>3314.8</v>
      </c>
      <c r="I782" s="17">
        <f t="shared" si="3"/>
        <v>108009123.49299447</v>
      </c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spans="1:24">
      <c r="A783" s="151" t="s">
        <v>3528</v>
      </c>
      <c r="B783" s="17" t="s">
        <v>3529</v>
      </c>
      <c r="C783" s="211">
        <v>500655</v>
      </c>
      <c r="D783" s="151" t="s">
        <v>3530</v>
      </c>
      <c r="E783" s="211">
        <v>1425.3</v>
      </c>
      <c r="F783" s="151" t="s">
        <v>2950</v>
      </c>
      <c r="G783" s="151" t="s">
        <v>1229</v>
      </c>
      <c r="H783" s="211">
        <v>3311.3</v>
      </c>
      <c r="I783" s="17">
        <f t="shared" si="3"/>
        <v>23232301.971514769</v>
      </c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spans="1:24">
      <c r="A784" s="151" t="s">
        <v>3531</v>
      </c>
      <c r="B784" s="17" t="s">
        <v>3532</v>
      </c>
      <c r="C784" s="211">
        <v>500148</v>
      </c>
      <c r="D784" s="151" t="s">
        <v>3533</v>
      </c>
      <c r="E784" s="211">
        <v>457.6</v>
      </c>
      <c r="F784" s="151" t="s">
        <v>2950</v>
      </c>
      <c r="G784" s="151" t="s">
        <v>1229</v>
      </c>
      <c r="H784" s="211">
        <v>3304</v>
      </c>
      <c r="I784" s="17">
        <f t="shared" si="3"/>
        <v>72202797.202797204</v>
      </c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spans="1:24">
      <c r="A785" s="151" t="s">
        <v>3534</v>
      </c>
      <c r="B785" s="17" t="s">
        <v>480</v>
      </c>
      <c r="C785" s="211">
        <v>508989</v>
      </c>
      <c r="D785" s="151" t="s">
        <v>3535</v>
      </c>
      <c r="E785" s="211">
        <v>146</v>
      </c>
      <c r="F785" s="151" t="s">
        <v>3195</v>
      </c>
      <c r="G785" s="151" t="s">
        <v>1229</v>
      </c>
      <c r="H785" s="211">
        <v>3302.7</v>
      </c>
      <c r="I785" s="17">
        <f t="shared" si="3"/>
        <v>226212328.76712328</v>
      </c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spans="1:24">
      <c r="A786" s="151" t="s">
        <v>3536</v>
      </c>
      <c r="B786" s="17" t="s">
        <v>246</v>
      </c>
      <c r="C786" s="211">
        <v>532940</v>
      </c>
      <c r="D786" s="151" t="s">
        <v>3537</v>
      </c>
      <c r="E786" s="211">
        <v>436.3</v>
      </c>
      <c r="F786" s="151" t="s">
        <v>1190</v>
      </c>
      <c r="G786" s="151" t="s">
        <v>1138</v>
      </c>
      <c r="H786" s="211">
        <v>3301.3</v>
      </c>
      <c r="I786" s="17">
        <f t="shared" si="3"/>
        <v>75665826.26633051</v>
      </c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spans="1:24">
      <c r="A787" s="151" t="s">
        <v>3538</v>
      </c>
      <c r="B787" s="17" t="s">
        <v>3539</v>
      </c>
      <c r="C787" s="211">
        <v>509079</v>
      </c>
      <c r="D787" s="151" t="s">
        <v>3540</v>
      </c>
      <c r="E787" s="211">
        <v>328.9</v>
      </c>
      <c r="F787" s="151" t="s">
        <v>694</v>
      </c>
      <c r="G787" s="151" t="s">
        <v>1224</v>
      </c>
      <c r="H787" s="211">
        <v>3298.1</v>
      </c>
      <c r="I787" s="17">
        <f t="shared" si="3"/>
        <v>100276679.84189723</v>
      </c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spans="1:24">
      <c r="A788" s="151" t="s">
        <v>3541</v>
      </c>
      <c r="B788" s="17" t="s">
        <v>3542</v>
      </c>
      <c r="C788" s="211">
        <v>543249</v>
      </c>
      <c r="D788" s="151" t="s">
        <v>3543</v>
      </c>
      <c r="E788" s="211">
        <v>111.3</v>
      </c>
      <c r="F788" s="151" t="s">
        <v>1307</v>
      </c>
      <c r="G788" s="151" t="s">
        <v>1307</v>
      </c>
      <c r="H788" s="211">
        <v>3284.4</v>
      </c>
      <c r="I788" s="17">
        <f t="shared" si="3"/>
        <v>295094339.6226415</v>
      </c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spans="1:24">
      <c r="A789" s="151" t="s">
        <v>3544</v>
      </c>
      <c r="B789" s="17" t="s">
        <v>3545</v>
      </c>
      <c r="C789" s="211">
        <v>512329</v>
      </c>
      <c r="D789" s="151" t="s">
        <v>3546</v>
      </c>
      <c r="E789" s="211">
        <v>8180</v>
      </c>
      <c r="F789" s="151" t="s">
        <v>1242</v>
      </c>
      <c r="G789" s="151" t="s">
        <v>1144</v>
      </c>
      <c r="H789" s="211">
        <v>3272</v>
      </c>
      <c r="I789" s="17">
        <f t="shared" si="3"/>
        <v>4000000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spans="1:24">
      <c r="A790" s="151" t="s">
        <v>3547</v>
      </c>
      <c r="B790" s="17" t="s">
        <v>3548</v>
      </c>
      <c r="C790" s="211">
        <v>543929</v>
      </c>
      <c r="D790" s="151" t="s">
        <v>3549</v>
      </c>
      <c r="E790" s="211">
        <v>653.4</v>
      </c>
      <c r="F790" s="151" t="s">
        <v>2576</v>
      </c>
      <c r="G790" s="151" t="s">
        <v>1140</v>
      </c>
      <c r="H790" s="211">
        <v>3272</v>
      </c>
      <c r="I790" s="17">
        <f t="shared" si="3"/>
        <v>50076522.803795531</v>
      </c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spans="1:24">
      <c r="A791" s="151" t="s">
        <v>3550</v>
      </c>
      <c r="B791" s="17" t="s">
        <v>503</v>
      </c>
      <c r="C791" s="211">
        <v>526367</v>
      </c>
      <c r="D791" s="151" t="s">
        <v>3551</v>
      </c>
      <c r="E791" s="211">
        <v>390.3</v>
      </c>
      <c r="F791" s="151" t="s">
        <v>1307</v>
      </c>
      <c r="G791" s="151" t="s">
        <v>1307</v>
      </c>
      <c r="H791" s="211">
        <v>3254.6</v>
      </c>
      <c r="I791" s="17">
        <f t="shared" si="3"/>
        <v>83387138.098898277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spans="1:24">
      <c r="A792" s="151" t="s">
        <v>3552</v>
      </c>
      <c r="B792" s="17" t="s">
        <v>3553</v>
      </c>
      <c r="C792" s="211">
        <v>500285</v>
      </c>
      <c r="D792" s="151" t="s">
        <v>3554</v>
      </c>
      <c r="E792" s="211">
        <v>47.6</v>
      </c>
      <c r="F792" s="151" t="s">
        <v>1358</v>
      </c>
      <c r="G792" s="151" t="s">
        <v>1280</v>
      </c>
      <c r="H792" s="211">
        <v>3253.1</v>
      </c>
      <c r="I792" s="17">
        <f t="shared" si="3"/>
        <v>683424369.74789917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spans="1:24">
      <c r="A793" s="151" t="s">
        <v>3555</v>
      </c>
      <c r="B793" s="17" t="s">
        <v>232</v>
      </c>
      <c r="C793" s="211">
        <v>506655</v>
      </c>
      <c r="D793" s="151" t="s">
        <v>3556</v>
      </c>
      <c r="E793" s="211">
        <v>468</v>
      </c>
      <c r="F793" s="151" t="s">
        <v>1334</v>
      </c>
      <c r="G793" s="151" t="s">
        <v>1335</v>
      </c>
      <c r="H793" s="211">
        <v>3240.2</v>
      </c>
      <c r="I793" s="17">
        <f t="shared" si="3"/>
        <v>69235042.735042736</v>
      </c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spans="1:24">
      <c r="A794" s="151" t="s">
        <v>3557</v>
      </c>
      <c r="B794" s="17" t="s">
        <v>3558</v>
      </c>
      <c r="C794" s="211">
        <v>500020</v>
      </c>
      <c r="D794" s="151" t="s">
        <v>3559</v>
      </c>
      <c r="E794" s="211">
        <v>156.30000000000001</v>
      </c>
      <c r="F794" s="151" t="s">
        <v>1854</v>
      </c>
      <c r="G794" s="151" t="s">
        <v>1216</v>
      </c>
      <c r="H794" s="211">
        <v>3228.1</v>
      </c>
      <c r="I794" s="17">
        <f t="shared" si="3"/>
        <v>206532309.66090849</v>
      </c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spans="1:24">
      <c r="A795" s="151" t="s">
        <v>3560</v>
      </c>
      <c r="B795" s="17" t="s">
        <v>3561</v>
      </c>
      <c r="C795" s="211">
        <v>533229</v>
      </c>
      <c r="D795" s="151" t="s">
        <v>3562</v>
      </c>
      <c r="E795" s="211">
        <v>226</v>
      </c>
      <c r="F795" s="151" t="s">
        <v>1172</v>
      </c>
      <c r="G795" s="151" t="s">
        <v>1173</v>
      </c>
      <c r="H795" s="211">
        <v>3224.1</v>
      </c>
      <c r="I795" s="17">
        <f t="shared" si="3"/>
        <v>142659292.03539824</v>
      </c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spans="1:24">
      <c r="A796" s="151" t="s">
        <v>3563</v>
      </c>
      <c r="B796" s="17" t="s">
        <v>25</v>
      </c>
      <c r="C796" s="211">
        <v>532748</v>
      </c>
      <c r="D796" s="151" t="s">
        <v>3564</v>
      </c>
      <c r="E796" s="211">
        <v>107.4</v>
      </c>
      <c r="F796" s="151" t="s">
        <v>2828</v>
      </c>
      <c r="G796" s="151" t="s">
        <v>1908</v>
      </c>
      <c r="H796" s="211">
        <v>3217</v>
      </c>
      <c r="I796" s="17">
        <f t="shared" si="3"/>
        <v>299534450.65176904</v>
      </c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spans="1:24">
      <c r="A797" s="151" t="s">
        <v>3565</v>
      </c>
      <c r="B797" s="17" t="s">
        <v>3566</v>
      </c>
      <c r="C797" s="211">
        <v>543714</v>
      </c>
      <c r="D797" s="151" t="s">
        <v>3567</v>
      </c>
      <c r="E797" s="211">
        <v>782.2</v>
      </c>
      <c r="F797" s="151" t="s">
        <v>1803</v>
      </c>
      <c r="G797" s="151" t="s">
        <v>1247</v>
      </c>
      <c r="H797" s="211">
        <v>3211</v>
      </c>
      <c r="I797" s="17">
        <f t="shared" si="3"/>
        <v>41050882.127333157</v>
      </c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spans="1:24">
      <c r="A798" s="151" t="s">
        <v>3568</v>
      </c>
      <c r="B798" s="17" t="s">
        <v>3569</v>
      </c>
      <c r="C798" s="211">
        <v>540774</v>
      </c>
      <c r="D798" s="151" t="s">
        <v>3570</v>
      </c>
      <c r="E798" s="211">
        <v>888.5</v>
      </c>
      <c r="F798" s="151" t="s">
        <v>1783</v>
      </c>
      <c r="G798" s="151" t="s">
        <v>1141</v>
      </c>
      <c r="H798" s="211">
        <v>3202.1</v>
      </c>
      <c r="I798" s="17">
        <f t="shared" si="3"/>
        <v>36039392.234102421</v>
      </c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spans="1:24">
      <c r="A799" s="151" t="s">
        <v>3571</v>
      </c>
      <c r="B799" s="17" t="s">
        <v>3572</v>
      </c>
      <c r="C799" s="211">
        <v>513097</v>
      </c>
      <c r="D799" s="151" t="s">
        <v>3573</v>
      </c>
      <c r="E799" s="211">
        <v>554.79999999999995</v>
      </c>
      <c r="F799" s="151" t="s">
        <v>1783</v>
      </c>
      <c r="G799" s="151" t="s">
        <v>1141</v>
      </c>
      <c r="H799" s="211">
        <v>3196.2</v>
      </c>
      <c r="I799" s="17">
        <f t="shared" si="3"/>
        <v>57609949.53136266</v>
      </c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spans="1:24">
      <c r="A800" s="151" t="s">
        <v>3574</v>
      </c>
      <c r="B800" s="17" t="s">
        <v>3575</v>
      </c>
      <c r="C800" s="211">
        <v>513434</v>
      </c>
      <c r="D800" s="151" t="s">
        <v>3576</v>
      </c>
      <c r="E800" s="211">
        <v>1010.6</v>
      </c>
      <c r="F800" s="151" t="s">
        <v>1272</v>
      </c>
      <c r="G800" s="151" t="s">
        <v>1142</v>
      </c>
      <c r="H800" s="211">
        <v>3191.1</v>
      </c>
      <c r="I800" s="17">
        <f t="shared" si="3"/>
        <v>31576291.312091827</v>
      </c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spans="1:24">
      <c r="A801" s="151" t="s">
        <v>3577</v>
      </c>
      <c r="B801" s="17" t="s">
        <v>3578</v>
      </c>
      <c r="C801" s="211">
        <v>530549</v>
      </c>
      <c r="D801" s="151" t="s">
        <v>3579</v>
      </c>
      <c r="E801" s="211">
        <v>365.8</v>
      </c>
      <c r="F801" s="151" t="s">
        <v>694</v>
      </c>
      <c r="G801" s="151" t="s">
        <v>1224</v>
      </c>
      <c r="H801" s="211">
        <v>3175.2</v>
      </c>
      <c r="I801" s="17">
        <f t="shared" si="3"/>
        <v>86801530.891197369</v>
      </c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spans="1:24">
      <c r="A802" s="151" t="s">
        <v>3580</v>
      </c>
      <c r="B802" s="17" t="s">
        <v>3581</v>
      </c>
      <c r="C802" s="211">
        <v>512529</v>
      </c>
      <c r="D802" s="151" t="s">
        <v>3582</v>
      </c>
      <c r="E802" s="211">
        <v>127.2</v>
      </c>
      <c r="F802" s="151" t="s">
        <v>694</v>
      </c>
      <c r="G802" s="151" t="s">
        <v>1224</v>
      </c>
      <c r="H802" s="211">
        <v>3174</v>
      </c>
      <c r="I802" s="17">
        <f t="shared" si="3"/>
        <v>249528301.88679245</v>
      </c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spans="1:24">
      <c r="A803" s="151" t="s">
        <v>3583</v>
      </c>
      <c r="B803" s="17" t="s">
        <v>3584</v>
      </c>
      <c r="C803" s="211">
        <v>500041</v>
      </c>
      <c r="D803" s="151" t="s">
        <v>3585</v>
      </c>
      <c r="E803" s="211">
        <v>2518.8000000000002</v>
      </c>
      <c r="F803" s="151" t="s">
        <v>2449</v>
      </c>
      <c r="G803" s="151" t="s">
        <v>1140</v>
      </c>
      <c r="H803" s="211">
        <v>3158.5</v>
      </c>
      <c r="I803" s="17">
        <f t="shared" si="3"/>
        <v>12539701.445132602</v>
      </c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spans="1:24">
      <c r="A804" s="151" t="s">
        <v>3586</v>
      </c>
      <c r="B804" s="17" t="s">
        <v>3587</v>
      </c>
      <c r="C804" s="211">
        <v>523398</v>
      </c>
      <c r="D804" s="151" t="s">
        <v>3588</v>
      </c>
      <c r="E804" s="211">
        <v>1158</v>
      </c>
      <c r="F804" s="151" t="s">
        <v>1770</v>
      </c>
      <c r="G804" s="151" t="s">
        <v>1441</v>
      </c>
      <c r="H804" s="211">
        <v>3148.8</v>
      </c>
      <c r="I804" s="17">
        <f t="shared" si="3"/>
        <v>27191709.844559584</v>
      </c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spans="1:24">
      <c r="A805" s="151" t="s">
        <v>3589</v>
      </c>
      <c r="B805" s="17" t="s">
        <v>3590</v>
      </c>
      <c r="C805" s="211">
        <v>526951</v>
      </c>
      <c r="D805" s="151" t="s">
        <v>3591</v>
      </c>
      <c r="E805" s="211">
        <v>1857</v>
      </c>
      <c r="F805" s="151" t="s">
        <v>2215</v>
      </c>
      <c r="G805" s="151" t="s">
        <v>2216</v>
      </c>
      <c r="H805" s="211">
        <v>3147.3</v>
      </c>
      <c r="I805" s="17">
        <f t="shared" si="3"/>
        <v>16948303.715670437</v>
      </c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spans="1:24">
      <c r="A806" s="151" t="s">
        <v>3592</v>
      </c>
      <c r="B806" s="17" t="s">
        <v>3593</v>
      </c>
      <c r="C806" s="211">
        <v>532406</v>
      </c>
      <c r="D806" s="151" t="s">
        <v>3594</v>
      </c>
      <c r="E806" s="211">
        <v>128.80000000000001</v>
      </c>
      <c r="F806" s="151" t="s">
        <v>1912</v>
      </c>
      <c r="G806" s="151" t="s">
        <v>1913</v>
      </c>
      <c r="H806" s="211">
        <v>3133.3</v>
      </c>
      <c r="I806" s="17">
        <f t="shared" si="3"/>
        <v>243268633.54037264</v>
      </c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spans="1:24">
      <c r="A807" s="151" t="s">
        <v>3595</v>
      </c>
      <c r="B807" s="17" t="s">
        <v>3596</v>
      </c>
      <c r="C807" s="211">
        <v>543812</v>
      </c>
      <c r="D807" s="151" t="s">
        <v>3597</v>
      </c>
      <c r="E807" s="211">
        <v>1024</v>
      </c>
      <c r="F807" s="151" t="s">
        <v>1507</v>
      </c>
      <c r="G807" s="151" t="s">
        <v>1211</v>
      </c>
      <c r="H807" s="211">
        <v>3131.8</v>
      </c>
      <c r="I807" s="17">
        <f t="shared" si="3"/>
        <v>30583984.375</v>
      </c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spans="1:24">
      <c r="A808" s="151" t="s">
        <v>3598</v>
      </c>
      <c r="B808" s="17" t="s">
        <v>28</v>
      </c>
      <c r="C808" s="211">
        <v>541163</v>
      </c>
      <c r="D808" s="151" t="s">
        <v>3599</v>
      </c>
      <c r="E808" s="211">
        <v>515</v>
      </c>
      <c r="F808" s="151" t="s">
        <v>1507</v>
      </c>
      <c r="G808" s="151" t="s">
        <v>1211</v>
      </c>
      <c r="H808" s="211">
        <v>3099.8</v>
      </c>
      <c r="I808" s="17">
        <f t="shared" si="3"/>
        <v>60190291.262135923</v>
      </c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spans="1:24">
      <c r="A809" s="151" t="s">
        <v>3600</v>
      </c>
      <c r="B809" s="17" t="s">
        <v>3601</v>
      </c>
      <c r="C809" s="211">
        <v>501455</v>
      </c>
      <c r="D809" s="151" t="s">
        <v>3602</v>
      </c>
      <c r="E809" s="211">
        <v>133.30000000000001</v>
      </c>
      <c r="F809" s="151" t="s">
        <v>1507</v>
      </c>
      <c r="G809" s="151" t="s">
        <v>1211</v>
      </c>
      <c r="H809" s="211">
        <v>3092.6</v>
      </c>
      <c r="I809" s="17">
        <f t="shared" si="3"/>
        <v>232003000.75018752</v>
      </c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spans="1:24">
      <c r="A810" s="151" t="s">
        <v>3603</v>
      </c>
      <c r="B810" s="17" t="s">
        <v>1133</v>
      </c>
      <c r="C810" s="211">
        <v>534758</v>
      </c>
      <c r="D810" s="151" t="s">
        <v>3604</v>
      </c>
      <c r="E810" s="211">
        <v>1128.2</v>
      </c>
      <c r="F810" s="151" t="s">
        <v>1161</v>
      </c>
      <c r="G810" s="151" t="s">
        <v>1143</v>
      </c>
      <c r="H810" s="211">
        <v>3080.1</v>
      </c>
      <c r="I810" s="17">
        <f t="shared" si="3"/>
        <v>27301010.459138449</v>
      </c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spans="1:24">
      <c r="A811" s="151" t="s">
        <v>3605</v>
      </c>
      <c r="B811" s="17" t="s">
        <v>240</v>
      </c>
      <c r="C811" s="211">
        <v>505242</v>
      </c>
      <c r="D811" s="151" t="s">
        <v>3606</v>
      </c>
      <c r="E811" s="211">
        <v>4510.3999999999996</v>
      </c>
      <c r="F811" s="151" t="s">
        <v>1587</v>
      </c>
      <c r="G811" s="151" t="s">
        <v>1141</v>
      </c>
      <c r="H811" s="211">
        <v>3063.2</v>
      </c>
      <c r="I811" s="17">
        <f t="shared" si="3"/>
        <v>6791415.39553033</v>
      </c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spans="1:24">
      <c r="A812" s="151" t="s">
        <v>3607</v>
      </c>
      <c r="B812" s="17" t="s">
        <v>3608</v>
      </c>
      <c r="C812" s="211">
        <v>532440</v>
      </c>
      <c r="D812" s="151" t="s">
        <v>3609</v>
      </c>
      <c r="E812" s="211">
        <v>1789.2</v>
      </c>
      <c r="F812" s="151" t="s">
        <v>3195</v>
      </c>
      <c r="G812" s="151" t="s">
        <v>1229</v>
      </c>
      <c r="H812" s="211">
        <v>3060.6</v>
      </c>
      <c r="I812" s="17">
        <f t="shared" si="3"/>
        <v>17105969.14822267</v>
      </c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spans="1:24">
      <c r="A813" s="151" t="s">
        <v>3610</v>
      </c>
      <c r="B813" s="17" t="s">
        <v>3611</v>
      </c>
      <c r="C813" s="211">
        <v>534618</v>
      </c>
      <c r="D813" s="151" t="s">
        <v>3612</v>
      </c>
      <c r="E813" s="211">
        <v>1467</v>
      </c>
      <c r="F813" s="151" t="s">
        <v>1242</v>
      </c>
      <c r="G813" s="151" t="s">
        <v>1144</v>
      </c>
      <c r="H813" s="211">
        <v>3055</v>
      </c>
      <c r="I813" s="17">
        <f t="shared" si="3"/>
        <v>20824812.542603955</v>
      </c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spans="1:24">
      <c r="A814" s="151" t="s">
        <v>3613</v>
      </c>
      <c r="B814" s="17" t="s">
        <v>3614</v>
      </c>
      <c r="C814" s="211">
        <v>542597</v>
      </c>
      <c r="D814" s="151" t="s">
        <v>3615</v>
      </c>
      <c r="E814" s="211">
        <v>433.2</v>
      </c>
      <c r="F814" s="151" t="s">
        <v>1228</v>
      </c>
      <c r="G814" s="151" t="s">
        <v>1229</v>
      </c>
      <c r="H814" s="211">
        <v>3049.7</v>
      </c>
      <c r="I814" s="17">
        <f t="shared" si="3"/>
        <v>70399353.647276089</v>
      </c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spans="1:24">
      <c r="A815" s="151" t="s">
        <v>3616</v>
      </c>
      <c r="B815" s="17" t="s">
        <v>3617</v>
      </c>
      <c r="C815" s="211">
        <v>500168</v>
      </c>
      <c r="D815" s="151" t="s">
        <v>3618</v>
      </c>
      <c r="E815" s="211">
        <v>1318</v>
      </c>
      <c r="F815" s="151" t="s">
        <v>1646</v>
      </c>
      <c r="G815" s="151" t="s">
        <v>1211</v>
      </c>
      <c r="H815" s="211">
        <v>3040</v>
      </c>
      <c r="I815" s="17">
        <f t="shared" si="3"/>
        <v>23065250.379362673</v>
      </c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spans="1:24">
      <c r="A816" s="151" t="s">
        <v>3619</v>
      </c>
      <c r="B816" s="17" t="s">
        <v>3620</v>
      </c>
      <c r="C816" s="211">
        <v>539883</v>
      </c>
      <c r="D816" s="151" t="s">
        <v>3621</v>
      </c>
      <c r="E816" s="211">
        <v>2742.6</v>
      </c>
      <c r="F816" s="151" t="s">
        <v>1233</v>
      </c>
      <c r="G816" s="151" t="s">
        <v>1234</v>
      </c>
      <c r="H816" s="211">
        <v>3036.7</v>
      </c>
      <c r="I816" s="17">
        <f t="shared" si="3"/>
        <v>11072340.115219135</v>
      </c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spans="1:24">
      <c r="A817" s="151" t="s">
        <v>3622</v>
      </c>
      <c r="B817" s="17" t="s">
        <v>3623</v>
      </c>
      <c r="C817" s="211">
        <v>539871</v>
      </c>
      <c r="D817" s="151" t="s">
        <v>3624</v>
      </c>
      <c r="E817" s="211">
        <v>572.5</v>
      </c>
      <c r="F817" s="151" t="s">
        <v>1977</v>
      </c>
      <c r="G817" s="151" t="s">
        <v>1139</v>
      </c>
      <c r="H817" s="211">
        <v>3030.2</v>
      </c>
      <c r="I817" s="17">
        <f t="shared" si="3"/>
        <v>52929257.641921401</v>
      </c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spans="1:24">
      <c r="A818" s="151" t="s">
        <v>3625</v>
      </c>
      <c r="B818" s="17" t="s">
        <v>3626</v>
      </c>
      <c r="C818" s="211">
        <v>505872</v>
      </c>
      <c r="D818" s="151" t="s">
        <v>3627</v>
      </c>
      <c r="E818" s="211">
        <v>3075</v>
      </c>
      <c r="F818" s="151" t="s">
        <v>1587</v>
      </c>
      <c r="G818" s="151" t="s">
        <v>1141</v>
      </c>
      <c r="H818" s="211">
        <v>3003.4</v>
      </c>
      <c r="I818" s="17">
        <f t="shared" si="3"/>
        <v>9767154.4715447146</v>
      </c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spans="1:24">
      <c r="A819" s="151" t="s">
        <v>3628</v>
      </c>
      <c r="B819" s="17" t="s">
        <v>3629</v>
      </c>
      <c r="C819" s="211">
        <v>530135</v>
      </c>
      <c r="D819" s="151" t="s">
        <v>3630</v>
      </c>
      <c r="E819" s="211">
        <v>349.1</v>
      </c>
      <c r="F819" s="151" t="s">
        <v>1912</v>
      </c>
      <c r="G819" s="151" t="s">
        <v>1913</v>
      </c>
      <c r="H819" s="211">
        <v>2997.3</v>
      </c>
      <c r="I819" s="17">
        <f t="shared" si="3"/>
        <v>85857920.366657108</v>
      </c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spans="1:24">
      <c r="A820" s="151" t="s">
        <v>3631</v>
      </c>
      <c r="B820" s="17" t="s">
        <v>3632</v>
      </c>
      <c r="C820" s="211">
        <v>531761</v>
      </c>
      <c r="D820" s="151" t="s">
        <v>3633</v>
      </c>
      <c r="E820" s="211">
        <v>679.6</v>
      </c>
      <c r="F820" s="151" t="s">
        <v>1546</v>
      </c>
      <c r="G820" s="151" t="s">
        <v>1141</v>
      </c>
      <c r="H820" s="211">
        <v>2993.7</v>
      </c>
      <c r="I820" s="17">
        <f t="shared" si="3"/>
        <v>44050912.301353738</v>
      </c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spans="1:24">
      <c r="A821" s="151" t="s">
        <v>3634</v>
      </c>
      <c r="B821" s="17" t="s">
        <v>3635</v>
      </c>
      <c r="C821" s="211">
        <v>543591</v>
      </c>
      <c r="D821" s="151" t="s">
        <v>3636</v>
      </c>
      <c r="E821" s="211">
        <v>562.6</v>
      </c>
      <c r="F821" s="151" t="s">
        <v>1559</v>
      </c>
      <c r="G821" s="151" t="s">
        <v>1139</v>
      </c>
      <c r="H821" s="211">
        <v>2983.5</v>
      </c>
      <c r="I821" s="17">
        <f t="shared" si="3"/>
        <v>53030572.342694633</v>
      </c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spans="1:24">
      <c r="A822" s="151" t="s">
        <v>3637</v>
      </c>
      <c r="B822" s="17" t="s">
        <v>3638</v>
      </c>
      <c r="C822" s="211">
        <v>506690</v>
      </c>
      <c r="D822" s="151" t="s">
        <v>3639</v>
      </c>
      <c r="E822" s="211">
        <v>423</v>
      </c>
      <c r="F822" s="151" t="s">
        <v>694</v>
      </c>
      <c r="G822" s="151" t="s">
        <v>1224</v>
      </c>
      <c r="H822" s="211">
        <v>2978.5</v>
      </c>
      <c r="I822" s="17">
        <f t="shared" si="3"/>
        <v>70413711.583924353</v>
      </c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spans="1:24">
      <c r="A823" s="151" t="s">
        <v>3640</v>
      </c>
      <c r="B823" s="17" t="s">
        <v>3641</v>
      </c>
      <c r="C823" s="211">
        <v>531548</v>
      </c>
      <c r="D823" s="151" t="s">
        <v>3642</v>
      </c>
      <c r="E823" s="211">
        <v>700.2</v>
      </c>
      <c r="F823" s="151" t="s">
        <v>1220</v>
      </c>
      <c r="G823" s="151" t="s">
        <v>1139</v>
      </c>
      <c r="H823" s="211">
        <v>2974</v>
      </c>
      <c r="I823" s="17">
        <f t="shared" si="3"/>
        <v>42473578.977435015</v>
      </c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spans="1:24">
      <c r="A824" s="151" t="s">
        <v>3643</v>
      </c>
      <c r="B824" s="17" t="s">
        <v>3644</v>
      </c>
      <c r="C824" s="211">
        <v>543985</v>
      </c>
      <c r="D824" s="151" t="s">
        <v>3645</v>
      </c>
      <c r="E824" s="211">
        <v>243.6</v>
      </c>
      <c r="F824" s="151" t="s">
        <v>2491</v>
      </c>
      <c r="G824" s="151" t="s">
        <v>1143</v>
      </c>
      <c r="H824" s="211">
        <v>2973.7</v>
      </c>
      <c r="I824" s="17">
        <f t="shared" si="3"/>
        <v>122073070.60755336</v>
      </c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spans="1:24">
      <c r="A825" s="151" t="s">
        <v>3646</v>
      </c>
      <c r="B825" s="17" t="s">
        <v>3647</v>
      </c>
      <c r="C825" s="211">
        <v>524372</v>
      </c>
      <c r="D825" s="151" t="s">
        <v>3648</v>
      </c>
      <c r="E825" s="211">
        <v>582.20000000000005</v>
      </c>
      <c r="F825" s="151" t="s">
        <v>694</v>
      </c>
      <c r="G825" s="151" t="s">
        <v>1224</v>
      </c>
      <c r="H825" s="211">
        <v>2953.1</v>
      </c>
      <c r="I825" s="17">
        <f t="shared" si="3"/>
        <v>50723119.203023009</v>
      </c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spans="1:24">
      <c r="A826" s="151" t="s">
        <v>3649</v>
      </c>
      <c r="B826" s="17" t="s">
        <v>3650</v>
      </c>
      <c r="C826" s="211">
        <v>505710</v>
      </c>
      <c r="D826" s="151" t="s">
        <v>3651</v>
      </c>
      <c r="E826" s="211">
        <v>130.1</v>
      </c>
      <c r="F826" s="151" t="s">
        <v>1840</v>
      </c>
      <c r="G826" s="151" t="s">
        <v>1335</v>
      </c>
      <c r="H826" s="211">
        <v>2949.4</v>
      </c>
      <c r="I826" s="17">
        <f t="shared" si="3"/>
        <v>226702536.51037663</v>
      </c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spans="1:24">
      <c r="A827" s="151" t="s">
        <v>3652</v>
      </c>
      <c r="B827" s="17" t="s">
        <v>3653</v>
      </c>
      <c r="C827" s="211">
        <v>542851</v>
      </c>
      <c r="D827" s="151" t="s">
        <v>3654</v>
      </c>
      <c r="E827" s="211">
        <v>779.8</v>
      </c>
      <c r="F827" s="151" t="s">
        <v>1190</v>
      </c>
      <c r="G827" s="151" t="s">
        <v>1138</v>
      </c>
      <c r="H827" s="211">
        <v>2921.7</v>
      </c>
      <c r="I827" s="17">
        <f t="shared" si="3"/>
        <v>37467299.307514749</v>
      </c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spans="1:24">
      <c r="A828" s="151" t="s">
        <v>3655</v>
      </c>
      <c r="B828" s="17" t="s">
        <v>3656</v>
      </c>
      <c r="C828" s="211">
        <v>533080</v>
      </c>
      <c r="D828" s="151" t="s">
        <v>3657</v>
      </c>
      <c r="E828" s="211">
        <v>874.4</v>
      </c>
      <c r="F828" s="151" t="s">
        <v>2950</v>
      </c>
      <c r="G828" s="151" t="s">
        <v>1229</v>
      </c>
      <c r="H828" s="211">
        <v>2899.8</v>
      </c>
      <c r="I828" s="17">
        <f t="shared" si="3"/>
        <v>33163311.98536139</v>
      </c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spans="1:24">
      <c r="A829" s="151" t="s">
        <v>3658</v>
      </c>
      <c r="B829" s="17" t="s">
        <v>44</v>
      </c>
      <c r="C829" s="211">
        <v>533047</v>
      </c>
      <c r="D829" s="151" t="s">
        <v>3659</v>
      </c>
      <c r="E829" s="211">
        <v>532.4</v>
      </c>
      <c r="F829" s="151" t="s">
        <v>1272</v>
      </c>
      <c r="G829" s="151" t="s">
        <v>1142</v>
      </c>
      <c r="H829" s="211">
        <v>2872.5</v>
      </c>
      <c r="I829" s="17">
        <f t="shared" si="3"/>
        <v>53953794.139744557</v>
      </c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spans="1:24">
      <c r="A830" s="151" t="s">
        <v>3660</v>
      </c>
      <c r="B830" s="17" t="s">
        <v>3661</v>
      </c>
      <c r="C830" s="211">
        <v>532479</v>
      </c>
      <c r="D830" s="151" t="s">
        <v>3662</v>
      </c>
      <c r="E830" s="211">
        <v>95.1</v>
      </c>
      <c r="F830" s="151" t="s">
        <v>1272</v>
      </c>
      <c r="G830" s="151" t="s">
        <v>1142</v>
      </c>
      <c r="H830" s="211">
        <v>2857.8</v>
      </c>
      <c r="I830" s="17">
        <f t="shared" si="3"/>
        <v>300504731.86119878</v>
      </c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spans="1:24">
      <c r="A831" s="151" t="s">
        <v>3663</v>
      </c>
      <c r="B831" s="17" t="s">
        <v>3664</v>
      </c>
      <c r="C831" s="211">
        <v>517168</v>
      </c>
      <c r="D831" s="151" t="s">
        <v>3665</v>
      </c>
      <c r="E831" s="211">
        <v>438</v>
      </c>
      <c r="F831" s="151" t="s">
        <v>1507</v>
      </c>
      <c r="G831" s="151" t="s">
        <v>1211</v>
      </c>
      <c r="H831" s="211">
        <v>2857.3</v>
      </c>
      <c r="I831" s="17">
        <f t="shared" si="3"/>
        <v>65235159.817351595</v>
      </c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spans="1:24">
      <c r="A832" s="151" t="s">
        <v>3666</v>
      </c>
      <c r="B832" s="17" t="s">
        <v>207</v>
      </c>
      <c r="C832" s="211">
        <v>506022</v>
      </c>
      <c r="D832" s="151" t="s">
        <v>3667</v>
      </c>
      <c r="E832" s="211">
        <v>158</v>
      </c>
      <c r="F832" s="151" t="s">
        <v>1272</v>
      </c>
      <c r="G832" s="151" t="s">
        <v>1142</v>
      </c>
      <c r="H832" s="211">
        <v>2828.6</v>
      </c>
      <c r="I832" s="17">
        <f t="shared" si="3"/>
        <v>179025316.4556962</v>
      </c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spans="1:24">
      <c r="A833" s="151" t="s">
        <v>3668</v>
      </c>
      <c r="B833" s="17" t="s">
        <v>19</v>
      </c>
      <c r="C833" s="211">
        <v>523319</v>
      </c>
      <c r="D833" s="151" t="s">
        <v>3669</v>
      </c>
      <c r="E833" s="211">
        <v>164.6</v>
      </c>
      <c r="F833" s="151" t="s">
        <v>2950</v>
      </c>
      <c r="G833" s="151" t="s">
        <v>1229</v>
      </c>
      <c r="H833" s="211">
        <v>2815.6</v>
      </c>
      <c r="I833" s="17">
        <f t="shared" si="3"/>
        <v>171057108.14094776</v>
      </c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spans="1:24">
      <c r="A834" s="151" t="s">
        <v>3670</v>
      </c>
      <c r="B834" s="17" t="s">
        <v>3671</v>
      </c>
      <c r="C834" s="211">
        <v>505412</v>
      </c>
      <c r="D834" s="151" t="s">
        <v>3672</v>
      </c>
      <c r="E834" s="211">
        <v>14000.2</v>
      </c>
      <c r="F834" s="151" t="s">
        <v>1587</v>
      </c>
      <c r="G834" s="151" t="s">
        <v>1141</v>
      </c>
      <c r="H834" s="211">
        <v>2800</v>
      </c>
      <c r="I834" s="17">
        <f t="shared" si="3"/>
        <v>1999971.4289795859</v>
      </c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spans="1:24">
      <c r="A835" s="151" t="s">
        <v>3673</v>
      </c>
      <c r="B835" s="17" t="s">
        <v>3674</v>
      </c>
      <c r="C835" s="211">
        <v>523261</v>
      </c>
      <c r="D835" s="151" t="s">
        <v>3675</v>
      </c>
      <c r="E835" s="211">
        <v>1985</v>
      </c>
      <c r="F835" s="151" t="s">
        <v>1255</v>
      </c>
      <c r="G835" s="151" t="s">
        <v>1173</v>
      </c>
      <c r="H835" s="211">
        <v>2796.3</v>
      </c>
      <c r="I835" s="17">
        <f t="shared" si="3"/>
        <v>14087153.652392946</v>
      </c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spans="1:24">
      <c r="A836" s="151" t="s">
        <v>3676</v>
      </c>
      <c r="B836" s="17" t="s">
        <v>3677</v>
      </c>
      <c r="C836" s="211">
        <v>540544</v>
      </c>
      <c r="D836" s="151" t="s">
        <v>3678</v>
      </c>
      <c r="E836" s="211">
        <v>775.8</v>
      </c>
      <c r="F836" s="151" t="s">
        <v>1190</v>
      </c>
      <c r="G836" s="151" t="s">
        <v>1138</v>
      </c>
      <c r="H836" s="211">
        <v>2792.7</v>
      </c>
      <c r="I836" s="17">
        <f t="shared" si="3"/>
        <v>35997679.814385153</v>
      </c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spans="1:24">
      <c r="A837" s="151" t="s">
        <v>3679</v>
      </c>
      <c r="B837" s="17" t="s">
        <v>18</v>
      </c>
      <c r="C837" s="211">
        <v>526829</v>
      </c>
      <c r="D837" s="151" t="s">
        <v>3680</v>
      </c>
      <c r="E837" s="211">
        <v>96.8</v>
      </c>
      <c r="F837" s="151" t="s">
        <v>1300</v>
      </c>
      <c r="G837" s="151" t="s">
        <v>1158</v>
      </c>
      <c r="H837" s="211">
        <v>2785.2</v>
      </c>
      <c r="I837" s="17">
        <f t="shared" si="3"/>
        <v>287727272.72727275</v>
      </c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spans="1:24">
      <c r="A838" s="151" t="s">
        <v>3681</v>
      </c>
      <c r="B838" s="17" t="s">
        <v>3682</v>
      </c>
      <c r="C838" s="211">
        <v>543367</v>
      </c>
      <c r="D838" s="151" t="s">
        <v>3683</v>
      </c>
      <c r="E838" s="211">
        <v>712.3</v>
      </c>
      <c r="F838" s="151" t="s">
        <v>1293</v>
      </c>
      <c r="G838" s="151" t="s">
        <v>1141</v>
      </c>
      <c r="H838" s="211">
        <v>2778</v>
      </c>
      <c r="I838" s="17">
        <f t="shared" si="3"/>
        <v>39000421.170854978</v>
      </c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spans="1:24">
      <c r="A839" s="151" t="s">
        <v>3684</v>
      </c>
      <c r="B839" s="17" t="s">
        <v>3685</v>
      </c>
      <c r="C839" s="211">
        <v>500227</v>
      </c>
      <c r="D839" s="151" t="s">
        <v>3686</v>
      </c>
      <c r="E839" s="211">
        <v>633.20000000000005</v>
      </c>
      <c r="F839" s="151" t="s">
        <v>2950</v>
      </c>
      <c r="G839" s="151" t="s">
        <v>1229</v>
      </c>
      <c r="H839" s="211">
        <v>2772.6</v>
      </c>
      <c r="I839" s="17">
        <f t="shared" si="3"/>
        <v>43787113.076437138</v>
      </c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spans="1:24">
      <c r="A840" s="151" t="s">
        <v>3687</v>
      </c>
      <c r="B840" s="17" t="s">
        <v>3688</v>
      </c>
      <c r="C840" s="211">
        <v>524019</v>
      </c>
      <c r="D840" s="151" t="s">
        <v>3689</v>
      </c>
      <c r="E840" s="211">
        <v>2271</v>
      </c>
      <c r="F840" s="151" t="s">
        <v>1546</v>
      </c>
      <c r="G840" s="151" t="s">
        <v>1141</v>
      </c>
      <c r="H840" s="211">
        <v>2750.3</v>
      </c>
      <c r="I840" s="17">
        <f t="shared" si="3"/>
        <v>12110523.998238662</v>
      </c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spans="1:24">
      <c r="A841" s="151" t="s">
        <v>3690</v>
      </c>
      <c r="B841" s="17" t="s">
        <v>237</v>
      </c>
      <c r="C841" s="211">
        <v>530367</v>
      </c>
      <c r="D841" s="151" t="s">
        <v>3691</v>
      </c>
      <c r="E841" s="211">
        <v>281.8</v>
      </c>
      <c r="F841" s="151" t="s">
        <v>1577</v>
      </c>
      <c r="G841" s="151" t="s">
        <v>1141</v>
      </c>
      <c r="H841" s="211">
        <v>2731.3</v>
      </c>
      <c r="I841" s="17">
        <f t="shared" si="3"/>
        <v>96923349.893541515</v>
      </c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spans="1:24">
      <c r="A842" s="151" t="s">
        <v>3692</v>
      </c>
      <c r="B842" s="17" t="s">
        <v>3693</v>
      </c>
      <c r="C842" s="211">
        <v>534804</v>
      </c>
      <c r="D842" s="151" t="s">
        <v>3694</v>
      </c>
      <c r="E842" s="211">
        <v>915</v>
      </c>
      <c r="F842" s="151" t="s">
        <v>1831</v>
      </c>
      <c r="G842" s="151" t="s">
        <v>1137</v>
      </c>
      <c r="H842" s="211">
        <v>2724.2</v>
      </c>
      <c r="I842" s="17">
        <f t="shared" si="3"/>
        <v>29772677.595628414</v>
      </c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spans="1:24">
      <c r="A843" s="151" t="s">
        <v>3695</v>
      </c>
      <c r="B843" s="17" t="s">
        <v>3696</v>
      </c>
      <c r="C843" s="211">
        <v>532928</v>
      </c>
      <c r="D843" s="151" t="s">
        <v>3697</v>
      </c>
      <c r="E843" s="211">
        <v>190.8</v>
      </c>
      <c r="F843" s="151" t="s">
        <v>1323</v>
      </c>
      <c r="G843" s="151" t="s">
        <v>1141</v>
      </c>
      <c r="H843" s="211">
        <v>2720.8</v>
      </c>
      <c r="I843" s="17">
        <f t="shared" si="3"/>
        <v>142599580.71278825</v>
      </c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spans="1:24">
      <c r="A844" s="151" t="s">
        <v>3698</v>
      </c>
      <c r="B844" s="17" t="s">
        <v>3699</v>
      </c>
      <c r="C844" s="211">
        <v>532808</v>
      </c>
      <c r="D844" s="151" t="s">
        <v>3700</v>
      </c>
      <c r="E844" s="211">
        <v>1249</v>
      </c>
      <c r="F844" s="151" t="s">
        <v>1710</v>
      </c>
      <c r="G844" s="151" t="s">
        <v>1216</v>
      </c>
      <c r="H844" s="211">
        <v>2719.8</v>
      </c>
      <c r="I844" s="17">
        <f t="shared" si="3"/>
        <v>21775820.656525221</v>
      </c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spans="1:24">
      <c r="A845" s="151" t="s">
        <v>3701</v>
      </c>
      <c r="B845" s="17" t="s">
        <v>3702</v>
      </c>
      <c r="C845" s="211">
        <v>517015</v>
      </c>
      <c r="D845" s="151" t="s">
        <v>3703</v>
      </c>
      <c r="E845" s="211">
        <v>2294.1999999999998</v>
      </c>
      <c r="F845" s="151" t="s">
        <v>2556</v>
      </c>
      <c r="G845" s="151" t="s">
        <v>1913</v>
      </c>
      <c r="H845" s="211">
        <v>2718.8</v>
      </c>
      <c r="I845" s="17">
        <f t="shared" si="3"/>
        <v>11850754.075494727</v>
      </c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spans="1:24">
      <c r="A846" s="151" t="s">
        <v>3704</v>
      </c>
      <c r="B846" s="17" t="s">
        <v>3705</v>
      </c>
      <c r="C846" s="211">
        <v>523694</v>
      </c>
      <c r="D846" s="151" t="s">
        <v>3706</v>
      </c>
      <c r="E846" s="211">
        <v>522.6</v>
      </c>
      <c r="F846" s="151" t="s">
        <v>1783</v>
      </c>
      <c r="G846" s="151" t="s">
        <v>1141</v>
      </c>
      <c r="H846" s="211">
        <v>2709.7</v>
      </c>
      <c r="I846" s="17">
        <f t="shared" si="3"/>
        <v>51850363.566781476</v>
      </c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spans="1:24">
      <c r="A847" s="151" t="s">
        <v>3707</v>
      </c>
      <c r="B847" s="17" t="s">
        <v>3708</v>
      </c>
      <c r="C847" s="211">
        <v>532945</v>
      </c>
      <c r="D847" s="151" t="s">
        <v>3709</v>
      </c>
      <c r="E847" s="211">
        <v>19.2</v>
      </c>
      <c r="F847" s="151" t="s">
        <v>1190</v>
      </c>
      <c r="G847" s="151" t="s">
        <v>1138</v>
      </c>
      <c r="H847" s="211">
        <v>2699.2</v>
      </c>
      <c r="I847" s="17">
        <f t="shared" si="3"/>
        <v>1405833333.3333335</v>
      </c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spans="1:24">
      <c r="A848" s="151" t="s">
        <v>3710</v>
      </c>
      <c r="B848" s="17" t="s">
        <v>54</v>
      </c>
      <c r="C848" s="211">
        <v>500407</v>
      </c>
      <c r="D848" s="151" t="s">
        <v>3711</v>
      </c>
      <c r="E848" s="211">
        <v>2207</v>
      </c>
      <c r="F848" s="151" t="s">
        <v>1507</v>
      </c>
      <c r="G848" s="151" t="s">
        <v>1211</v>
      </c>
      <c r="H848" s="211">
        <v>2680.7</v>
      </c>
      <c r="I848" s="17">
        <f t="shared" si="3"/>
        <v>12146352.514725871</v>
      </c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spans="1:24">
      <c r="A849" s="151" t="s">
        <v>3712</v>
      </c>
      <c r="B849" s="17" t="s">
        <v>3713</v>
      </c>
      <c r="C849" s="211">
        <v>544029</v>
      </c>
      <c r="D849" s="151" t="s">
        <v>3714</v>
      </c>
      <c r="E849" s="211">
        <v>272.60000000000002</v>
      </c>
      <c r="F849" s="151" t="s">
        <v>1157</v>
      </c>
      <c r="G849" s="151" t="s">
        <v>1158</v>
      </c>
      <c r="H849" s="211">
        <v>2667.4</v>
      </c>
      <c r="I849" s="17">
        <f t="shared" si="3"/>
        <v>97850330.154071897</v>
      </c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spans="1:24">
      <c r="A850" s="151" t="s">
        <v>3715</v>
      </c>
      <c r="B850" s="17" t="s">
        <v>3716</v>
      </c>
      <c r="C850" s="211">
        <v>543983</v>
      </c>
      <c r="D850" s="151" t="s">
        <v>3717</v>
      </c>
      <c r="E850" s="211">
        <v>479.8</v>
      </c>
      <c r="F850" s="151" t="s">
        <v>1410</v>
      </c>
      <c r="G850" s="151" t="s">
        <v>1144</v>
      </c>
      <c r="H850" s="211">
        <v>2664.1</v>
      </c>
      <c r="I850" s="17">
        <f t="shared" si="3"/>
        <v>55525218.841183826</v>
      </c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spans="1:24">
      <c r="A851" s="151" t="s">
        <v>3718</v>
      </c>
      <c r="B851" s="17" t="s">
        <v>3719</v>
      </c>
      <c r="C851" s="211">
        <v>543283</v>
      </c>
      <c r="D851" s="151" t="s">
        <v>3720</v>
      </c>
      <c r="E851" s="211">
        <v>682.2</v>
      </c>
      <c r="F851" s="151" t="s">
        <v>1752</v>
      </c>
      <c r="G851" s="151" t="s">
        <v>1533</v>
      </c>
      <c r="H851" s="211">
        <v>2663.6</v>
      </c>
      <c r="I851" s="17">
        <f t="shared" si="3"/>
        <v>39044268.542949282</v>
      </c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spans="1:24">
      <c r="A852" s="151" t="s">
        <v>3721</v>
      </c>
      <c r="B852" s="17" t="s">
        <v>3722</v>
      </c>
      <c r="C852" s="211">
        <v>524164</v>
      </c>
      <c r="D852" s="151" t="s">
        <v>3723</v>
      </c>
      <c r="E852" s="211">
        <v>453.4</v>
      </c>
      <c r="F852" s="151" t="s">
        <v>694</v>
      </c>
      <c r="G852" s="151" t="s">
        <v>1224</v>
      </c>
      <c r="H852" s="211">
        <v>2661.4</v>
      </c>
      <c r="I852" s="17">
        <f t="shared" si="3"/>
        <v>58698720.776356421</v>
      </c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spans="1:24">
      <c r="A853" s="151" t="s">
        <v>3724</v>
      </c>
      <c r="B853" s="17" t="s">
        <v>3725</v>
      </c>
      <c r="C853" s="211">
        <v>532796</v>
      </c>
      <c r="D853" s="151" t="s">
        <v>3726</v>
      </c>
      <c r="E853" s="211">
        <v>389.6</v>
      </c>
      <c r="F853" s="151" t="s">
        <v>1507</v>
      </c>
      <c r="G853" s="151" t="s">
        <v>1211</v>
      </c>
      <c r="H853" s="211">
        <v>2655.4</v>
      </c>
      <c r="I853" s="17">
        <f t="shared" si="3"/>
        <v>68157084.188911706</v>
      </c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spans="1:24">
      <c r="A854" s="151" t="s">
        <v>3727</v>
      </c>
      <c r="B854" s="17" t="s">
        <v>3728</v>
      </c>
      <c r="C854" s="211">
        <v>540768</v>
      </c>
      <c r="D854" s="151" t="s">
        <v>3729</v>
      </c>
      <c r="E854" s="211">
        <v>367.8</v>
      </c>
      <c r="F854" s="151" t="s">
        <v>1858</v>
      </c>
      <c r="G854" s="151" t="s">
        <v>1280</v>
      </c>
      <c r="H854" s="211">
        <v>2649.9</v>
      </c>
      <c r="I854" s="17">
        <f t="shared" si="3"/>
        <v>72047308.319738984</v>
      </c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spans="1:24">
      <c r="A855" s="151" t="s">
        <v>3730</v>
      </c>
      <c r="B855" s="17" t="s">
        <v>492</v>
      </c>
      <c r="C855" s="211">
        <v>506480</v>
      </c>
      <c r="D855" s="151" t="s">
        <v>3731</v>
      </c>
      <c r="E855" s="211">
        <v>534.5</v>
      </c>
      <c r="F855" s="151" t="s">
        <v>1300</v>
      </c>
      <c r="G855" s="151" t="s">
        <v>1158</v>
      </c>
      <c r="H855" s="211">
        <v>2649.7</v>
      </c>
      <c r="I855" s="17">
        <f t="shared" si="3"/>
        <v>49573433.115060806</v>
      </c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spans="1:24">
      <c r="A856" s="151" t="s">
        <v>3732</v>
      </c>
      <c r="B856" s="17" t="s">
        <v>3733</v>
      </c>
      <c r="C856" s="211">
        <v>523716</v>
      </c>
      <c r="D856" s="151" t="s">
        <v>3734</v>
      </c>
      <c r="E856" s="211">
        <v>263.2</v>
      </c>
      <c r="F856" s="151" t="s">
        <v>1307</v>
      </c>
      <c r="G856" s="151" t="s">
        <v>1307</v>
      </c>
      <c r="H856" s="211">
        <v>2646.3</v>
      </c>
      <c r="I856" s="17">
        <f t="shared" si="3"/>
        <v>100543313.06990881</v>
      </c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spans="1:24">
      <c r="A857" s="151" t="s">
        <v>3735</v>
      </c>
      <c r="B857" s="17" t="s">
        <v>3736</v>
      </c>
      <c r="C857" s="211">
        <v>543923</v>
      </c>
      <c r="D857" s="151" t="s">
        <v>3737</v>
      </c>
      <c r="E857" s="211">
        <v>342</v>
      </c>
      <c r="F857" s="151" t="s">
        <v>1770</v>
      </c>
      <c r="G857" s="151" t="s">
        <v>1441</v>
      </c>
      <c r="H857" s="211">
        <v>2643.4</v>
      </c>
      <c r="I857" s="17">
        <f t="shared" si="3"/>
        <v>77292397.660818711</v>
      </c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spans="1:24">
      <c r="A858" s="151" t="s">
        <v>3738</v>
      </c>
      <c r="B858" s="17" t="s">
        <v>3739</v>
      </c>
      <c r="C858" s="211">
        <v>543528</v>
      </c>
      <c r="D858" s="151" t="s">
        <v>3740</v>
      </c>
      <c r="E858" s="211">
        <v>1299</v>
      </c>
      <c r="F858" s="151" t="s">
        <v>1675</v>
      </c>
      <c r="G858" s="151" t="s">
        <v>1142</v>
      </c>
      <c r="H858" s="211">
        <v>2636.5</v>
      </c>
      <c r="I858" s="17">
        <f t="shared" si="3"/>
        <v>20296381.8321786</v>
      </c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spans="1:24">
      <c r="A859" s="151" t="s">
        <v>3741</v>
      </c>
      <c r="B859" s="17" t="s">
        <v>208</v>
      </c>
      <c r="C859" s="211">
        <v>538562</v>
      </c>
      <c r="D859" s="151" t="s">
        <v>3742</v>
      </c>
      <c r="E859" s="211">
        <v>256.8</v>
      </c>
      <c r="F859" s="151" t="s">
        <v>1190</v>
      </c>
      <c r="G859" s="151" t="s">
        <v>1138</v>
      </c>
      <c r="H859" s="211">
        <v>2636.1</v>
      </c>
      <c r="I859" s="17">
        <f t="shared" si="3"/>
        <v>102651869.15887851</v>
      </c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spans="1:24">
      <c r="A860" s="151" t="s">
        <v>3743</v>
      </c>
      <c r="B860" s="17" t="s">
        <v>3744</v>
      </c>
      <c r="C860" s="211">
        <v>532768</v>
      </c>
      <c r="D860" s="151" t="s">
        <v>3745</v>
      </c>
      <c r="E860" s="211">
        <v>1992.1</v>
      </c>
      <c r="F860" s="151" t="s">
        <v>1507</v>
      </c>
      <c r="G860" s="151" t="s">
        <v>1211</v>
      </c>
      <c r="H860" s="211">
        <v>2621.6</v>
      </c>
      <c r="I860" s="17">
        <f t="shared" si="3"/>
        <v>13159981.928618042</v>
      </c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spans="1:24">
      <c r="A861" s="151" t="s">
        <v>3746</v>
      </c>
      <c r="B861" s="17" t="s">
        <v>3747</v>
      </c>
      <c r="C861" s="211">
        <v>506854</v>
      </c>
      <c r="D861" s="151" t="s">
        <v>3748</v>
      </c>
      <c r="E861" s="211">
        <v>2605</v>
      </c>
      <c r="F861" s="151" t="s">
        <v>1840</v>
      </c>
      <c r="G861" s="151" t="s">
        <v>1335</v>
      </c>
      <c r="H861" s="211">
        <v>2598.5</v>
      </c>
      <c r="I861" s="17">
        <f t="shared" si="3"/>
        <v>9975047.984644914</v>
      </c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spans="1:24">
      <c r="A862" s="151" t="s">
        <v>3749</v>
      </c>
      <c r="B862" s="17" t="s">
        <v>3750</v>
      </c>
      <c r="C862" s="211">
        <v>543974</v>
      </c>
      <c r="D862" s="151" t="s">
        <v>3751</v>
      </c>
      <c r="E862" s="211">
        <v>207.6</v>
      </c>
      <c r="F862" s="151" t="s">
        <v>1190</v>
      </c>
      <c r="G862" s="151" t="s">
        <v>1138</v>
      </c>
      <c r="H862" s="211">
        <v>2587</v>
      </c>
      <c r="I862" s="17">
        <f t="shared" si="3"/>
        <v>124614643.54527938</v>
      </c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spans="1:24">
      <c r="A863" s="151" t="s">
        <v>3752</v>
      </c>
      <c r="B863" s="17" t="s">
        <v>3753</v>
      </c>
      <c r="C863" s="211">
        <v>539889</v>
      </c>
      <c r="D863" s="151" t="s">
        <v>3754</v>
      </c>
      <c r="E863" s="211">
        <v>220</v>
      </c>
      <c r="F863" s="151" t="s">
        <v>1255</v>
      </c>
      <c r="G863" s="151" t="s">
        <v>1173</v>
      </c>
      <c r="H863" s="211">
        <v>2582.9</v>
      </c>
      <c r="I863" s="17">
        <f t="shared" si="3"/>
        <v>117404545.45454545</v>
      </c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spans="1:24">
      <c r="A864" s="151" t="s">
        <v>3755</v>
      </c>
      <c r="B864" s="17" t="s">
        <v>3756</v>
      </c>
      <c r="C864" s="211">
        <v>500460</v>
      </c>
      <c r="D864" s="151" t="s">
        <v>3757</v>
      </c>
      <c r="E864" s="211">
        <v>178.6</v>
      </c>
      <c r="F864" s="151" t="s">
        <v>1272</v>
      </c>
      <c r="G864" s="151" t="s">
        <v>1142</v>
      </c>
      <c r="H864" s="211">
        <v>2580.6999999999998</v>
      </c>
      <c r="I864" s="17">
        <f t="shared" si="3"/>
        <v>144496080.62709966</v>
      </c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spans="1:24">
      <c r="A865" s="151" t="s">
        <v>3758</v>
      </c>
      <c r="B865" s="17" t="s">
        <v>3759</v>
      </c>
      <c r="C865" s="211">
        <v>533137</v>
      </c>
      <c r="D865" s="151" t="s">
        <v>3760</v>
      </c>
      <c r="E865" s="211">
        <v>54</v>
      </c>
      <c r="F865" s="151" t="s">
        <v>1907</v>
      </c>
      <c r="G865" s="151" t="s">
        <v>1908</v>
      </c>
      <c r="H865" s="211">
        <v>2577</v>
      </c>
      <c r="I865" s="17">
        <f t="shared" si="3"/>
        <v>477222222.22222221</v>
      </c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spans="1:24">
      <c r="A866" s="151" t="s">
        <v>3761</v>
      </c>
      <c r="B866" s="17" t="s">
        <v>3762</v>
      </c>
      <c r="C866" s="211">
        <v>540701</v>
      </c>
      <c r="D866" s="151" t="s">
        <v>3763</v>
      </c>
      <c r="E866" s="211">
        <v>163.69999999999999</v>
      </c>
      <c r="F866" s="151" t="s">
        <v>694</v>
      </c>
      <c r="G866" s="151" t="s">
        <v>1224</v>
      </c>
      <c r="H866" s="211">
        <v>2566.5</v>
      </c>
      <c r="I866" s="17">
        <f t="shared" si="3"/>
        <v>156780696.39584607</v>
      </c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spans="1:24">
      <c r="A867" s="151" t="s">
        <v>3764</v>
      </c>
      <c r="B867" s="17" t="s">
        <v>3765</v>
      </c>
      <c r="C867" s="211">
        <v>543490</v>
      </c>
      <c r="D867" s="151" t="s">
        <v>3766</v>
      </c>
      <c r="E867" s="211">
        <v>42.5</v>
      </c>
      <c r="F867" s="151" t="s">
        <v>1242</v>
      </c>
      <c r="G867" s="151" t="s">
        <v>1144</v>
      </c>
      <c r="H867" s="211">
        <v>2565.3000000000002</v>
      </c>
      <c r="I867" s="17">
        <f t="shared" si="3"/>
        <v>603600000</v>
      </c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spans="1:24">
      <c r="A868" s="151" t="s">
        <v>3767</v>
      </c>
      <c r="B868" s="17" t="s">
        <v>3768</v>
      </c>
      <c r="C868" s="211">
        <v>524091</v>
      </c>
      <c r="D868" s="151" t="s">
        <v>3769</v>
      </c>
      <c r="E868" s="211">
        <v>954.2</v>
      </c>
      <c r="F868" s="151" t="s">
        <v>2150</v>
      </c>
      <c r="G868" s="151" t="s">
        <v>1441</v>
      </c>
      <c r="H868" s="211">
        <v>2558.6</v>
      </c>
      <c r="I868" s="17">
        <f t="shared" si="3"/>
        <v>26814085.097463842</v>
      </c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spans="1:24">
      <c r="A869" s="151" t="s">
        <v>3770</v>
      </c>
      <c r="B869" s="17" t="s">
        <v>591</v>
      </c>
      <c r="C869" s="211">
        <v>542460</v>
      </c>
      <c r="D869" s="151" t="s">
        <v>3771</v>
      </c>
      <c r="E869" s="211">
        <v>2573.6</v>
      </c>
      <c r="F869" s="151" t="s">
        <v>1587</v>
      </c>
      <c r="G869" s="151" t="s">
        <v>1141</v>
      </c>
      <c r="H869" s="211">
        <v>2550.8000000000002</v>
      </c>
      <c r="I869" s="17">
        <f t="shared" si="3"/>
        <v>9911408.1442337576</v>
      </c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spans="1:24">
      <c r="A870" s="151" t="s">
        <v>3772</v>
      </c>
      <c r="B870" s="17" t="s">
        <v>157</v>
      </c>
      <c r="C870" s="211">
        <v>517206</v>
      </c>
      <c r="D870" s="151" t="s">
        <v>3773</v>
      </c>
      <c r="E870" s="211">
        <v>2725.8</v>
      </c>
      <c r="F870" s="151" t="s">
        <v>1507</v>
      </c>
      <c r="G870" s="151" t="s">
        <v>1211</v>
      </c>
      <c r="H870" s="211">
        <v>2548</v>
      </c>
      <c r="I870" s="17">
        <f t="shared" si="3"/>
        <v>9347714.4324601945</v>
      </c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spans="1:24">
      <c r="A871" s="151" t="s">
        <v>3774</v>
      </c>
      <c r="B871" s="17" t="s">
        <v>672</v>
      </c>
      <c r="C871" s="211">
        <v>535322</v>
      </c>
      <c r="D871" s="151" t="s">
        <v>3775</v>
      </c>
      <c r="E871" s="211">
        <v>406.5</v>
      </c>
      <c r="F871" s="151" t="s">
        <v>1886</v>
      </c>
      <c r="G871" s="151" t="s">
        <v>1137</v>
      </c>
      <c r="H871" s="211">
        <v>2543.1</v>
      </c>
      <c r="I871" s="17">
        <f t="shared" si="3"/>
        <v>62560885.608856089</v>
      </c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spans="1:24">
      <c r="A872" s="151" t="s">
        <v>3776</v>
      </c>
      <c r="B872" s="17" t="s">
        <v>646</v>
      </c>
      <c r="C872" s="211">
        <v>506222</v>
      </c>
      <c r="D872" s="151" t="s">
        <v>3777</v>
      </c>
      <c r="E872" s="211">
        <v>1446</v>
      </c>
      <c r="F872" s="151" t="s">
        <v>1334</v>
      </c>
      <c r="G872" s="151" t="s">
        <v>1335</v>
      </c>
      <c r="H872" s="211">
        <v>2542.9</v>
      </c>
      <c r="I872" s="17">
        <f t="shared" si="3"/>
        <v>17585753.803596128</v>
      </c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spans="1:24">
      <c r="A873" s="151" t="s">
        <v>3778</v>
      </c>
      <c r="B873" s="17" t="s">
        <v>46</v>
      </c>
      <c r="C873" s="211">
        <v>517300</v>
      </c>
      <c r="D873" s="151" t="s">
        <v>3779</v>
      </c>
      <c r="E873" s="211">
        <v>167</v>
      </c>
      <c r="F873" s="151" t="s">
        <v>1242</v>
      </c>
      <c r="G873" s="151" t="s">
        <v>1144</v>
      </c>
      <c r="H873" s="211">
        <v>2525.1</v>
      </c>
      <c r="I873" s="17">
        <f t="shared" si="3"/>
        <v>151203592.81437126</v>
      </c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spans="1:24">
      <c r="A874" s="151" t="s">
        <v>3780</v>
      </c>
      <c r="B874" s="17" t="s">
        <v>3781</v>
      </c>
      <c r="C874" s="211">
        <v>532430</v>
      </c>
      <c r="D874" s="151" t="s">
        <v>3782</v>
      </c>
      <c r="E874" s="211">
        <v>669.8</v>
      </c>
      <c r="F874" s="151" t="s">
        <v>1242</v>
      </c>
      <c r="G874" s="151" t="s">
        <v>1144</v>
      </c>
      <c r="H874" s="211">
        <v>2523.1999999999998</v>
      </c>
      <c r="I874" s="17">
        <f t="shared" si="3"/>
        <v>37670946.551209316</v>
      </c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spans="1:24">
      <c r="A875" s="151" t="s">
        <v>3783</v>
      </c>
      <c r="B875" s="17" t="s">
        <v>470</v>
      </c>
      <c r="C875" s="211">
        <v>531508</v>
      </c>
      <c r="D875" s="151" t="s">
        <v>3784</v>
      </c>
      <c r="E875" s="211">
        <v>346.2</v>
      </c>
      <c r="F875" s="151" t="s">
        <v>3785</v>
      </c>
      <c r="G875" s="151" t="s">
        <v>1173</v>
      </c>
      <c r="H875" s="211">
        <v>2516.8000000000002</v>
      </c>
      <c r="I875" s="17">
        <f t="shared" si="3"/>
        <v>72697862.507221267</v>
      </c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spans="1:24">
      <c r="A876" s="151" t="s">
        <v>3786</v>
      </c>
      <c r="B876" s="17" t="s">
        <v>3787</v>
      </c>
      <c r="C876" s="211">
        <v>543399</v>
      </c>
      <c r="D876" s="151" t="s">
        <v>3788</v>
      </c>
      <c r="E876" s="211">
        <v>473</v>
      </c>
      <c r="F876" s="151" t="s">
        <v>1546</v>
      </c>
      <c r="G876" s="151" t="s">
        <v>1141</v>
      </c>
      <c r="H876" s="211">
        <v>2516.6999999999998</v>
      </c>
      <c r="I876" s="17">
        <f t="shared" si="3"/>
        <v>53207188.160676531</v>
      </c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spans="1:24">
      <c r="A877" s="151" t="s">
        <v>3789</v>
      </c>
      <c r="B877" s="17" t="s">
        <v>3790</v>
      </c>
      <c r="C877" s="17"/>
      <c r="D877" s="151" t="s">
        <v>3791</v>
      </c>
      <c r="E877" s="211">
        <v>285.39999999999998</v>
      </c>
      <c r="F877" s="151" t="s">
        <v>1650</v>
      </c>
      <c r="G877" s="151" t="s">
        <v>1650</v>
      </c>
      <c r="H877" s="211">
        <v>2500.4</v>
      </c>
      <c r="I877" s="17">
        <f t="shared" si="3"/>
        <v>87610371.408549413</v>
      </c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spans="1:24">
      <c r="A878" s="151" t="s">
        <v>3792</v>
      </c>
      <c r="B878" s="17" t="s">
        <v>3793</v>
      </c>
      <c r="C878" s="211">
        <v>526881</v>
      </c>
      <c r="D878" s="151" t="s">
        <v>3794</v>
      </c>
      <c r="E878" s="211">
        <v>541.4</v>
      </c>
      <c r="F878" s="151" t="s">
        <v>1161</v>
      </c>
      <c r="G878" s="151" t="s">
        <v>1143</v>
      </c>
      <c r="H878" s="211">
        <v>2494.5</v>
      </c>
      <c r="I878" s="17">
        <f t="shared" si="3"/>
        <v>46074990.764684156</v>
      </c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spans="1:24">
      <c r="A879" s="151" t="s">
        <v>3795</v>
      </c>
      <c r="B879" s="17" t="s">
        <v>3796</v>
      </c>
      <c r="C879" s="211">
        <v>530655</v>
      </c>
      <c r="D879" s="151" t="s">
        <v>3797</v>
      </c>
      <c r="E879" s="211">
        <v>877.9</v>
      </c>
      <c r="F879" s="151" t="s">
        <v>1675</v>
      </c>
      <c r="G879" s="151" t="s">
        <v>1142</v>
      </c>
      <c r="H879" s="211">
        <v>2489.4</v>
      </c>
      <c r="I879" s="17">
        <f t="shared" si="3"/>
        <v>28356304.818316437</v>
      </c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spans="1:24">
      <c r="A880" s="151" t="s">
        <v>3798</v>
      </c>
      <c r="B880" s="17" t="s">
        <v>3799</v>
      </c>
      <c r="C880" s="211">
        <v>539056</v>
      </c>
      <c r="D880" s="151" t="s">
        <v>3800</v>
      </c>
      <c r="E880" s="211">
        <v>51.6</v>
      </c>
      <c r="F880" s="151" t="s">
        <v>3067</v>
      </c>
      <c r="G880" s="151" t="s">
        <v>1139</v>
      </c>
      <c r="H880" s="211">
        <v>2489</v>
      </c>
      <c r="I880" s="17">
        <f t="shared" si="3"/>
        <v>482364341.0852713</v>
      </c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spans="1:24">
      <c r="A881" s="151" t="s">
        <v>3801</v>
      </c>
      <c r="B881" s="17" t="s">
        <v>3802</v>
      </c>
      <c r="C881" s="211">
        <v>511742</v>
      </c>
      <c r="D881" s="151" t="s">
        <v>3803</v>
      </c>
      <c r="E881" s="211">
        <v>268.60000000000002</v>
      </c>
      <c r="F881" s="151" t="s">
        <v>1194</v>
      </c>
      <c r="G881" s="151" t="s">
        <v>1137</v>
      </c>
      <c r="H881" s="211">
        <v>2485.9</v>
      </c>
      <c r="I881" s="17">
        <f t="shared" si="3"/>
        <v>92550260.610573336</v>
      </c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spans="1:24">
      <c r="A882" s="151" t="s">
        <v>3804</v>
      </c>
      <c r="B882" s="17" t="s">
        <v>3805</v>
      </c>
      <c r="C882" s="211">
        <v>541403</v>
      </c>
      <c r="D882" s="151" t="s">
        <v>3806</v>
      </c>
      <c r="E882" s="211">
        <v>437.6</v>
      </c>
      <c r="F882" s="151" t="s">
        <v>1710</v>
      </c>
      <c r="G882" s="151" t="s">
        <v>1216</v>
      </c>
      <c r="H882" s="211">
        <v>2481.6</v>
      </c>
      <c r="I882" s="17">
        <f t="shared" si="3"/>
        <v>56709323.583180986</v>
      </c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spans="1:24">
      <c r="A883" s="151" t="s">
        <v>3807</v>
      </c>
      <c r="B883" s="17" t="s">
        <v>3808</v>
      </c>
      <c r="C883" s="211">
        <v>503811</v>
      </c>
      <c r="D883" s="151" t="s">
        <v>3809</v>
      </c>
      <c r="E883" s="211">
        <v>545.9</v>
      </c>
      <c r="F883" s="151" t="s">
        <v>1854</v>
      </c>
      <c r="G883" s="151" t="s">
        <v>1216</v>
      </c>
      <c r="H883" s="211">
        <v>2476.8000000000002</v>
      </c>
      <c r="I883" s="17">
        <f t="shared" si="3"/>
        <v>45370947.059901081</v>
      </c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spans="1:24">
      <c r="A884" s="151" t="s">
        <v>3810</v>
      </c>
      <c r="B884" s="17" t="s">
        <v>3811</v>
      </c>
      <c r="C884" s="211">
        <v>541700</v>
      </c>
      <c r="D884" s="151" t="s">
        <v>3812</v>
      </c>
      <c r="E884" s="211">
        <v>389.9</v>
      </c>
      <c r="F884" s="151" t="s">
        <v>1710</v>
      </c>
      <c r="G884" s="151" t="s">
        <v>1216</v>
      </c>
      <c r="H884" s="211">
        <v>2464.6</v>
      </c>
      <c r="I884" s="17">
        <f t="shared" si="3"/>
        <v>63211079.764042065</v>
      </c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spans="1:24">
      <c r="A885" s="151" t="s">
        <v>3813</v>
      </c>
      <c r="B885" s="17" t="s">
        <v>38</v>
      </c>
      <c r="C885" s="211">
        <v>503101</v>
      </c>
      <c r="D885" s="151" t="s">
        <v>3814</v>
      </c>
      <c r="E885" s="211">
        <v>481.4</v>
      </c>
      <c r="F885" s="151" t="s">
        <v>1307</v>
      </c>
      <c r="G885" s="151" t="s">
        <v>1307</v>
      </c>
      <c r="H885" s="211">
        <v>2463.1</v>
      </c>
      <c r="I885" s="17">
        <f t="shared" si="3"/>
        <v>51165351.059410058</v>
      </c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spans="1:24">
      <c r="A886" s="151" t="s">
        <v>3815</v>
      </c>
      <c r="B886" s="17" t="s">
        <v>3816</v>
      </c>
      <c r="C886" s="211">
        <v>526797</v>
      </c>
      <c r="D886" s="151" t="s">
        <v>3817</v>
      </c>
      <c r="E886" s="211">
        <v>199</v>
      </c>
      <c r="F886" s="151" t="s">
        <v>2215</v>
      </c>
      <c r="G886" s="151" t="s">
        <v>2216</v>
      </c>
      <c r="H886" s="211">
        <v>2461.4</v>
      </c>
      <c r="I886" s="17">
        <f t="shared" si="3"/>
        <v>123688442.21105528</v>
      </c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spans="1:24">
      <c r="A887" s="151" t="s">
        <v>3818</v>
      </c>
      <c r="B887" s="17" t="s">
        <v>3819</v>
      </c>
      <c r="C887" s="211">
        <v>543689</v>
      </c>
      <c r="D887" s="151" t="s">
        <v>3820</v>
      </c>
      <c r="E887" s="211">
        <v>543.5</v>
      </c>
      <c r="F887" s="151" t="s">
        <v>1323</v>
      </c>
      <c r="G887" s="151" t="s">
        <v>1141</v>
      </c>
      <c r="H887" s="211">
        <v>2453</v>
      </c>
      <c r="I887" s="17">
        <f t="shared" si="3"/>
        <v>45133394.664213434</v>
      </c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spans="1:24">
      <c r="A888" s="151" t="s">
        <v>3821</v>
      </c>
      <c r="B888" s="17" t="s">
        <v>3822</v>
      </c>
      <c r="C888" s="211">
        <v>541974</v>
      </c>
      <c r="D888" s="151" t="s">
        <v>3823</v>
      </c>
      <c r="E888" s="211">
        <v>2047.6</v>
      </c>
      <c r="F888" s="151" t="s">
        <v>2576</v>
      </c>
      <c r="G888" s="151" t="s">
        <v>1140</v>
      </c>
      <c r="H888" s="211">
        <v>2440.6</v>
      </c>
      <c r="I888" s="17">
        <f t="shared" si="3"/>
        <v>11919320.179722603</v>
      </c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spans="1:24">
      <c r="A889" s="151" t="s">
        <v>3824</v>
      </c>
      <c r="B889" s="17" t="s">
        <v>3825</v>
      </c>
      <c r="C889" s="211">
        <v>511034</v>
      </c>
      <c r="D889" s="151" t="s">
        <v>3826</v>
      </c>
      <c r="E889" s="211">
        <v>835.6</v>
      </c>
      <c r="F889" s="151" t="s">
        <v>1251</v>
      </c>
      <c r="G889" s="151" t="s">
        <v>1158</v>
      </c>
      <c r="H889" s="211">
        <v>2421.6999999999998</v>
      </c>
      <c r="I889" s="17">
        <f t="shared" si="3"/>
        <v>28981570.129248444</v>
      </c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spans="1:24">
      <c r="A890" s="151" t="s">
        <v>3827</v>
      </c>
      <c r="B890" s="17" t="s">
        <v>234</v>
      </c>
      <c r="C890" s="211">
        <v>539404</v>
      </c>
      <c r="D890" s="151" t="s">
        <v>3828</v>
      </c>
      <c r="E890" s="211">
        <v>242</v>
      </c>
      <c r="F890" s="151" t="s">
        <v>1194</v>
      </c>
      <c r="G890" s="151" t="s">
        <v>1137</v>
      </c>
      <c r="H890" s="211">
        <v>2410.6999999999998</v>
      </c>
      <c r="I890" s="17">
        <f t="shared" si="3"/>
        <v>99615702.47933884</v>
      </c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spans="1:24">
      <c r="A891" s="151" t="s">
        <v>3829</v>
      </c>
      <c r="B891" s="17" t="s">
        <v>3830</v>
      </c>
      <c r="C891" s="211">
        <v>533104</v>
      </c>
      <c r="D891" s="151" t="s">
        <v>3831</v>
      </c>
      <c r="E891" s="211">
        <v>836.5</v>
      </c>
      <c r="F891" s="151" t="s">
        <v>1470</v>
      </c>
      <c r="G891" s="151" t="s">
        <v>1140</v>
      </c>
      <c r="H891" s="211">
        <v>2409.3000000000002</v>
      </c>
      <c r="I891" s="17">
        <f t="shared" si="3"/>
        <v>28802151.823072325</v>
      </c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spans="1:24">
      <c r="A892" s="151" t="s">
        <v>3832</v>
      </c>
      <c r="B892" s="17" t="s">
        <v>3833</v>
      </c>
      <c r="C892" s="211">
        <v>532960</v>
      </c>
      <c r="D892" s="151" t="s">
        <v>3834</v>
      </c>
      <c r="E892" s="211">
        <v>39.299999999999997</v>
      </c>
      <c r="F892" s="151" t="s">
        <v>1831</v>
      </c>
      <c r="G892" s="151" t="s">
        <v>1137</v>
      </c>
      <c r="H892" s="211">
        <v>2405.6999999999998</v>
      </c>
      <c r="I892" s="17">
        <f t="shared" si="3"/>
        <v>612137404.58015275</v>
      </c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spans="1:24">
      <c r="A893" s="151" t="s">
        <v>3835</v>
      </c>
      <c r="B893" s="17" t="s">
        <v>3836</v>
      </c>
      <c r="C893" s="211">
        <v>541336</v>
      </c>
      <c r="D893" s="151" t="s">
        <v>3837</v>
      </c>
      <c r="E893" s="211">
        <v>176.6</v>
      </c>
      <c r="F893" s="151" t="s">
        <v>1194</v>
      </c>
      <c r="G893" s="151" t="s">
        <v>1137</v>
      </c>
      <c r="H893" s="211">
        <v>2402.5</v>
      </c>
      <c r="I893" s="17">
        <f t="shared" si="3"/>
        <v>136041902.6047565</v>
      </c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spans="1:24">
      <c r="A894" s="151" t="s">
        <v>3838</v>
      </c>
      <c r="B894" s="17" t="s">
        <v>3839</v>
      </c>
      <c r="C894" s="211">
        <v>532726</v>
      </c>
      <c r="D894" s="151" t="s">
        <v>3840</v>
      </c>
      <c r="E894" s="211">
        <v>99.2</v>
      </c>
      <c r="F894" s="151" t="s">
        <v>1272</v>
      </c>
      <c r="G894" s="151" t="s">
        <v>1142</v>
      </c>
      <c r="H894" s="211">
        <v>2394.6999999999998</v>
      </c>
      <c r="I894" s="17">
        <f t="shared" si="3"/>
        <v>241401209.67741933</v>
      </c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spans="1:24">
      <c r="A895" s="151" t="s">
        <v>3841</v>
      </c>
      <c r="B895" s="17" t="s">
        <v>3842</v>
      </c>
      <c r="C895" s="211">
        <v>531112</v>
      </c>
      <c r="D895" s="151" t="s">
        <v>3843</v>
      </c>
      <c r="E895" s="211">
        <v>238.3</v>
      </c>
      <c r="F895" s="151" t="s">
        <v>1587</v>
      </c>
      <c r="G895" s="151" t="s">
        <v>1141</v>
      </c>
      <c r="H895" s="211">
        <v>2373.3000000000002</v>
      </c>
      <c r="I895" s="17">
        <f t="shared" si="3"/>
        <v>99592950.062945858</v>
      </c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spans="1:24">
      <c r="A896" s="151" t="s">
        <v>3844</v>
      </c>
      <c r="B896" s="17" t="s">
        <v>216</v>
      </c>
      <c r="C896" s="211">
        <v>522064</v>
      </c>
      <c r="D896" s="151" t="s">
        <v>3845</v>
      </c>
      <c r="E896" s="211">
        <v>2336.8000000000002</v>
      </c>
      <c r="F896" s="151" t="s">
        <v>1587</v>
      </c>
      <c r="G896" s="151" t="s">
        <v>1141</v>
      </c>
      <c r="H896" s="211">
        <v>2370.1999999999998</v>
      </c>
      <c r="I896" s="17">
        <f t="shared" si="3"/>
        <v>10142930.503252311</v>
      </c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spans="1:24">
      <c r="A897" s="151" t="s">
        <v>3846</v>
      </c>
      <c r="B897" s="17" t="s">
        <v>3847</v>
      </c>
      <c r="C897" s="211">
        <v>543386</v>
      </c>
      <c r="D897" s="151" t="s">
        <v>3848</v>
      </c>
      <c r="E897" s="211">
        <v>284.39999999999998</v>
      </c>
      <c r="F897" s="151" t="s">
        <v>1165</v>
      </c>
      <c r="G897" s="151" t="s">
        <v>1137</v>
      </c>
      <c r="H897" s="211">
        <v>2367</v>
      </c>
      <c r="I897" s="17">
        <f t="shared" si="3"/>
        <v>83227848.101265833</v>
      </c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spans="1:24">
      <c r="A898" s="151" t="s">
        <v>3849</v>
      </c>
      <c r="B898" s="17" t="s">
        <v>174</v>
      </c>
      <c r="C898" s="211">
        <v>540724</v>
      </c>
      <c r="D898" s="151" t="s">
        <v>3850</v>
      </c>
      <c r="E898" s="211">
        <v>990</v>
      </c>
      <c r="F898" s="151" t="s">
        <v>1255</v>
      </c>
      <c r="G898" s="151" t="s">
        <v>1173</v>
      </c>
      <c r="H898" s="211">
        <v>2362.1</v>
      </c>
      <c r="I898" s="17">
        <f t="shared" si="3"/>
        <v>23859595.95959596</v>
      </c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spans="1:24">
      <c r="A899" s="151" t="s">
        <v>3851</v>
      </c>
      <c r="B899" s="17" t="s">
        <v>3852</v>
      </c>
      <c r="C899" s="211">
        <v>532022</v>
      </c>
      <c r="D899" s="151" t="s">
        <v>3853</v>
      </c>
      <c r="E899" s="211">
        <v>14.1</v>
      </c>
      <c r="F899" s="151" t="s">
        <v>1854</v>
      </c>
      <c r="G899" s="151" t="s">
        <v>1216</v>
      </c>
      <c r="H899" s="211">
        <v>2356.9</v>
      </c>
      <c r="I899" s="17">
        <f t="shared" si="3"/>
        <v>1671560283.6879432</v>
      </c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spans="1:24">
      <c r="A900" s="151" t="s">
        <v>3854</v>
      </c>
      <c r="B900" s="17" t="s">
        <v>3855</v>
      </c>
      <c r="C900" s="211">
        <v>526807</v>
      </c>
      <c r="D900" s="151" t="s">
        <v>3856</v>
      </c>
      <c r="E900" s="211">
        <v>926.5</v>
      </c>
      <c r="F900" s="151" t="s">
        <v>1720</v>
      </c>
      <c r="G900" s="151" t="s">
        <v>1280</v>
      </c>
      <c r="H900" s="211">
        <v>2355.6</v>
      </c>
      <c r="I900" s="17">
        <f t="shared" si="3"/>
        <v>25424716.675661091</v>
      </c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spans="1:24">
      <c r="A901" s="151" t="s">
        <v>3857</v>
      </c>
      <c r="B901" s="17" t="s">
        <v>3858</v>
      </c>
      <c r="C901" s="211">
        <v>522249</v>
      </c>
      <c r="D901" s="151" t="s">
        <v>3859</v>
      </c>
      <c r="E901" s="211">
        <v>534.29999999999995</v>
      </c>
      <c r="F901" s="151" t="s">
        <v>1854</v>
      </c>
      <c r="G901" s="151" t="s">
        <v>1216</v>
      </c>
      <c r="H901" s="211">
        <v>2348.4</v>
      </c>
      <c r="I901" s="17">
        <f t="shared" si="3"/>
        <v>43952835.485682204</v>
      </c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spans="1:24">
      <c r="A902" s="151" t="s">
        <v>3860</v>
      </c>
      <c r="B902" s="17" t="s">
        <v>151</v>
      </c>
      <c r="C902" s="211">
        <v>519183</v>
      </c>
      <c r="D902" s="151" t="s">
        <v>3861</v>
      </c>
      <c r="E902" s="211">
        <v>213.7</v>
      </c>
      <c r="F902" s="151" t="s">
        <v>1255</v>
      </c>
      <c r="G902" s="151" t="s">
        <v>1173</v>
      </c>
      <c r="H902" s="211">
        <v>2347.8000000000002</v>
      </c>
      <c r="I902" s="17">
        <f t="shared" si="3"/>
        <v>109864295.74169397</v>
      </c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spans="1:24">
      <c r="A903" s="151" t="s">
        <v>3862</v>
      </c>
      <c r="B903" s="17" t="s">
        <v>3863</v>
      </c>
      <c r="C903" s="211">
        <v>590005</v>
      </c>
      <c r="D903" s="151" t="s">
        <v>3864</v>
      </c>
      <c r="E903" s="211">
        <v>1340.2</v>
      </c>
      <c r="F903" s="151" t="s">
        <v>1300</v>
      </c>
      <c r="G903" s="151" t="s">
        <v>1158</v>
      </c>
      <c r="H903" s="211">
        <v>2335.1999999999998</v>
      </c>
      <c r="I903" s="17">
        <f t="shared" si="3"/>
        <v>17424265.035069391</v>
      </c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spans="1:24">
      <c r="A904" s="151" t="s">
        <v>3865</v>
      </c>
      <c r="B904" s="17" t="s">
        <v>577</v>
      </c>
      <c r="C904" s="211">
        <v>500052</v>
      </c>
      <c r="D904" s="151" t="s">
        <v>3866</v>
      </c>
      <c r="E904" s="211">
        <v>93.2</v>
      </c>
      <c r="F904" s="151" t="s">
        <v>1334</v>
      </c>
      <c r="G904" s="151" t="s">
        <v>1335</v>
      </c>
      <c r="H904" s="211">
        <v>2320.6</v>
      </c>
      <c r="I904" s="17">
        <f t="shared" si="3"/>
        <v>248991416.30901286</v>
      </c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spans="1:24">
      <c r="A905" s="151" t="s">
        <v>3867</v>
      </c>
      <c r="B905" s="17" t="s">
        <v>3868</v>
      </c>
      <c r="C905" s="211">
        <v>539450</v>
      </c>
      <c r="D905" s="151" t="s">
        <v>3869</v>
      </c>
      <c r="E905" s="211">
        <v>167.5</v>
      </c>
      <c r="F905" s="151" t="s">
        <v>1172</v>
      </c>
      <c r="G905" s="151" t="s">
        <v>1173</v>
      </c>
      <c r="H905" s="211">
        <v>2318.5</v>
      </c>
      <c r="I905" s="17">
        <f t="shared" si="3"/>
        <v>138417910.44776121</v>
      </c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spans="1:24">
      <c r="A906" s="151" t="s">
        <v>3870</v>
      </c>
      <c r="B906" s="17" t="s">
        <v>3871</v>
      </c>
      <c r="C906" s="211">
        <v>542919</v>
      </c>
      <c r="D906" s="151" t="s">
        <v>3872</v>
      </c>
      <c r="E906" s="211">
        <v>170.4</v>
      </c>
      <c r="F906" s="151" t="s">
        <v>1445</v>
      </c>
      <c r="G906" s="151" t="s">
        <v>1139</v>
      </c>
      <c r="H906" s="211">
        <v>2315.1</v>
      </c>
      <c r="I906" s="17">
        <f t="shared" si="3"/>
        <v>135862676.05633801</v>
      </c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spans="1:24">
      <c r="A907" s="151" t="s">
        <v>3873</v>
      </c>
      <c r="B907" s="17" t="s">
        <v>3874</v>
      </c>
      <c r="C907" s="211">
        <v>533138</v>
      </c>
      <c r="D907" s="151" t="s">
        <v>3875</v>
      </c>
      <c r="E907" s="211">
        <v>1180.4000000000001</v>
      </c>
      <c r="F907" s="151" t="s">
        <v>1552</v>
      </c>
      <c r="G907" s="151" t="s">
        <v>1335</v>
      </c>
      <c r="H907" s="211">
        <v>2314.6</v>
      </c>
      <c r="I907" s="17">
        <f t="shared" si="3"/>
        <v>19608607.251779057</v>
      </c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spans="1:24">
      <c r="A908" s="151" t="s">
        <v>3876</v>
      </c>
      <c r="B908" s="17" t="s">
        <v>3877</v>
      </c>
      <c r="C908" s="17"/>
      <c r="D908" s="151" t="s">
        <v>3878</v>
      </c>
      <c r="E908" s="211">
        <v>220.4</v>
      </c>
      <c r="F908" s="151" t="s">
        <v>2563</v>
      </c>
      <c r="G908" s="151" t="s">
        <v>1140</v>
      </c>
      <c r="H908" s="211">
        <v>2313.3000000000002</v>
      </c>
      <c r="I908" s="17">
        <f t="shared" si="3"/>
        <v>104959165.15426497</v>
      </c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spans="1:24">
      <c r="A909" s="151" t="s">
        <v>3879</v>
      </c>
      <c r="B909" s="17" t="s">
        <v>3880</v>
      </c>
      <c r="C909" s="211">
        <v>532983</v>
      </c>
      <c r="D909" s="151" t="s">
        <v>3881</v>
      </c>
      <c r="E909" s="211">
        <v>1397.7</v>
      </c>
      <c r="F909" s="151" t="s">
        <v>694</v>
      </c>
      <c r="G909" s="151" t="s">
        <v>1224</v>
      </c>
      <c r="H909" s="211">
        <v>2311.6999999999998</v>
      </c>
      <c r="I909" s="17">
        <f t="shared" si="3"/>
        <v>16539314.588252127</v>
      </c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spans="1:24">
      <c r="A910" s="151" t="s">
        <v>3882</v>
      </c>
      <c r="B910" s="17" t="s">
        <v>3883</v>
      </c>
      <c r="C910" s="211">
        <v>543434</v>
      </c>
      <c r="D910" s="151" t="s">
        <v>3884</v>
      </c>
      <c r="E910" s="211">
        <v>286.89999999999998</v>
      </c>
      <c r="F910" s="151" t="s">
        <v>694</v>
      </c>
      <c r="G910" s="151" t="s">
        <v>1224</v>
      </c>
      <c r="H910" s="211">
        <v>2309.1</v>
      </c>
      <c r="I910" s="17">
        <f t="shared" si="3"/>
        <v>80484489.369118169</v>
      </c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spans="1:24">
      <c r="A911" s="151" t="s">
        <v>3885</v>
      </c>
      <c r="B911" s="17" t="s">
        <v>3886</v>
      </c>
      <c r="C911" s="211">
        <v>524667</v>
      </c>
      <c r="D911" s="151" t="s">
        <v>3887</v>
      </c>
      <c r="E911" s="211">
        <v>333.7</v>
      </c>
      <c r="F911" s="151" t="s">
        <v>1157</v>
      </c>
      <c r="G911" s="151" t="s">
        <v>1158</v>
      </c>
      <c r="H911" s="211">
        <v>2305.9</v>
      </c>
      <c r="I911" s="17">
        <f t="shared" si="3"/>
        <v>69100988.912196591</v>
      </c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spans="1:24">
      <c r="A912" s="151" t="s">
        <v>3888</v>
      </c>
      <c r="B912" s="17" t="s">
        <v>3889</v>
      </c>
      <c r="C912" s="211">
        <v>506642</v>
      </c>
      <c r="D912" s="151" t="s">
        <v>3890</v>
      </c>
      <c r="E912" s="211">
        <v>93.2</v>
      </c>
      <c r="F912" s="151" t="s">
        <v>1840</v>
      </c>
      <c r="G912" s="151" t="s">
        <v>1335</v>
      </c>
      <c r="H912" s="211">
        <v>2301.3000000000002</v>
      </c>
      <c r="I912" s="17">
        <f t="shared" si="3"/>
        <v>246920600.85836908</v>
      </c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spans="1:24">
      <c r="A913" s="151" t="s">
        <v>3891</v>
      </c>
      <c r="B913" s="17" t="s">
        <v>3892</v>
      </c>
      <c r="C913" s="211">
        <v>512267</v>
      </c>
      <c r="D913" s="151" t="s">
        <v>3893</v>
      </c>
      <c r="E913" s="211">
        <v>20.3</v>
      </c>
      <c r="F913" s="151" t="s">
        <v>2642</v>
      </c>
      <c r="G913" s="151" t="s">
        <v>1229</v>
      </c>
      <c r="H913" s="211">
        <v>2300.6</v>
      </c>
      <c r="I913" s="17">
        <f t="shared" si="3"/>
        <v>1133300492.6108375</v>
      </c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spans="1:24">
      <c r="A914" s="151" t="s">
        <v>3894</v>
      </c>
      <c r="B914" s="17" t="s">
        <v>3895</v>
      </c>
      <c r="C914" s="211">
        <v>500288</v>
      </c>
      <c r="D914" s="151" t="s">
        <v>3896</v>
      </c>
      <c r="E914" s="211">
        <v>44.9</v>
      </c>
      <c r="F914" s="151" t="s">
        <v>694</v>
      </c>
      <c r="G914" s="151" t="s">
        <v>1224</v>
      </c>
      <c r="H914" s="211">
        <v>2295.1</v>
      </c>
      <c r="I914" s="17">
        <f t="shared" si="3"/>
        <v>511158129.17594659</v>
      </c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spans="1:24">
      <c r="A915" s="151" t="s">
        <v>3897</v>
      </c>
      <c r="B915" s="17" t="s">
        <v>3898</v>
      </c>
      <c r="C915" s="211">
        <v>532834</v>
      </c>
      <c r="D915" s="151" t="s">
        <v>3899</v>
      </c>
      <c r="E915" s="211">
        <v>135.6</v>
      </c>
      <c r="F915" s="151" t="s">
        <v>1334</v>
      </c>
      <c r="G915" s="151" t="s">
        <v>1335</v>
      </c>
      <c r="H915" s="211">
        <v>2269.8000000000002</v>
      </c>
      <c r="I915" s="17">
        <f t="shared" si="3"/>
        <v>167389380.53097346</v>
      </c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spans="1:24">
      <c r="A916" s="151" t="s">
        <v>3900</v>
      </c>
      <c r="B916" s="17" t="s">
        <v>3901</v>
      </c>
      <c r="C916" s="211">
        <v>500150</v>
      </c>
      <c r="D916" s="151" t="s">
        <v>3902</v>
      </c>
      <c r="E916" s="211">
        <v>3550.6</v>
      </c>
      <c r="F916" s="151" t="s">
        <v>1840</v>
      </c>
      <c r="G916" s="151" t="s">
        <v>1335</v>
      </c>
      <c r="H916" s="211">
        <v>2267.6</v>
      </c>
      <c r="I916" s="17">
        <f t="shared" si="3"/>
        <v>6386526.2209204081</v>
      </c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spans="1:24">
      <c r="A917" s="151" t="s">
        <v>3903</v>
      </c>
      <c r="B917" s="17" t="s">
        <v>3904</v>
      </c>
      <c r="C917" s="211">
        <v>502330</v>
      </c>
      <c r="D917" s="151" t="s">
        <v>3905</v>
      </c>
      <c r="E917" s="211">
        <v>569</v>
      </c>
      <c r="F917" s="151" t="s">
        <v>2222</v>
      </c>
      <c r="G917" s="151" t="s">
        <v>1229</v>
      </c>
      <c r="H917" s="211">
        <v>2262.9</v>
      </c>
      <c r="I917" s="17">
        <f t="shared" si="3"/>
        <v>39769771.528998241</v>
      </c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spans="1:24">
      <c r="A918" s="151" t="s">
        <v>3906</v>
      </c>
      <c r="B918" s="17" t="s">
        <v>3907</v>
      </c>
      <c r="C918" s="211">
        <v>503960</v>
      </c>
      <c r="D918" s="151" t="s">
        <v>3908</v>
      </c>
      <c r="E918" s="211">
        <v>3999.9</v>
      </c>
      <c r="F918" s="151" t="s">
        <v>1440</v>
      </c>
      <c r="G918" s="151" t="s">
        <v>1441</v>
      </c>
      <c r="H918" s="211">
        <v>2260.6</v>
      </c>
      <c r="I918" s="17">
        <f t="shared" si="3"/>
        <v>5651641.2910322761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spans="1:24">
      <c r="A919" s="151" t="s">
        <v>3909</v>
      </c>
      <c r="B919" s="17" t="s">
        <v>3910</v>
      </c>
      <c r="C919" s="211">
        <v>533263</v>
      </c>
      <c r="D919" s="151" t="s">
        <v>3911</v>
      </c>
      <c r="E919" s="211">
        <v>23</v>
      </c>
      <c r="F919" s="151" t="s">
        <v>1242</v>
      </c>
      <c r="G919" s="151" t="s">
        <v>1144</v>
      </c>
      <c r="H919" s="211">
        <v>2250.9</v>
      </c>
      <c r="I919" s="17">
        <f t="shared" si="3"/>
        <v>978652173.9130435</v>
      </c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spans="1:24">
      <c r="A920" s="151" t="s">
        <v>3912</v>
      </c>
      <c r="B920" s="17" t="s">
        <v>3913</v>
      </c>
      <c r="C920" s="211">
        <v>539636</v>
      </c>
      <c r="D920" s="151" t="s">
        <v>3914</v>
      </c>
      <c r="E920" s="211">
        <v>235.9</v>
      </c>
      <c r="F920" s="151" t="s">
        <v>1507</v>
      </c>
      <c r="G920" s="151" t="s">
        <v>1211</v>
      </c>
      <c r="H920" s="211">
        <v>2240.6999999999998</v>
      </c>
      <c r="I920" s="17">
        <f t="shared" si="3"/>
        <v>94985163.204747766</v>
      </c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spans="1:24">
      <c r="A921" s="151" t="s">
        <v>3915</v>
      </c>
      <c r="B921" s="17" t="s">
        <v>3916</v>
      </c>
      <c r="C921" s="211">
        <v>500201</v>
      </c>
      <c r="D921" s="151" t="s">
        <v>3917</v>
      </c>
      <c r="E921" s="211">
        <v>722.5</v>
      </c>
      <c r="F921" s="151" t="s">
        <v>1840</v>
      </c>
      <c r="G921" s="151" t="s">
        <v>1335</v>
      </c>
      <c r="H921" s="211">
        <v>2237</v>
      </c>
      <c r="I921" s="17">
        <f t="shared" si="3"/>
        <v>30961937.716262978</v>
      </c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spans="1:24">
      <c r="A922" s="151" t="s">
        <v>3918</v>
      </c>
      <c r="B922" s="17" t="s">
        <v>3919</v>
      </c>
      <c r="C922" s="211">
        <v>509820</v>
      </c>
      <c r="D922" s="151" t="s">
        <v>3920</v>
      </c>
      <c r="E922" s="211">
        <v>295.60000000000002</v>
      </c>
      <c r="F922" s="151" t="s">
        <v>2950</v>
      </c>
      <c r="G922" s="151" t="s">
        <v>1229</v>
      </c>
      <c r="H922" s="211">
        <v>2232.8000000000002</v>
      </c>
      <c r="I922" s="17">
        <f t="shared" si="3"/>
        <v>75534506.089309871</v>
      </c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spans="1:24">
      <c r="A923" s="151" t="s">
        <v>3921</v>
      </c>
      <c r="B923" s="17" t="s">
        <v>3922</v>
      </c>
      <c r="C923" s="211">
        <v>513519</v>
      </c>
      <c r="D923" s="151" t="s">
        <v>3923</v>
      </c>
      <c r="E923" s="211">
        <v>695.8</v>
      </c>
      <c r="F923" s="151" t="s">
        <v>1440</v>
      </c>
      <c r="G923" s="151" t="s">
        <v>1441</v>
      </c>
      <c r="H923" s="211">
        <v>2230</v>
      </c>
      <c r="I923" s="17">
        <f t="shared" si="3"/>
        <v>32049439.494107503</v>
      </c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spans="1:24">
      <c r="A924" s="151" t="s">
        <v>3924</v>
      </c>
      <c r="B924" s="17" t="s">
        <v>42</v>
      </c>
      <c r="C924" s="211">
        <v>519552</v>
      </c>
      <c r="D924" s="151" t="s">
        <v>3925</v>
      </c>
      <c r="E924" s="211">
        <v>239.4</v>
      </c>
      <c r="F924" s="151" t="s">
        <v>1255</v>
      </c>
      <c r="G924" s="151" t="s">
        <v>1173</v>
      </c>
      <c r="H924" s="211">
        <v>2221.1</v>
      </c>
      <c r="I924" s="17">
        <f t="shared" si="3"/>
        <v>92777777.777777776</v>
      </c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spans="1:24">
      <c r="A925" s="151" t="s">
        <v>3926</v>
      </c>
      <c r="B925" s="17" t="s">
        <v>3927</v>
      </c>
      <c r="C925" s="211">
        <v>543328</v>
      </c>
      <c r="D925" s="151" t="s">
        <v>3928</v>
      </c>
      <c r="E925" s="211">
        <v>685.5</v>
      </c>
      <c r="F925" s="151" t="s">
        <v>1977</v>
      </c>
      <c r="G925" s="151" t="s">
        <v>1139</v>
      </c>
      <c r="H925" s="211">
        <v>2213.5</v>
      </c>
      <c r="I925" s="17">
        <f t="shared" si="3"/>
        <v>32290299.051787015</v>
      </c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spans="1:24">
      <c r="A926" s="151" t="s">
        <v>3929</v>
      </c>
      <c r="B926" s="17" t="s">
        <v>3930</v>
      </c>
      <c r="C926" s="211">
        <v>542333</v>
      </c>
      <c r="D926" s="151" t="s">
        <v>3931</v>
      </c>
      <c r="E926" s="211">
        <v>750</v>
      </c>
      <c r="F926" s="151" t="s">
        <v>1161</v>
      </c>
      <c r="G926" s="151" t="s">
        <v>1143</v>
      </c>
      <c r="H926" s="211">
        <v>2213.4</v>
      </c>
      <c r="I926" s="17">
        <f t="shared" si="3"/>
        <v>29512000</v>
      </c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spans="1:24">
      <c r="A927" s="151" t="s">
        <v>3932</v>
      </c>
      <c r="B927" s="17" t="s">
        <v>472</v>
      </c>
      <c r="C927" s="211">
        <v>507514</v>
      </c>
      <c r="D927" s="151" t="s">
        <v>3933</v>
      </c>
      <c r="E927" s="211">
        <v>285.8</v>
      </c>
      <c r="F927" s="151" t="s">
        <v>1470</v>
      </c>
      <c r="G927" s="151" t="s">
        <v>1140</v>
      </c>
      <c r="H927" s="211">
        <v>2207.6999999999998</v>
      </c>
      <c r="I927" s="17">
        <f t="shared" si="3"/>
        <v>77246326.10216935</v>
      </c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spans="1:24">
      <c r="A928" s="151" t="s">
        <v>3934</v>
      </c>
      <c r="B928" s="17" t="s">
        <v>3935</v>
      </c>
      <c r="C928" s="211">
        <v>531717</v>
      </c>
      <c r="D928" s="151" t="s">
        <v>3936</v>
      </c>
      <c r="E928" s="211">
        <v>441.6</v>
      </c>
      <c r="F928" s="151" t="s">
        <v>1334</v>
      </c>
      <c r="G928" s="151" t="s">
        <v>1335</v>
      </c>
      <c r="H928" s="211">
        <v>2205.8000000000002</v>
      </c>
      <c r="I928" s="17">
        <f t="shared" si="3"/>
        <v>49950181.159420289</v>
      </c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spans="1:24">
      <c r="A929" s="151" t="s">
        <v>3937</v>
      </c>
      <c r="B929" s="17" t="s">
        <v>3938</v>
      </c>
      <c r="C929" s="211">
        <v>509675</v>
      </c>
      <c r="D929" s="151" t="s">
        <v>3939</v>
      </c>
      <c r="E929" s="211">
        <v>2907.5</v>
      </c>
      <c r="F929" s="151" t="s">
        <v>1238</v>
      </c>
      <c r="G929" s="151" t="s">
        <v>1138</v>
      </c>
      <c r="H929" s="211">
        <v>2192.5</v>
      </c>
      <c r="I929" s="17">
        <f t="shared" si="3"/>
        <v>7540842.6483233022</v>
      </c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spans="1:24">
      <c r="A930" s="151" t="s">
        <v>3940</v>
      </c>
      <c r="B930" s="17" t="s">
        <v>3941</v>
      </c>
      <c r="C930" s="211">
        <v>526227</v>
      </c>
      <c r="D930" s="151" t="s">
        <v>3942</v>
      </c>
      <c r="E930" s="211">
        <v>49.4</v>
      </c>
      <c r="F930" s="151" t="s">
        <v>1854</v>
      </c>
      <c r="G930" s="151" t="s">
        <v>1216</v>
      </c>
      <c r="H930" s="211">
        <v>2190.4</v>
      </c>
      <c r="I930" s="17">
        <f t="shared" si="3"/>
        <v>443400809.71659923</v>
      </c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spans="1:24">
      <c r="A931" s="151" t="s">
        <v>3943</v>
      </c>
      <c r="B931" s="17" t="s">
        <v>622</v>
      </c>
      <c r="C931" s="211">
        <v>506235</v>
      </c>
      <c r="D931" s="151" t="s">
        <v>3944</v>
      </c>
      <c r="E931" s="211">
        <v>85</v>
      </c>
      <c r="F931" s="151" t="s">
        <v>1307</v>
      </c>
      <c r="G931" s="151" t="s">
        <v>1307</v>
      </c>
      <c r="H931" s="211">
        <v>2183.9</v>
      </c>
      <c r="I931" s="17">
        <f t="shared" si="3"/>
        <v>256929411.7647059</v>
      </c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spans="1:24">
      <c r="A932" s="151" t="s">
        <v>3945</v>
      </c>
      <c r="B932" s="17" t="s">
        <v>3946</v>
      </c>
      <c r="C932" s="211">
        <v>533344</v>
      </c>
      <c r="D932" s="151" t="s">
        <v>3947</v>
      </c>
      <c r="E932" s="211">
        <v>33.9</v>
      </c>
      <c r="F932" s="151" t="s">
        <v>1194</v>
      </c>
      <c r="G932" s="151" t="s">
        <v>1137</v>
      </c>
      <c r="H932" s="211">
        <v>2177.3000000000002</v>
      </c>
      <c r="I932" s="17">
        <f t="shared" si="3"/>
        <v>642271386.43067849</v>
      </c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spans="1:24">
      <c r="A933" s="151" t="s">
        <v>3948</v>
      </c>
      <c r="B933" s="17" t="s">
        <v>3949</v>
      </c>
      <c r="C933" s="211">
        <v>500365</v>
      </c>
      <c r="D933" s="151" t="s">
        <v>3950</v>
      </c>
      <c r="E933" s="211">
        <v>40.9</v>
      </c>
      <c r="F933" s="151" t="s">
        <v>1272</v>
      </c>
      <c r="G933" s="151" t="s">
        <v>1142</v>
      </c>
      <c r="H933" s="211">
        <v>2170.1999999999998</v>
      </c>
      <c r="I933" s="17">
        <f t="shared" si="3"/>
        <v>530611246.94376528</v>
      </c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spans="1:24">
      <c r="A934" s="151" t="s">
        <v>3951</v>
      </c>
      <c r="B934" s="17" t="s">
        <v>3952</v>
      </c>
      <c r="C934" s="211">
        <v>514167</v>
      </c>
      <c r="D934" s="151" t="s">
        <v>3953</v>
      </c>
      <c r="E934" s="211">
        <v>993.5</v>
      </c>
      <c r="F934" s="151" t="s">
        <v>1854</v>
      </c>
      <c r="G934" s="151" t="s">
        <v>1216</v>
      </c>
      <c r="H934" s="211">
        <v>2168.8000000000002</v>
      </c>
      <c r="I934" s="17">
        <f t="shared" si="3"/>
        <v>21829894.313034724</v>
      </c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spans="1:24">
      <c r="A935" s="151" t="s">
        <v>3954</v>
      </c>
      <c r="B935" s="17" t="s">
        <v>3955</v>
      </c>
      <c r="C935" s="17"/>
      <c r="D935" s="151" t="s">
        <v>3956</v>
      </c>
      <c r="E935" s="211">
        <v>2011.6</v>
      </c>
      <c r="F935" s="151" t="s">
        <v>1587</v>
      </c>
      <c r="G935" s="151" t="s">
        <v>1141</v>
      </c>
      <c r="H935" s="211">
        <v>2158.4</v>
      </c>
      <c r="I935" s="17">
        <f t="shared" si="3"/>
        <v>10729767.349373633</v>
      </c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spans="1:24">
      <c r="A936" s="151" t="s">
        <v>3957</v>
      </c>
      <c r="B936" s="17" t="s">
        <v>3958</v>
      </c>
      <c r="C936" s="211">
        <v>533552</v>
      </c>
      <c r="D936" s="151" t="s">
        <v>3959</v>
      </c>
      <c r="E936" s="211">
        <v>270.89999999999998</v>
      </c>
      <c r="F936" s="151" t="s">
        <v>1710</v>
      </c>
      <c r="G936" s="151" t="s">
        <v>1216</v>
      </c>
      <c r="H936" s="211">
        <v>2154.3000000000002</v>
      </c>
      <c r="I936" s="17">
        <f t="shared" si="3"/>
        <v>79523809.523809537</v>
      </c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spans="1:24">
      <c r="A937" s="151" t="s">
        <v>3960</v>
      </c>
      <c r="B937" s="17" t="s">
        <v>3961</v>
      </c>
      <c r="C937" s="211">
        <v>500186</v>
      </c>
      <c r="D937" s="151" t="s">
        <v>3962</v>
      </c>
      <c r="E937" s="211">
        <v>162.6</v>
      </c>
      <c r="F937" s="151" t="s">
        <v>1251</v>
      </c>
      <c r="G937" s="151" t="s">
        <v>1158</v>
      </c>
      <c r="H937" s="211">
        <v>2150.9</v>
      </c>
      <c r="I937" s="17">
        <f t="shared" si="3"/>
        <v>132281672.81672817</v>
      </c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spans="1:24">
      <c r="A938" s="151" t="s">
        <v>3963</v>
      </c>
      <c r="B938" s="17" t="s">
        <v>3964</v>
      </c>
      <c r="C938" s="211">
        <v>530305</v>
      </c>
      <c r="D938" s="151" t="s">
        <v>3965</v>
      </c>
      <c r="E938" s="211">
        <v>227.8</v>
      </c>
      <c r="F938" s="151" t="s">
        <v>2449</v>
      </c>
      <c r="G938" s="151" t="s">
        <v>1140</v>
      </c>
      <c r="H938" s="211">
        <v>2149.5</v>
      </c>
      <c r="I938" s="17">
        <f t="shared" si="3"/>
        <v>94359086.91834943</v>
      </c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spans="1:24">
      <c r="A939" s="151" t="s">
        <v>3966</v>
      </c>
      <c r="B939" s="17" t="s">
        <v>3967</v>
      </c>
      <c r="C939" s="211">
        <v>543686</v>
      </c>
      <c r="D939" s="151" t="s">
        <v>3968</v>
      </c>
      <c r="E939" s="211">
        <v>390.1</v>
      </c>
      <c r="F939" s="151" t="s">
        <v>1220</v>
      </c>
      <c r="G939" s="151" t="s">
        <v>1139</v>
      </c>
      <c r="H939" s="211">
        <v>2138.1</v>
      </c>
      <c r="I939" s="17">
        <f t="shared" si="3"/>
        <v>54809023.327351958</v>
      </c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spans="1:24">
      <c r="A940" s="151" t="s">
        <v>3969</v>
      </c>
      <c r="B940" s="17" t="s">
        <v>3970</v>
      </c>
      <c r="C940" s="211">
        <v>502450</v>
      </c>
      <c r="D940" s="151" t="s">
        <v>3971</v>
      </c>
      <c r="E940" s="211">
        <v>338</v>
      </c>
      <c r="F940" s="151" t="s">
        <v>2222</v>
      </c>
      <c r="G940" s="151" t="s">
        <v>1229</v>
      </c>
      <c r="H940" s="211">
        <v>2131.6999999999998</v>
      </c>
      <c r="I940" s="17">
        <f t="shared" si="3"/>
        <v>63068047.337278105</v>
      </c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spans="1:24">
      <c r="A941" s="151" t="s">
        <v>3972</v>
      </c>
      <c r="B941" s="17" t="s">
        <v>3973</v>
      </c>
      <c r="C941" s="211">
        <v>505744</v>
      </c>
      <c r="D941" s="151" t="s">
        <v>3974</v>
      </c>
      <c r="E941" s="211">
        <v>383</v>
      </c>
      <c r="F941" s="151" t="s">
        <v>1507</v>
      </c>
      <c r="G941" s="151" t="s">
        <v>1211</v>
      </c>
      <c r="H941" s="211">
        <v>2130.6999999999998</v>
      </c>
      <c r="I941" s="17">
        <f t="shared" si="3"/>
        <v>55631853.785900787</v>
      </c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spans="1:24">
      <c r="A942" s="151" t="s">
        <v>3975</v>
      </c>
      <c r="B942" s="17" t="s">
        <v>3976</v>
      </c>
      <c r="C942" s="211">
        <v>539660</v>
      </c>
      <c r="D942" s="151" t="s">
        <v>3977</v>
      </c>
      <c r="E942" s="211">
        <v>900.5</v>
      </c>
      <c r="F942" s="151" t="s">
        <v>1552</v>
      </c>
      <c r="G942" s="151" t="s">
        <v>1335</v>
      </c>
      <c r="H942" s="211">
        <v>2129.1999999999998</v>
      </c>
      <c r="I942" s="17">
        <f t="shared" si="3"/>
        <v>23644641.865630206</v>
      </c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spans="1:24">
      <c r="A943" s="151" t="s">
        <v>3978</v>
      </c>
      <c r="B943" s="17" t="s">
        <v>3979</v>
      </c>
      <c r="C943" s="211">
        <v>532705</v>
      </c>
      <c r="D943" s="151" t="s">
        <v>3980</v>
      </c>
      <c r="E943" s="211">
        <v>97.7</v>
      </c>
      <c r="F943" s="151" t="s">
        <v>3195</v>
      </c>
      <c r="G943" s="151" t="s">
        <v>1229</v>
      </c>
      <c r="H943" s="211">
        <v>2126.5</v>
      </c>
      <c r="I943" s="17">
        <f t="shared" si="3"/>
        <v>217656090.07164788</v>
      </c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spans="1:24">
      <c r="A944" s="151" t="s">
        <v>3981</v>
      </c>
      <c r="B944" s="17" t="s">
        <v>3982</v>
      </c>
      <c r="C944" s="211">
        <v>522241</v>
      </c>
      <c r="D944" s="151" t="s">
        <v>3983</v>
      </c>
      <c r="E944" s="211">
        <v>880</v>
      </c>
      <c r="F944" s="151" t="s">
        <v>1577</v>
      </c>
      <c r="G944" s="151" t="s">
        <v>1141</v>
      </c>
      <c r="H944" s="211">
        <v>2124.4</v>
      </c>
      <c r="I944" s="17">
        <f t="shared" si="3"/>
        <v>24140909.09090909</v>
      </c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spans="1:24">
      <c r="A945" s="151" t="s">
        <v>3984</v>
      </c>
      <c r="B945" s="17" t="s">
        <v>3985</v>
      </c>
      <c r="C945" s="211">
        <v>500215</v>
      </c>
      <c r="D945" s="151" t="s">
        <v>3986</v>
      </c>
      <c r="E945" s="211">
        <v>869.8</v>
      </c>
      <c r="F945" s="151" t="s">
        <v>1255</v>
      </c>
      <c r="G945" s="151" t="s">
        <v>1173</v>
      </c>
      <c r="H945" s="211">
        <v>2119.6</v>
      </c>
      <c r="I945" s="17">
        <f t="shared" si="3"/>
        <v>24368820.418487009</v>
      </c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spans="1:24">
      <c r="A946" s="151" t="s">
        <v>3987</v>
      </c>
      <c r="B946" s="17" t="s">
        <v>526</v>
      </c>
      <c r="C946" s="211">
        <v>532395</v>
      </c>
      <c r="D946" s="151" t="s">
        <v>3988</v>
      </c>
      <c r="E946" s="211">
        <v>550.4</v>
      </c>
      <c r="F946" s="151" t="s">
        <v>2307</v>
      </c>
      <c r="G946" s="151" t="s">
        <v>1143</v>
      </c>
      <c r="H946" s="211">
        <v>2116.9</v>
      </c>
      <c r="I946" s="17">
        <f t="shared" si="3"/>
        <v>38461119.186046511</v>
      </c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spans="1:24">
      <c r="A947" s="151" t="s">
        <v>3989</v>
      </c>
      <c r="B947" s="17" t="s">
        <v>3990</v>
      </c>
      <c r="C947" s="211">
        <v>539199</v>
      </c>
      <c r="D947" s="151" t="s">
        <v>3991</v>
      </c>
      <c r="E947" s="211">
        <v>497</v>
      </c>
      <c r="F947" s="151" t="s">
        <v>1831</v>
      </c>
      <c r="G947" s="151" t="s">
        <v>1137</v>
      </c>
      <c r="H947" s="211">
        <v>2113.1999999999998</v>
      </c>
      <c r="I947" s="17">
        <f t="shared" si="3"/>
        <v>42519114.688128769</v>
      </c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spans="1:24">
      <c r="A948" s="151" t="s">
        <v>3992</v>
      </c>
      <c r="B948" s="17" t="s">
        <v>201</v>
      </c>
      <c r="C948" s="211">
        <v>523539</v>
      </c>
      <c r="D948" s="151" t="s">
        <v>3993</v>
      </c>
      <c r="E948" s="211">
        <v>117.8</v>
      </c>
      <c r="F948" s="151" t="s">
        <v>1577</v>
      </c>
      <c r="G948" s="151" t="s">
        <v>1141</v>
      </c>
      <c r="H948" s="211">
        <v>2103.6999999999998</v>
      </c>
      <c r="I948" s="17">
        <f t="shared" si="3"/>
        <v>178582342.95415959</v>
      </c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spans="1:24">
      <c r="A949" s="151" t="s">
        <v>3994</v>
      </c>
      <c r="B949" s="17" t="s">
        <v>179</v>
      </c>
      <c r="C949" s="211">
        <v>532268</v>
      </c>
      <c r="D949" s="151" t="s">
        <v>3995</v>
      </c>
      <c r="E949" s="211">
        <v>1407.8</v>
      </c>
      <c r="F949" s="151" t="s">
        <v>1161</v>
      </c>
      <c r="G949" s="151" t="s">
        <v>1143</v>
      </c>
      <c r="H949" s="211">
        <v>2101.4</v>
      </c>
      <c r="I949" s="17">
        <f t="shared" si="3"/>
        <v>14926836.198323626</v>
      </c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spans="1:24">
      <c r="A950" s="151" t="s">
        <v>3996</v>
      </c>
      <c r="B950" s="17" t="s">
        <v>657</v>
      </c>
      <c r="C950" s="211">
        <v>500235</v>
      </c>
      <c r="D950" s="151" t="s">
        <v>3997</v>
      </c>
      <c r="E950" s="211">
        <v>479.4</v>
      </c>
      <c r="F950" s="151" t="s">
        <v>1272</v>
      </c>
      <c r="G950" s="151" t="s">
        <v>1142</v>
      </c>
      <c r="H950" s="211">
        <v>2092.5</v>
      </c>
      <c r="I950" s="17">
        <f t="shared" si="3"/>
        <v>43648310.387984984</v>
      </c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spans="1:24">
      <c r="A951" s="151" t="s">
        <v>3998</v>
      </c>
      <c r="B951" s="17" t="s">
        <v>3999</v>
      </c>
      <c r="C951" s="211">
        <v>517041</v>
      </c>
      <c r="D951" s="151" t="s">
        <v>4000</v>
      </c>
      <c r="E951" s="211">
        <v>1537.5</v>
      </c>
      <c r="F951" s="151" t="s">
        <v>1783</v>
      </c>
      <c r="G951" s="151" t="s">
        <v>1141</v>
      </c>
      <c r="H951" s="211">
        <v>2090.8000000000002</v>
      </c>
      <c r="I951" s="17">
        <f t="shared" si="3"/>
        <v>13598699.18699187</v>
      </c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spans="1:24">
      <c r="A952" s="151" t="s">
        <v>4001</v>
      </c>
      <c r="B952" s="17" t="s">
        <v>4002</v>
      </c>
      <c r="C952" s="211">
        <v>523301</v>
      </c>
      <c r="D952" s="151" t="s">
        <v>4003</v>
      </c>
      <c r="E952" s="211">
        <v>2296.4</v>
      </c>
      <c r="F952" s="151" t="s">
        <v>2222</v>
      </c>
      <c r="G952" s="151" t="s">
        <v>1229</v>
      </c>
      <c r="H952" s="211">
        <v>2089.8000000000002</v>
      </c>
      <c r="I952" s="17">
        <f t="shared" si="3"/>
        <v>9100330.9527956806</v>
      </c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spans="1:24">
      <c r="A953" s="151" t="s">
        <v>4004</v>
      </c>
      <c r="B953" s="17" t="s">
        <v>4005</v>
      </c>
      <c r="C953" s="211">
        <v>500412</v>
      </c>
      <c r="D953" s="151" t="s">
        <v>4006</v>
      </c>
      <c r="E953" s="211">
        <v>203.4</v>
      </c>
      <c r="F953" s="151" t="s">
        <v>1840</v>
      </c>
      <c r="G953" s="151" t="s">
        <v>1335</v>
      </c>
      <c r="H953" s="211">
        <v>2083.1</v>
      </c>
      <c r="I953" s="17">
        <f t="shared" si="3"/>
        <v>102413962.63520157</v>
      </c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spans="1:24">
      <c r="A954" s="151" t="s">
        <v>4007</v>
      </c>
      <c r="B954" s="17" t="s">
        <v>4008</v>
      </c>
      <c r="C954" s="211">
        <v>543667</v>
      </c>
      <c r="D954" s="151" t="s">
        <v>4009</v>
      </c>
      <c r="E954" s="211">
        <v>70.900000000000006</v>
      </c>
      <c r="F954" s="151" t="s">
        <v>1242</v>
      </c>
      <c r="G954" s="151" t="s">
        <v>1144</v>
      </c>
      <c r="H954" s="211">
        <v>2081.6999999999998</v>
      </c>
      <c r="I954" s="17">
        <f t="shared" si="3"/>
        <v>293610719.32299012</v>
      </c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spans="1:24">
      <c r="A955" s="151" t="s">
        <v>4010</v>
      </c>
      <c r="B955" s="17" t="s">
        <v>4011</v>
      </c>
      <c r="C955" s="211">
        <v>543992</v>
      </c>
      <c r="D955" s="151" t="s">
        <v>4012</v>
      </c>
      <c r="E955" s="211">
        <v>132.30000000000001</v>
      </c>
      <c r="F955" s="151" t="s">
        <v>1373</v>
      </c>
      <c r="G955" s="151" t="s">
        <v>1143</v>
      </c>
      <c r="H955" s="211">
        <v>2076</v>
      </c>
      <c r="I955" s="17">
        <f t="shared" si="3"/>
        <v>156916099.77324262</v>
      </c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spans="1:24">
      <c r="A956" s="151" t="s">
        <v>4013</v>
      </c>
      <c r="B956" s="17" t="s">
        <v>4014</v>
      </c>
      <c r="C956" s="211">
        <v>516072</v>
      </c>
      <c r="D956" s="151" t="s">
        <v>4015</v>
      </c>
      <c r="E956" s="211">
        <v>316</v>
      </c>
      <c r="F956" s="151" t="s">
        <v>1334</v>
      </c>
      <c r="G956" s="151" t="s">
        <v>1335</v>
      </c>
      <c r="H956" s="211">
        <v>2071</v>
      </c>
      <c r="I956" s="17">
        <f t="shared" si="3"/>
        <v>65537974.6835443</v>
      </c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spans="1:24">
      <c r="A957" s="151" t="s">
        <v>4016</v>
      </c>
      <c r="B957" s="17" t="s">
        <v>519</v>
      </c>
      <c r="C957" s="211">
        <v>500314</v>
      </c>
      <c r="D957" s="151" t="s">
        <v>4017</v>
      </c>
      <c r="E957" s="211">
        <v>115</v>
      </c>
      <c r="F957" s="151" t="s">
        <v>1532</v>
      </c>
      <c r="G957" s="151" t="s">
        <v>1533</v>
      </c>
      <c r="H957" s="211">
        <v>2054.8000000000002</v>
      </c>
      <c r="I957" s="17">
        <f t="shared" si="3"/>
        <v>178678260.86956522</v>
      </c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spans="1:24">
      <c r="A958" s="151" t="s">
        <v>4018</v>
      </c>
      <c r="B958" s="17" t="s">
        <v>4019</v>
      </c>
      <c r="C958" s="211">
        <v>543547</v>
      </c>
      <c r="D958" s="151" t="s">
        <v>4020</v>
      </c>
      <c r="E958" s="211">
        <v>198.5</v>
      </c>
      <c r="F958" s="151" t="s">
        <v>1546</v>
      </c>
      <c r="G958" s="151" t="s">
        <v>1141</v>
      </c>
      <c r="H958" s="211">
        <v>2054.1</v>
      </c>
      <c r="I958" s="17">
        <f t="shared" si="3"/>
        <v>103481108.31234257</v>
      </c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spans="1:24">
      <c r="A959" s="151" t="s">
        <v>4021</v>
      </c>
      <c r="B959" s="17" t="s">
        <v>4022</v>
      </c>
      <c r="C959" s="211">
        <v>532698</v>
      </c>
      <c r="D959" s="151" t="s">
        <v>4023</v>
      </c>
      <c r="E959" s="211">
        <v>364.2</v>
      </c>
      <c r="F959" s="151" t="s">
        <v>1854</v>
      </c>
      <c r="G959" s="151" t="s">
        <v>1216</v>
      </c>
      <c r="H959" s="211">
        <v>2047.5</v>
      </c>
      <c r="I959" s="17">
        <f t="shared" si="3"/>
        <v>56219110.378912687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spans="1:24">
      <c r="A960" s="151" t="s">
        <v>4024</v>
      </c>
      <c r="B960" s="17" t="s">
        <v>4025</v>
      </c>
      <c r="C960" s="211">
        <v>543972</v>
      </c>
      <c r="D960" s="151" t="s">
        <v>4026</v>
      </c>
      <c r="E960" s="211">
        <v>158.30000000000001</v>
      </c>
      <c r="F960" s="151" t="s">
        <v>1675</v>
      </c>
      <c r="G960" s="151" t="s">
        <v>1142</v>
      </c>
      <c r="H960" s="211">
        <v>2047.1</v>
      </c>
      <c r="I960" s="17">
        <f t="shared" si="3"/>
        <v>129317751.10549589</v>
      </c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spans="1:24">
      <c r="A961" s="151" t="s">
        <v>4027</v>
      </c>
      <c r="B961" s="17" t="s">
        <v>49</v>
      </c>
      <c r="C961" s="211">
        <v>505192</v>
      </c>
      <c r="D961" s="151" t="s">
        <v>4028</v>
      </c>
      <c r="E961" s="211">
        <v>1408.8</v>
      </c>
      <c r="F961" s="151" t="s">
        <v>1259</v>
      </c>
      <c r="G961" s="151" t="s">
        <v>1211</v>
      </c>
      <c r="H961" s="211">
        <v>2038.8</v>
      </c>
      <c r="I961" s="17">
        <f t="shared" si="3"/>
        <v>14471890.971039183</v>
      </c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spans="1:24">
      <c r="A962" s="151" t="s">
        <v>4029</v>
      </c>
      <c r="B962" s="17" t="s">
        <v>4030</v>
      </c>
      <c r="C962" s="211">
        <v>540602</v>
      </c>
      <c r="D962" s="151" t="s">
        <v>4031</v>
      </c>
      <c r="E962" s="211">
        <v>180.5</v>
      </c>
      <c r="F962" s="151" t="s">
        <v>1907</v>
      </c>
      <c r="G962" s="151" t="s">
        <v>1908</v>
      </c>
      <c r="H962" s="211">
        <v>2030</v>
      </c>
      <c r="I962" s="17">
        <f t="shared" si="3"/>
        <v>112465373.96121883</v>
      </c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spans="1:24">
      <c r="A963" s="151" t="s">
        <v>4032</v>
      </c>
      <c r="B963" s="17" t="s">
        <v>4033</v>
      </c>
      <c r="C963" s="211">
        <v>533121</v>
      </c>
      <c r="D963" s="151" t="s">
        <v>4034</v>
      </c>
      <c r="E963" s="211">
        <v>1307.5</v>
      </c>
      <c r="F963" s="151" t="s">
        <v>1161</v>
      </c>
      <c r="G963" s="151" t="s">
        <v>1143</v>
      </c>
      <c r="H963" s="211">
        <v>2029.2</v>
      </c>
      <c r="I963" s="17">
        <f t="shared" si="3"/>
        <v>15519694.072657743</v>
      </c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spans="1:24">
      <c r="A964" s="151" t="s">
        <v>4035</v>
      </c>
      <c r="B964" s="17" t="s">
        <v>4036</v>
      </c>
      <c r="C964" s="211">
        <v>500068</v>
      </c>
      <c r="D964" s="151" t="s">
        <v>4037</v>
      </c>
      <c r="E964" s="211">
        <v>13900</v>
      </c>
      <c r="F964" s="151" t="s">
        <v>1587</v>
      </c>
      <c r="G964" s="151" t="s">
        <v>1141</v>
      </c>
      <c r="H964" s="211">
        <v>2021.3</v>
      </c>
      <c r="I964" s="17">
        <f t="shared" si="3"/>
        <v>1454172.6618705036</v>
      </c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spans="1:24">
      <c r="A965" s="151" t="s">
        <v>4038</v>
      </c>
      <c r="B965" s="17" t="s">
        <v>4039</v>
      </c>
      <c r="C965" s="211">
        <v>543419</v>
      </c>
      <c r="D965" s="151" t="s">
        <v>4040</v>
      </c>
      <c r="E965" s="211">
        <v>118.8</v>
      </c>
      <c r="F965" s="151" t="s">
        <v>1307</v>
      </c>
      <c r="G965" s="151" t="s">
        <v>1307</v>
      </c>
      <c r="H965" s="211">
        <v>2019.8</v>
      </c>
      <c r="I965" s="17">
        <f t="shared" si="3"/>
        <v>170016835.01683503</v>
      </c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spans="1:24">
      <c r="A966" s="151" t="s">
        <v>4041</v>
      </c>
      <c r="B966" s="17" t="s">
        <v>4042</v>
      </c>
      <c r="C966" s="211">
        <v>543977</v>
      </c>
      <c r="D966" s="151" t="s">
        <v>4043</v>
      </c>
      <c r="E966" s="211">
        <v>526.20000000000005</v>
      </c>
      <c r="F966" s="151" t="s">
        <v>1440</v>
      </c>
      <c r="G966" s="151" t="s">
        <v>1441</v>
      </c>
      <c r="H966" s="211">
        <v>1997.7</v>
      </c>
      <c r="I966" s="17">
        <f t="shared" si="3"/>
        <v>37964652.223489165</v>
      </c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spans="1:24">
      <c r="A967" s="151" t="s">
        <v>4044</v>
      </c>
      <c r="B967" s="17" t="s">
        <v>4045</v>
      </c>
      <c r="C967" s="211">
        <v>500108</v>
      </c>
      <c r="D967" s="151" t="s">
        <v>4046</v>
      </c>
      <c r="E967" s="211">
        <v>31.5</v>
      </c>
      <c r="F967" s="151" t="s">
        <v>1179</v>
      </c>
      <c r="G967" s="151" t="s">
        <v>1179</v>
      </c>
      <c r="H967" s="211">
        <v>1984.5</v>
      </c>
      <c r="I967" s="17">
        <f t="shared" si="3"/>
        <v>630000000</v>
      </c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spans="1:24">
      <c r="A968" s="151" t="s">
        <v>4047</v>
      </c>
      <c r="B968" s="17" t="s">
        <v>4048</v>
      </c>
      <c r="C968" s="211">
        <v>531201</v>
      </c>
      <c r="D968" s="151" t="s">
        <v>4049</v>
      </c>
      <c r="E968" s="211">
        <v>2596.9</v>
      </c>
      <c r="F968" s="151" t="s">
        <v>1440</v>
      </c>
      <c r="G968" s="151" t="s">
        <v>1441</v>
      </c>
      <c r="H968" s="211">
        <v>1980.6</v>
      </c>
      <c r="I968" s="17">
        <f t="shared" si="3"/>
        <v>7626785.78304902</v>
      </c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spans="1:24">
      <c r="A969" s="151" t="s">
        <v>4050</v>
      </c>
      <c r="B969" s="17" t="s">
        <v>4051</v>
      </c>
      <c r="C969" s="211">
        <v>544004</v>
      </c>
      <c r="D969" s="151" t="s">
        <v>4052</v>
      </c>
      <c r="E969" s="211">
        <v>481.8</v>
      </c>
      <c r="F969" s="151" t="s">
        <v>1410</v>
      </c>
      <c r="G969" s="151" t="s">
        <v>1144</v>
      </c>
      <c r="H969" s="211">
        <v>1978.1</v>
      </c>
      <c r="I969" s="17">
        <f t="shared" si="3"/>
        <v>41056454.960564546</v>
      </c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spans="1:24">
      <c r="A970" s="151" t="s">
        <v>4053</v>
      </c>
      <c r="B970" s="17" t="s">
        <v>4054</v>
      </c>
      <c r="C970" s="17"/>
      <c r="D970" s="151" t="s">
        <v>4055</v>
      </c>
      <c r="E970" s="211">
        <v>20.3</v>
      </c>
      <c r="F970" s="151" t="s">
        <v>1242</v>
      </c>
      <c r="G970" s="151" t="s">
        <v>1144</v>
      </c>
      <c r="H970" s="211">
        <v>1976.8</v>
      </c>
      <c r="I970" s="17">
        <f t="shared" si="3"/>
        <v>973793103.4482758</v>
      </c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spans="1:24">
      <c r="A971" s="151" t="s">
        <v>4056</v>
      </c>
      <c r="B971" s="17" t="s">
        <v>4057</v>
      </c>
      <c r="C971" s="211">
        <v>511431</v>
      </c>
      <c r="D971" s="151" t="s">
        <v>4058</v>
      </c>
      <c r="E971" s="211">
        <v>18.600000000000001</v>
      </c>
      <c r="F971" s="151" t="s">
        <v>2887</v>
      </c>
      <c r="G971" s="151" t="s">
        <v>1229</v>
      </c>
      <c r="H971" s="211">
        <v>1970.7</v>
      </c>
      <c r="I971" s="17">
        <f t="shared" si="3"/>
        <v>1059516129.032258</v>
      </c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spans="1:24">
      <c r="A972" s="151" t="s">
        <v>4059</v>
      </c>
      <c r="B972" s="17" t="s">
        <v>4060</v>
      </c>
      <c r="C972" s="211">
        <v>532851</v>
      </c>
      <c r="D972" s="151" t="s">
        <v>4061</v>
      </c>
      <c r="E972" s="211">
        <v>664.8</v>
      </c>
      <c r="F972" s="151" t="s">
        <v>1552</v>
      </c>
      <c r="G972" s="151" t="s">
        <v>1335</v>
      </c>
      <c r="H972" s="211">
        <v>1967.5</v>
      </c>
      <c r="I972" s="17">
        <f t="shared" si="3"/>
        <v>29595367.027677499</v>
      </c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spans="1:24">
      <c r="A973" s="151" t="s">
        <v>4062</v>
      </c>
      <c r="B973" s="17" t="s">
        <v>4063</v>
      </c>
      <c r="C973" s="211">
        <v>500333</v>
      </c>
      <c r="D973" s="151" t="s">
        <v>4064</v>
      </c>
      <c r="E973" s="211">
        <v>1442.8</v>
      </c>
      <c r="F973" s="151" t="s">
        <v>1646</v>
      </c>
      <c r="G973" s="151" t="s">
        <v>1211</v>
      </c>
      <c r="H973" s="211">
        <v>1965.8</v>
      </c>
      <c r="I973" s="17">
        <f t="shared" si="3"/>
        <v>13624896.035486555</v>
      </c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spans="1:24">
      <c r="A974" s="151" t="s">
        <v>4065</v>
      </c>
      <c r="B974" s="17" t="s">
        <v>4066</v>
      </c>
      <c r="C974" s="211">
        <v>539799</v>
      </c>
      <c r="D974" s="151" t="s">
        <v>4067</v>
      </c>
      <c r="E974" s="211">
        <v>287.60000000000002</v>
      </c>
      <c r="F974" s="151" t="s">
        <v>1675</v>
      </c>
      <c r="G974" s="151" t="s">
        <v>1142</v>
      </c>
      <c r="H974" s="211">
        <v>1955.8</v>
      </c>
      <c r="I974" s="17">
        <f t="shared" si="3"/>
        <v>68004172.46175243</v>
      </c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spans="1:24">
      <c r="A975" s="151" t="s">
        <v>4068</v>
      </c>
      <c r="B975" s="17" t="s">
        <v>4069</v>
      </c>
      <c r="C975" s="211">
        <v>512068</v>
      </c>
      <c r="D975" s="151" t="s">
        <v>4070</v>
      </c>
      <c r="E975" s="211">
        <v>132</v>
      </c>
      <c r="F975" s="151" t="s">
        <v>1591</v>
      </c>
      <c r="G975" s="151" t="s">
        <v>1142</v>
      </c>
      <c r="H975" s="211">
        <v>1943.9</v>
      </c>
      <c r="I975" s="17">
        <f t="shared" si="3"/>
        <v>147265151.5151515</v>
      </c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spans="1:24">
      <c r="A976" s="151" t="s">
        <v>4071</v>
      </c>
      <c r="B976" s="17" t="s">
        <v>4072</v>
      </c>
      <c r="C976" s="211">
        <v>539309</v>
      </c>
      <c r="D976" s="151" t="s">
        <v>4073</v>
      </c>
      <c r="E976" s="211">
        <v>38.1</v>
      </c>
      <c r="F976" s="151" t="s">
        <v>1675</v>
      </c>
      <c r="G976" s="151" t="s">
        <v>1142</v>
      </c>
      <c r="H976" s="211">
        <v>1942.9</v>
      </c>
      <c r="I976" s="17">
        <f t="shared" si="3"/>
        <v>509947506.56167978</v>
      </c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spans="1:24">
      <c r="A977" s="151" t="s">
        <v>4074</v>
      </c>
      <c r="B977" s="17" t="s">
        <v>4075</v>
      </c>
      <c r="C977" s="211">
        <v>590066</v>
      </c>
      <c r="D977" s="151" t="s">
        <v>4076</v>
      </c>
      <c r="E977" s="211">
        <v>150.6</v>
      </c>
      <c r="F977" s="151" t="s">
        <v>1238</v>
      </c>
      <c r="G977" s="151" t="s">
        <v>1138</v>
      </c>
      <c r="H977" s="211">
        <v>1940.9</v>
      </c>
      <c r="I977" s="17">
        <f t="shared" si="3"/>
        <v>128877822.04515272</v>
      </c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spans="1:24">
      <c r="A978" s="151" t="s">
        <v>4077</v>
      </c>
      <c r="B978" s="17" t="s">
        <v>4078</v>
      </c>
      <c r="C978" s="211">
        <v>543387</v>
      </c>
      <c r="D978" s="151" t="s">
        <v>4079</v>
      </c>
      <c r="E978" s="211">
        <v>624</v>
      </c>
      <c r="F978" s="151" t="s">
        <v>1507</v>
      </c>
      <c r="G978" s="151" t="s">
        <v>1211</v>
      </c>
      <c r="H978" s="211">
        <v>1936.9</v>
      </c>
      <c r="I978" s="17">
        <f t="shared" si="3"/>
        <v>31040064.102564104</v>
      </c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spans="1:24">
      <c r="A979" s="151" t="s">
        <v>4080</v>
      </c>
      <c r="B979" s="17" t="s">
        <v>4081</v>
      </c>
      <c r="C979" s="211">
        <v>532150</v>
      </c>
      <c r="D979" s="151" t="s">
        <v>4082</v>
      </c>
      <c r="E979" s="211">
        <v>211</v>
      </c>
      <c r="F979" s="151" t="s">
        <v>1445</v>
      </c>
      <c r="G979" s="151" t="s">
        <v>1139</v>
      </c>
      <c r="H979" s="211">
        <v>1934.3</v>
      </c>
      <c r="I979" s="17">
        <f t="shared" si="3"/>
        <v>91672985.781990528</v>
      </c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spans="1:24">
      <c r="A980" s="151" t="s">
        <v>4083</v>
      </c>
      <c r="B980" s="17" t="s">
        <v>4084</v>
      </c>
      <c r="C980" s="211">
        <v>543514</v>
      </c>
      <c r="D980" s="151" t="s">
        <v>4085</v>
      </c>
      <c r="E980" s="211">
        <v>279.5</v>
      </c>
      <c r="F980" s="151" t="s">
        <v>4086</v>
      </c>
      <c r="G980" s="151" t="s">
        <v>1143</v>
      </c>
      <c r="H980" s="211">
        <v>1934.1</v>
      </c>
      <c r="I980" s="17">
        <f t="shared" si="3"/>
        <v>69198568.872987479</v>
      </c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spans="1:24">
      <c r="A981" s="151" t="s">
        <v>4087</v>
      </c>
      <c r="B981" s="17" t="s">
        <v>4088</v>
      </c>
      <c r="C981" s="211">
        <v>507747</v>
      </c>
      <c r="D981" s="151" t="s">
        <v>4089</v>
      </c>
      <c r="E981" s="211">
        <v>1368</v>
      </c>
      <c r="F981" s="151" t="s">
        <v>694</v>
      </c>
      <c r="G981" s="151" t="s">
        <v>1224</v>
      </c>
      <c r="H981" s="211">
        <v>1933.1</v>
      </c>
      <c r="I981" s="17">
        <f t="shared" si="3"/>
        <v>14130847.953216374</v>
      </c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spans="1:24">
      <c r="A982" s="151" t="s">
        <v>4090</v>
      </c>
      <c r="B982" s="17" t="s">
        <v>152</v>
      </c>
      <c r="C982" s="211">
        <v>533303</v>
      </c>
      <c r="D982" s="151" t="s">
        <v>4091</v>
      </c>
      <c r="E982" s="211">
        <v>513</v>
      </c>
      <c r="F982" s="151" t="s">
        <v>1233</v>
      </c>
      <c r="G982" s="151" t="s">
        <v>1234</v>
      </c>
      <c r="H982" s="211">
        <v>1932.5</v>
      </c>
      <c r="I982" s="17">
        <f t="shared" si="3"/>
        <v>37670565.302144252</v>
      </c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spans="1:24">
      <c r="A983" s="151" t="s">
        <v>4092</v>
      </c>
      <c r="B983" s="17" t="s">
        <v>29</v>
      </c>
      <c r="C983" s="211">
        <v>540710</v>
      </c>
      <c r="D983" s="151" t="s">
        <v>4093</v>
      </c>
      <c r="E983" s="211">
        <v>262.5</v>
      </c>
      <c r="F983" s="151" t="s">
        <v>1190</v>
      </c>
      <c r="G983" s="151" t="s">
        <v>1138</v>
      </c>
      <c r="H983" s="211">
        <v>1930.9</v>
      </c>
      <c r="I983" s="17">
        <f t="shared" si="3"/>
        <v>73558095.238095239</v>
      </c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spans="1:24">
      <c r="A984" s="151" t="s">
        <v>4094</v>
      </c>
      <c r="B984" s="17" t="s">
        <v>4095</v>
      </c>
      <c r="C984" s="211">
        <v>539301</v>
      </c>
      <c r="D984" s="151" t="s">
        <v>4096</v>
      </c>
      <c r="E984" s="211">
        <v>425.4</v>
      </c>
      <c r="F984" s="151" t="s">
        <v>1307</v>
      </c>
      <c r="G984" s="151" t="s">
        <v>1307</v>
      </c>
      <c r="H984" s="211">
        <v>1927.6</v>
      </c>
      <c r="I984" s="17">
        <f t="shared" si="3"/>
        <v>45312646.920545369</v>
      </c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spans="1:24">
      <c r="A985" s="151" t="s">
        <v>4097</v>
      </c>
      <c r="B985" s="17" t="s">
        <v>230</v>
      </c>
      <c r="C985" s="211">
        <v>532729</v>
      </c>
      <c r="D985" s="151" t="s">
        <v>4098</v>
      </c>
      <c r="E985" s="211">
        <v>504.2</v>
      </c>
      <c r="F985" s="151" t="s">
        <v>2449</v>
      </c>
      <c r="G985" s="151" t="s">
        <v>1140</v>
      </c>
      <c r="H985" s="211">
        <v>1922.7</v>
      </c>
      <c r="I985" s="17">
        <f t="shared" si="3"/>
        <v>38133677.112257041</v>
      </c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spans="1:24">
      <c r="A986" s="151" t="s">
        <v>4099</v>
      </c>
      <c r="B986" s="17" t="s">
        <v>4100</v>
      </c>
      <c r="C986" s="211">
        <v>531431</v>
      </c>
      <c r="D986" s="151" t="s">
        <v>4101</v>
      </c>
      <c r="E986" s="211">
        <v>1038.4000000000001</v>
      </c>
      <c r="F986" s="151" t="s">
        <v>1587</v>
      </c>
      <c r="G986" s="151" t="s">
        <v>1141</v>
      </c>
      <c r="H986" s="211">
        <v>1908.7</v>
      </c>
      <c r="I986" s="17">
        <f t="shared" si="3"/>
        <v>18381163.328197226</v>
      </c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spans="1:24">
      <c r="A987" s="151" t="s">
        <v>4102</v>
      </c>
      <c r="B987" s="17" t="s">
        <v>4103</v>
      </c>
      <c r="C987" s="211">
        <v>543331</v>
      </c>
      <c r="D987" s="151" t="s">
        <v>4104</v>
      </c>
      <c r="E987" s="211">
        <v>75</v>
      </c>
      <c r="F987" s="151" t="s">
        <v>1552</v>
      </c>
      <c r="G987" s="151" t="s">
        <v>1335</v>
      </c>
      <c r="H987" s="211">
        <v>1907.4</v>
      </c>
      <c r="I987" s="17">
        <f t="shared" si="3"/>
        <v>254320000</v>
      </c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spans="1:24">
      <c r="A988" s="151" t="s">
        <v>4105</v>
      </c>
      <c r="B988" s="17" t="s">
        <v>4106</v>
      </c>
      <c r="C988" s="211">
        <v>514448</v>
      </c>
      <c r="D988" s="151" t="s">
        <v>4107</v>
      </c>
      <c r="E988" s="211">
        <v>1586</v>
      </c>
      <c r="F988" s="151" t="s">
        <v>1334</v>
      </c>
      <c r="G988" s="151" t="s">
        <v>1335</v>
      </c>
      <c r="H988" s="211">
        <v>1903.3</v>
      </c>
      <c r="I988" s="17">
        <f t="shared" si="3"/>
        <v>12000630.51702396</v>
      </c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spans="1:24">
      <c r="A989" s="151" t="s">
        <v>4108</v>
      </c>
      <c r="B989" s="17" t="s">
        <v>4109</v>
      </c>
      <c r="C989" s="211">
        <v>533267</v>
      </c>
      <c r="D989" s="151" t="s">
        <v>4110</v>
      </c>
      <c r="E989" s="211">
        <v>232.7</v>
      </c>
      <c r="F989" s="151" t="s">
        <v>1710</v>
      </c>
      <c r="G989" s="151" t="s">
        <v>1216</v>
      </c>
      <c r="H989" s="211">
        <v>1899.7</v>
      </c>
      <c r="I989" s="17">
        <f t="shared" si="3"/>
        <v>81637301.246239796</v>
      </c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spans="1:24">
      <c r="A990" s="151" t="s">
        <v>4111</v>
      </c>
      <c r="B990" s="17" t="s">
        <v>4112</v>
      </c>
      <c r="C990" s="211">
        <v>539678</v>
      </c>
      <c r="D990" s="151" t="s">
        <v>4113</v>
      </c>
      <c r="E990" s="211">
        <v>355.6</v>
      </c>
      <c r="F990" s="151" t="s">
        <v>2491</v>
      </c>
      <c r="G990" s="151" t="s">
        <v>1143</v>
      </c>
      <c r="H990" s="211">
        <v>1895.5</v>
      </c>
      <c r="I990" s="17">
        <f t="shared" si="3"/>
        <v>53304274.465691783</v>
      </c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spans="1:24">
      <c r="A991" s="151" t="s">
        <v>4114</v>
      </c>
      <c r="B991" s="17" t="s">
        <v>4115</v>
      </c>
      <c r="C991" s="211">
        <v>524820</v>
      </c>
      <c r="D991" s="151" t="s">
        <v>4116</v>
      </c>
      <c r="E991" s="211">
        <v>313.2</v>
      </c>
      <c r="F991" s="151" t="s">
        <v>1157</v>
      </c>
      <c r="G991" s="151" t="s">
        <v>1158</v>
      </c>
      <c r="H991" s="211">
        <v>1895</v>
      </c>
      <c r="I991" s="17">
        <f t="shared" si="3"/>
        <v>60504469.98722861</v>
      </c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spans="1:24">
      <c r="A992" s="151" t="s">
        <v>4117</v>
      </c>
      <c r="B992" s="17" t="s">
        <v>4118</v>
      </c>
      <c r="C992" s="211">
        <v>514234</v>
      </c>
      <c r="D992" s="151" t="s">
        <v>4119</v>
      </c>
      <c r="E992" s="211">
        <v>376</v>
      </c>
      <c r="F992" s="151" t="s">
        <v>1854</v>
      </c>
      <c r="G992" s="151" t="s">
        <v>1216</v>
      </c>
      <c r="H992" s="211">
        <v>1889</v>
      </c>
      <c r="I992" s="17">
        <f t="shared" si="3"/>
        <v>50239361.702127658</v>
      </c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spans="1:24">
      <c r="A993" s="151" t="s">
        <v>4120</v>
      </c>
      <c r="B993" s="17" t="s">
        <v>4121</v>
      </c>
      <c r="C993" s="211">
        <v>590013</v>
      </c>
      <c r="D993" s="151" t="s">
        <v>4122</v>
      </c>
      <c r="E993" s="211">
        <v>912.8</v>
      </c>
      <c r="F993" s="151" t="s">
        <v>2950</v>
      </c>
      <c r="G993" s="151" t="s">
        <v>1229</v>
      </c>
      <c r="H993" s="211">
        <v>1886.9</v>
      </c>
      <c r="I993" s="17">
        <f t="shared" si="3"/>
        <v>20671560.035056967</v>
      </c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spans="1:24">
      <c r="A994" s="151" t="s">
        <v>4123</v>
      </c>
      <c r="B994" s="17" t="s">
        <v>4124</v>
      </c>
      <c r="C994" s="211">
        <v>539725</v>
      </c>
      <c r="D994" s="151" t="s">
        <v>4125</v>
      </c>
      <c r="E994" s="211">
        <v>127.2</v>
      </c>
      <c r="F994" s="151" t="s">
        <v>1616</v>
      </c>
      <c r="G994" s="151" t="s">
        <v>1173</v>
      </c>
      <c r="H994" s="211">
        <v>1876.8</v>
      </c>
      <c r="I994" s="17">
        <f t="shared" si="3"/>
        <v>147547169.81132075</v>
      </c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spans="1:24">
      <c r="A995" s="151" t="s">
        <v>4126</v>
      </c>
      <c r="B995" s="17" t="s">
        <v>4127</v>
      </c>
      <c r="C995" s="211">
        <v>505160</v>
      </c>
      <c r="D995" s="151" t="s">
        <v>4128</v>
      </c>
      <c r="E995" s="211">
        <v>304</v>
      </c>
      <c r="F995" s="151" t="s">
        <v>1507</v>
      </c>
      <c r="G995" s="151" t="s">
        <v>1211</v>
      </c>
      <c r="H995" s="211">
        <v>1876.5</v>
      </c>
      <c r="I995" s="17">
        <f t="shared" si="3"/>
        <v>61726973.684210524</v>
      </c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spans="1:24">
      <c r="A996" s="151" t="s">
        <v>4129</v>
      </c>
      <c r="B996" s="17" t="s">
        <v>16</v>
      </c>
      <c r="C996" s="211">
        <v>517544</v>
      </c>
      <c r="D996" s="151" t="s">
        <v>4130</v>
      </c>
      <c r="E996" s="211">
        <v>1452.4</v>
      </c>
      <c r="F996" s="151" t="s">
        <v>3114</v>
      </c>
      <c r="G996" s="151" t="s">
        <v>1229</v>
      </c>
      <c r="H996" s="211">
        <v>1871.4</v>
      </c>
      <c r="I996" s="17">
        <f t="shared" si="3"/>
        <v>12884880.198292481</v>
      </c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spans="1:24">
      <c r="A997" s="151" t="s">
        <v>4131</v>
      </c>
      <c r="B997" s="17" t="s">
        <v>4132</v>
      </c>
      <c r="C997" s="211">
        <v>531179</v>
      </c>
      <c r="D997" s="151" t="s">
        <v>4133</v>
      </c>
      <c r="E997" s="211">
        <v>2147.4</v>
      </c>
      <c r="F997" s="151" t="s">
        <v>1194</v>
      </c>
      <c r="G997" s="151" t="s">
        <v>1137</v>
      </c>
      <c r="H997" s="211">
        <v>1870.6</v>
      </c>
      <c r="I997" s="17">
        <f t="shared" si="3"/>
        <v>8710999.3480488025</v>
      </c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spans="1:24">
      <c r="A998" s="151" t="s">
        <v>4134</v>
      </c>
      <c r="B998" s="17" t="s">
        <v>4135</v>
      </c>
      <c r="C998" s="211">
        <v>530131</v>
      </c>
      <c r="D998" s="151" t="s">
        <v>4136</v>
      </c>
      <c r="E998" s="211">
        <v>33.4</v>
      </c>
      <c r="F998" s="151" t="s">
        <v>1238</v>
      </c>
      <c r="G998" s="151" t="s">
        <v>1138</v>
      </c>
      <c r="H998" s="211">
        <v>1869.4</v>
      </c>
      <c r="I998" s="17">
        <f t="shared" si="3"/>
        <v>559700598.80239522</v>
      </c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spans="1:24">
      <c r="A999" s="151" t="s">
        <v>4137</v>
      </c>
      <c r="B999" s="17" t="s">
        <v>4138</v>
      </c>
      <c r="C999" s="211">
        <v>532369</v>
      </c>
      <c r="D999" s="151" t="s">
        <v>4139</v>
      </c>
      <c r="E999" s="211">
        <v>215.2</v>
      </c>
      <c r="F999" s="151" t="s">
        <v>4140</v>
      </c>
      <c r="G999" s="151" t="s">
        <v>1138</v>
      </c>
      <c r="H999" s="211">
        <v>1868.6</v>
      </c>
      <c r="I999" s="17">
        <f t="shared" si="3"/>
        <v>86830855.018587366</v>
      </c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spans="1:24">
      <c r="A1000" s="151" t="s">
        <v>4141</v>
      </c>
      <c r="B1000" s="17" t="s">
        <v>220</v>
      </c>
      <c r="C1000" s="211">
        <v>533168</v>
      </c>
      <c r="D1000" s="151" t="s">
        <v>4142</v>
      </c>
      <c r="E1000" s="211">
        <v>495.6</v>
      </c>
      <c r="F1000" s="151" t="s">
        <v>1293</v>
      </c>
      <c r="G1000" s="151" t="s">
        <v>1141</v>
      </c>
      <c r="H1000" s="211">
        <v>1868.1</v>
      </c>
      <c r="I1000" s="17">
        <f t="shared" si="3"/>
        <v>37693704.600484259</v>
      </c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spans="1:24">
      <c r="A1001" s="151" t="s">
        <v>4143</v>
      </c>
      <c r="B1001" s="17" t="s">
        <v>160</v>
      </c>
      <c r="C1001" s="211">
        <v>531426</v>
      </c>
      <c r="D1001" s="151" t="s">
        <v>4144</v>
      </c>
      <c r="E1001" s="211">
        <v>269.8</v>
      </c>
      <c r="F1001" s="151" t="s">
        <v>2222</v>
      </c>
      <c r="G1001" s="151" t="s">
        <v>1229</v>
      </c>
      <c r="H1001" s="211">
        <v>1867.3</v>
      </c>
      <c r="I1001" s="17">
        <f t="shared" si="3"/>
        <v>69210526.315789476</v>
      </c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spans="1:24">
      <c r="A1002" s="151" t="s">
        <v>4145</v>
      </c>
      <c r="B1002" s="17" t="s">
        <v>4146</v>
      </c>
      <c r="C1002" s="211">
        <v>520086</v>
      </c>
      <c r="D1002" s="151" t="s">
        <v>4147</v>
      </c>
      <c r="E1002" s="211">
        <v>285</v>
      </c>
      <c r="F1002" s="151" t="s">
        <v>1858</v>
      </c>
      <c r="G1002" s="151" t="s">
        <v>1280</v>
      </c>
      <c r="H1002" s="211">
        <v>1859.6</v>
      </c>
      <c r="I1002" s="17">
        <f t="shared" si="3"/>
        <v>65249122.807017542</v>
      </c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spans="1:24">
      <c r="A1003" s="151" t="s">
        <v>4148</v>
      </c>
      <c r="B1003" s="17" t="s">
        <v>4149</v>
      </c>
      <c r="C1003" s="211">
        <v>517421</v>
      </c>
      <c r="D1003" s="151" t="s">
        <v>4150</v>
      </c>
      <c r="E1003" s="211">
        <v>1039.5</v>
      </c>
      <c r="F1003" s="151" t="s">
        <v>2094</v>
      </c>
      <c r="G1003" s="151" t="s">
        <v>1441</v>
      </c>
      <c r="H1003" s="211">
        <v>1858.6</v>
      </c>
      <c r="I1003" s="17">
        <f t="shared" si="3"/>
        <v>17879749.879749879</v>
      </c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spans="1:24">
      <c r="A1004" s="151" t="s">
        <v>4151</v>
      </c>
      <c r="B1004" s="17" t="s">
        <v>4152</v>
      </c>
      <c r="C1004" s="211">
        <v>532742</v>
      </c>
      <c r="D1004" s="151" t="s">
        <v>4153</v>
      </c>
      <c r="E1004" s="211">
        <v>5990.1</v>
      </c>
      <c r="F1004" s="151" t="s">
        <v>1334</v>
      </c>
      <c r="G1004" s="151" t="s">
        <v>1335</v>
      </c>
      <c r="H1004" s="211">
        <v>1846.2</v>
      </c>
      <c r="I1004" s="17">
        <f t="shared" si="3"/>
        <v>3082085.440977613</v>
      </c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spans="1:24">
      <c r="A1005" s="151" t="s">
        <v>4154</v>
      </c>
      <c r="B1005" s="17" t="s">
        <v>4155</v>
      </c>
      <c r="C1005" s="211">
        <v>543517</v>
      </c>
      <c r="D1005" s="151" t="s">
        <v>4156</v>
      </c>
      <c r="E1005" s="211">
        <v>667.6</v>
      </c>
      <c r="F1005" s="151" t="s">
        <v>1675</v>
      </c>
      <c r="G1005" s="151" t="s">
        <v>1142</v>
      </c>
      <c r="H1005" s="211">
        <v>1843.9</v>
      </c>
      <c r="I1005" s="17">
        <f t="shared" si="3"/>
        <v>27619832.234871179</v>
      </c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spans="1:24">
      <c r="A1006" s="151" t="s">
        <v>4157</v>
      </c>
      <c r="B1006" s="17" t="s">
        <v>4158</v>
      </c>
      <c r="C1006" s="211">
        <v>530239</v>
      </c>
      <c r="D1006" s="151" t="s">
        <v>4159</v>
      </c>
      <c r="E1006" s="211">
        <v>84.2</v>
      </c>
      <c r="F1006" s="151" t="s">
        <v>694</v>
      </c>
      <c r="G1006" s="151" t="s">
        <v>1224</v>
      </c>
      <c r="H1006" s="211">
        <v>1835.1</v>
      </c>
      <c r="I1006" s="17">
        <f t="shared" si="3"/>
        <v>217945368.17102137</v>
      </c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spans="1:24">
      <c r="A1007" s="151" t="s">
        <v>4160</v>
      </c>
      <c r="B1007" s="17" t="s">
        <v>4161</v>
      </c>
      <c r="C1007" s="211">
        <v>500414</v>
      </c>
      <c r="D1007" s="151" t="s">
        <v>4162</v>
      </c>
      <c r="E1007" s="211">
        <v>181.8</v>
      </c>
      <c r="F1007" s="151" t="s">
        <v>1710</v>
      </c>
      <c r="G1007" s="151" t="s">
        <v>1216</v>
      </c>
      <c r="H1007" s="211">
        <v>1834.8</v>
      </c>
      <c r="I1007" s="17">
        <f t="shared" si="3"/>
        <v>100924092.40924092</v>
      </c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  <row r="1008" spans="1:24">
      <c r="A1008" s="151" t="s">
        <v>4163</v>
      </c>
      <c r="B1008" s="17" t="s">
        <v>4164</v>
      </c>
      <c r="C1008" s="211">
        <v>526729</v>
      </c>
      <c r="D1008" s="151" t="s">
        <v>4165</v>
      </c>
      <c r="E1008" s="211">
        <v>171.7</v>
      </c>
      <c r="F1008" s="151" t="s">
        <v>1710</v>
      </c>
      <c r="G1008" s="151" t="s">
        <v>1216</v>
      </c>
      <c r="H1008" s="211">
        <v>1833.7</v>
      </c>
      <c r="I1008" s="17">
        <f t="shared" si="3"/>
        <v>106796738.49737915</v>
      </c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spans="1:24">
      <c r="A1009" s="151" t="s">
        <v>4166</v>
      </c>
      <c r="B1009" s="17" t="s">
        <v>4167</v>
      </c>
      <c r="C1009" s="211">
        <v>541167</v>
      </c>
      <c r="D1009" s="151" t="s">
        <v>4168</v>
      </c>
      <c r="E1009" s="211">
        <v>1600</v>
      </c>
      <c r="F1009" s="151" t="s">
        <v>1334</v>
      </c>
      <c r="G1009" s="151" t="s">
        <v>1335</v>
      </c>
      <c r="H1009" s="211">
        <v>1823.9</v>
      </c>
      <c r="I1009" s="17">
        <f t="shared" si="3"/>
        <v>11399375</v>
      </c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</row>
    <row r="1010" spans="1:24">
      <c r="A1010" s="151" t="s">
        <v>4169</v>
      </c>
      <c r="B1010" s="17" t="s">
        <v>4170</v>
      </c>
      <c r="C1010" s="211">
        <v>532348</v>
      </c>
      <c r="D1010" s="151" t="s">
        <v>4171</v>
      </c>
      <c r="E1010" s="211">
        <v>32.4</v>
      </c>
      <c r="F1010" s="151" t="s">
        <v>2491</v>
      </c>
      <c r="G1010" s="151" t="s">
        <v>1143</v>
      </c>
      <c r="H1010" s="211">
        <v>1823.7</v>
      </c>
      <c r="I1010" s="17">
        <f t="shared" si="3"/>
        <v>562870370.37037039</v>
      </c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</row>
    <row r="1011" spans="1:24">
      <c r="A1011" s="151" t="s">
        <v>4172</v>
      </c>
      <c r="B1011" s="17" t="s">
        <v>4173</v>
      </c>
      <c r="C1011" s="211">
        <v>500119</v>
      </c>
      <c r="D1011" s="151" t="s">
        <v>4174</v>
      </c>
      <c r="E1011" s="211">
        <v>274.2</v>
      </c>
      <c r="F1011" s="151" t="s">
        <v>2449</v>
      </c>
      <c r="G1011" s="151" t="s">
        <v>1140</v>
      </c>
      <c r="H1011" s="211">
        <v>1820.3</v>
      </c>
      <c r="I1011" s="17">
        <f t="shared" si="3"/>
        <v>66385849.744711891</v>
      </c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spans="1:24">
      <c r="A1012" s="151" t="s">
        <v>4175</v>
      </c>
      <c r="B1012" s="17" t="s">
        <v>148</v>
      </c>
      <c r="C1012" s="211">
        <v>534392</v>
      </c>
      <c r="D1012" s="151" t="s">
        <v>4176</v>
      </c>
      <c r="E1012" s="211">
        <v>224</v>
      </c>
      <c r="F1012" s="151" t="s">
        <v>1675</v>
      </c>
      <c r="G1012" s="151" t="s">
        <v>1142</v>
      </c>
      <c r="H1012" s="211">
        <v>1820.1</v>
      </c>
      <c r="I1012" s="17">
        <f t="shared" si="3"/>
        <v>81254464.285714284</v>
      </c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</row>
    <row r="1013" spans="1:24">
      <c r="A1013" s="151" t="s">
        <v>4177</v>
      </c>
      <c r="B1013" s="17" t="s">
        <v>4178</v>
      </c>
      <c r="C1013" s="211">
        <v>508906</v>
      </c>
      <c r="D1013" s="151" t="s">
        <v>4179</v>
      </c>
      <c r="E1013" s="211">
        <v>1152</v>
      </c>
      <c r="F1013" s="151" t="s">
        <v>1238</v>
      </c>
      <c r="G1013" s="151" t="s">
        <v>1138</v>
      </c>
      <c r="H1013" s="211">
        <v>1817.5</v>
      </c>
      <c r="I1013" s="17">
        <f t="shared" si="3"/>
        <v>15776909.722222222</v>
      </c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</row>
    <row r="1014" spans="1:24">
      <c r="A1014" s="151" t="s">
        <v>4180</v>
      </c>
      <c r="B1014" s="17" t="s">
        <v>4181</v>
      </c>
      <c r="C1014" s="211">
        <v>540124</v>
      </c>
      <c r="D1014" s="151" t="s">
        <v>4182</v>
      </c>
      <c r="E1014" s="211">
        <v>422.9</v>
      </c>
      <c r="F1014" s="151" t="s">
        <v>1507</v>
      </c>
      <c r="G1014" s="151" t="s">
        <v>1211</v>
      </c>
      <c r="H1014" s="211">
        <v>1815.5</v>
      </c>
      <c r="I1014" s="17">
        <f t="shared" si="3"/>
        <v>42929770.631354935</v>
      </c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spans="1:24">
      <c r="A1015" s="151" t="s">
        <v>4183</v>
      </c>
      <c r="B1015" s="17" t="s">
        <v>4184</v>
      </c>
      <c r="C1015" s="211">
        <v>532345</v>
      </c>
      <c r="D1015" s="151" t="s">
        <v>4185</v>
      </c>
      <c r="E1015" s="211">
        <v>138.9</v>
      </c>
      <c r="F1015" s="151" t="s">
        <v>1858</v>
      </c>
      <c r="G1015" s="151" t="s">
        <v>1280</v>
      </c>
      <c r="H1015" s="211">
        <v>1809</v>
      </c>
      <c r="I1015" s="17">
        <f t="shared" si="3"/>
        <v>130237580.99352051</v>
      </c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</row>
    <row r="1016" spans="1:24">
      <c r="A1016" s="151" t="s">
        <v>4186</v>
      </c>
      <c r="B1016" s="17" t="s">
        <v>170</v>
      </c>
      <c r="C1016" s="211">
        <v>505800</v>
      </c>
      <c r="D1016" s="151" t="s">
        <v>4187</v>
      </c>
      <c r="E1016" s="211">
        <v>1257</v>
      </c>
      <c r="F1016" s="151" t="s">
        <v>1233</v>
      </c>
      <c r="G1016" s="151" t="s">
        <v>1234</v>
      </c>
      <c r="H1016" s="211">
        <v>1794.8</v>
      </c>
      <c r="I1016" s="17">
        <f t="shared" si="3"/>
        <v>14278440.731901353</v>
      </c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</row>
    <row r="1017" spans="1:24">
      <c r="A1017" s="151" t="s">
        <v>4188</v>
      </c>
      <c r="B1017" s="17" t="s">
        <v>4189</v>
      </c>
      <c r="C1017" s="211">
        <v>531357</v>
      </c>
      <c r="D1017" s="151" t="s">
        <v>4190</v>
      </c>
      <c r="E1017" s="211">
        <v>102.2</v>
      </c>
      <c r="F1017" s="151" t="s">
        <v>1228</v>
      </c>
      <c r="G1017" s="151" t="s">
        <v>1229</v>
      </c>
      <c r="H1017" s="211">
        <v>1794.4</v>
      </c>
      <c r="I1017" s="17">
        <f t="shared" si="3"/>
        <v>175577299.41291586</v>
      </c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spans="1:24">
      <c r="A1018" s="151" t="s">
        <v>4191</v>
      </c>
      <c r="B1018" s="17" t="s">
        <v>4192</v>
      </c>
      <c r="C1018" s="211">
        <v>504212</v>
      </c>
      <c r="D1018" s="151" t="s">
        <v>4193</v>
      </c>
      <c r="E1018" s="211">
        <v>516.20000000000005</v>
      </c>
      <c r="F1018" s="151" t="s">
        <v>1440</v>
      </c>
      <c r="G1018" s="151" t="s">
        <v>1441</v>
      </c>
      <c r="H1018" s="211">
        <v>1791</v>
      </c>
      <c r="I1018" s="17">
        <f t="shared" si="3"/>
        <v>34695854.320030995</v>
      </c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</row>
    <row r="1019" spans="1:24">
      <c r="A1019" s="151" t="s">
        <v>4194</v>
      </c>
      <c r="B1019" s="17" t="s">
        <v>4195</v>
      </c>
      <c r="C1019" s="211">
        <v>543996</v>
      </c>
      <c r="D1019" s="151" t="s">
        <v>4196</v>
      </c>
      <c r="E1019" s="211">
        <v>268.39999999999998</v>
      </c>
      <c r="F1019" s="151" t="s">
        <v>2887</v>
      </c>
      <c r="G1019" s="151" t="s">
        <v>1229</v>
      </c>
      <c r="H1019" s="211">
        <v>1790.3</v>
      </c>
      <c r="I1019" s="17">
        <f t="shared" si="3"/>
        <v>66702682.56333831</v>
      </c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</row>
    <row r="1020" spans="1:24">
      <c r="A1020" s="151" t="s">
        <v>4197</v>
      </c>
      <c r="B1020" s="17" t="s">
        <v>4198</v>
      </c>
      <c r="C1020" s="211">
        <v>542774</v>
      </c>
      <c r="D1020" s="151" t="s">
        <v>4199</v>
      </c>
      <c r="E1020" s="211">
        <v>118</v>
      </c>
      <c r="F1020" s="151" t="s">
        <v>1194</v>
      </c>
      <c r="G1020" s="151" t="s">
        <v>1137</v>
      </c>
      <c r="H1020" s="211">
        <v>1781.7</v>
      </c>
      <c r="I1020" s="17">
        <f t="shared" si="3"/>
        <v>150991525.42372882</v>
      </c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spans="1:24">
      <c r="A1021" s="151" t="s">
        <v>4200</v>
      </c>
      <c r="B1021" s="17" t="s">
        <v>4201</v>
      </c>
      <c r="C1021" s="211">
        <v>543995</v>
      </c>
      <c r="D1021" s="151" t="s">
        <v>4202</v>
      </c>
      <c r="E1021" s="211">
        <v>360.8</v>
      </c>
      <c r="F1021" s="151" t="s">
        <v>1215</v>
      </c>
      <c r="G1021" s="151" t="s">
        <v>1216</v>
      </c>
      <c r="H1021" s="211">
        <v>1762.7</v>
      </c>
      <c r="I1021" s="17">
        <f t="shared" si="3"/>
        <v>48855321.507760532</v>
      </c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</row>
    <row r="1022" spans="1:24">
      <c r="A1022" s="151" t="s">
        <v>4203</v>
      </c>
      <c r="B1022" s="17" t="s">
        <v>4204</v>
      </c>
      <c r="C1022" s="17"/>
      <c r="D1022" s="151" t="s">
        <v>4205</v>
      </c>
      <c r="E1022" s="211">
        <v>1465</v>
      </c>
      <c r="F1022" s="151" t="s">
        <v>1675</v>
      </c>
      <c r="G1022" s="151" t="s">
        <v>1142</v>
      </c>
      <c r="H1022" s="211">
        <v>1762.4</v>
      </c>
      <c r="I1022" s="17">
        <f t="shared" ref="I1022:I1276" si="4">H1022*10000000/E1022</f>
        <v>12030034.129692832</v>
      </c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</row>
    <row r="1023" spans="1:24">
      <c r="A1023" s="151" t="s">
        <v>4206</v>
      </c>
      <c r="B1023" s="17" t="s">
        <v>4207</v>
      </c>
      <c r="C1023" s="211">
        <v>519156</v>
      </c>
      <c r="D1023" s="151" t="s">
        <v>4208</v>
      </c>
      <c r="E1023" s="211">
        <v>2451.5</v>
      </c>
      <c r="F1023" s="151" t="s">
        <v>1255</v>
      </c>
      <c r="G1023" s="151" t="s">
        <v>1173</v>
      </c>
      <c r="H1023" s="211">
        <v>1762.1</v>
      </c>
      <c r="I1023" s="17">
        <f t="shared" si="4"/>
        <v>7187844.1770344684</v>
      </c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spans="1:24">
      <c r="A1024" s="151" t="s">
        <v>4209</v>
      </c>
      <c r="B1024" s="17" t="s">
        <v>4210</v>
      </c>
      <c r="C1024" s="17"/>
      <c r="D1024" s="151" t="s">
        <v>4211</v>
      </c>
      <c r="E1024" s="211">
        <v>1155</v>
      </c>
      <c r="F1024" s="151" t="s">
        <v>1440</v>
      </c>
      <c r="G1024" s="151" t="s">
        <v>1441</v>
      </c>
      <c r="H1024" s="211">
        <v>1746.3</v>
      </c>
      <c r="I1024" s="17">
        <f t="shared" si="4"/>
        <v>15119480.519480519</v>
      </c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</row>
    <row r="1025" spans="1:24">
      <c r="A1025" s="151" t="s">
        <v>4212</v>
      </c>
      <c r="B1025" s="17" t="s">
        <v>4213</v>
      </c>
      <c r="C1025" s="211">
        <v>500672</v>
      </c>
      <c r="D1025" s="151" t="s">
        <v>4214</v>
      </c>
      <c r="E1025" s="211">
        <v>707</v>
      </c>
      <c r="F1025" s="151" t="s">
        <v>694</v>
      </c>
      <c r="G1025" s="151" t="s">
        <v>1224</v>
      </c>
      <c r="H1025" s="211">
        <v>1745.8</v>
      </c>
      <c r="I1025" s="17">
        <f t="shared" si="4"/>
        <v>24693069.306930695</v>
      </c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</row>
    <row r="1026" spans="1:24">
      <c r="A1026" s="151" t="s">
        <v>4215</v>
      </c>
      <c r="B1026" s="17" t="s">
        <v>4216</v>
      </c>
      <c r="C1026" s="211">
        <v>504112</v>
      </c>
      <c r="D1026" s="151" t="s">
        <v>4217</v>
      </c>
      <c r="E1026" s="211">
        <v>764.2</v>
      </c>
      <c r="F1026" s="151" t="s">
        <v>4218</v>
      </c>
      <c r="G1026" s="151" t="s">
        <v>4219</v>
      </c>
      <c r="H1026" s="211">
        <v>1743.8</v>
      </c>
      <c r="I1026" s="17">
        <f t="shared" si="4"/>
        <v>22818633.86548024</v>
      </c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spans="1:24">
      <c r="A1027" s="151" t="s">
        <v>4220</v>
      </c>
      <c r="B1027" s="17" t="s">
        <v>4221</v>
      </c>
      <c r="C1027" s="211">
        <v>590006</v>
      </c>
      <c r="D1027" s="151" t="s">
        <v>4222</v>
      </c>
      <c r="E1027" s="211">
        <v>601.6</v>
      </c>
      <c r="F1027" s="151" t="s">
        <v>694</v>
      </c>
      <c r="G1027" s="151" t="s">
        <v>1224</v>
      </c>
      <c r="H1027" s="211">
        <v>1739.4</v>
      </c>
      <c r="I1027" s="17">
        <f t="shared" si="4"/>
        <v>28912898.936170213</v>
      </c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</row>
    <row r="1028" spans="1:24">
      <c r="A1028" s="151" t="s">
        <v>4223</v>
      </c>
      <c r="B1028" s="17" t="s">
        <v>4224</v>
      </c>
      <c r="C1028" s="211">
        <v>509874</v>
      </c>
      <c r="D1028" s="151" t="s">
        <v>4225</v>
      </c>
      <c r="E1028" s="211">
        <v>206.8</v>
      </c>
      <c r="F1028" s="151" t="s">
        <v>1220</v>
      </c>
      <c r="G1028" s="151" t="s">
        <v>1139</v>
      </c>
      <c r="H1028" s="211">
        <v>1731.1</v>
      </c>
      <c r="I1028" s="17">
        <f t="shared" si="4"/>
        <v>83708897.485493228</v>
      </c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</row>
    <row r="1029" spans="1:24">
      <c r="A1029" s="151" t="s">
        <v>4226</v>
      </c>
      <c r="B1029" s="17" t="s">
        <v>4227</v>
      </c>
      <c r="C1029" s="211">
        <v>532366</v>
      </c>
      <c r="D1029" s="151" t="s">
        <v>4228</v>
      </c>
      <c r="E1029" s="211">
        <v>96.1</v>
      </c>
      <c r="F1029" s="151" t="s">
        <v>1194</v>
      </c>
      <c r="G1029" s="151" t="s">
        <v>1137</v>
      </c>
      <c r="H1029" s="211">
        <v>1729.9</v>
      </c>
      <c r="I1029" s="17">
        <f t="shared" si="4"/>
        <v>180010405.82726327</v>
      </c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spans="1:24">
      <c r="A1030" s="151" t="s">
        <v>4229</v>
      </c>
      <c r="B1030" s="17" t="s">
        <v>4230</v>
      </c>
      <c r="C1030" s="211">
        <v>531795</v>
      </c>
      <c r="D1030" s="151" t="s">
        <v>4231</v>
      </c>
      <c r="E1030" s="211">
        <v>623</v>
      </c>
      <c r="F1030" s="151" t="s">
        <v>1289</v>
      </c>
      <c r="G1030" s="151" t="s">
        <v>1211</v>
      </c>
      <c r="H1030" s="211">
        <v>1729</v>
      </c>
      <c r="I1030" s="17">
        <f t="shared" si="4"/>
        <v>27752808.988764044</v>
      </c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</row>
    <row r="1031" spans="1:24">
      <c r="A1031" s="151" t="s">
        <v>4232</v>
      </c>
      <c r="B1031" s="17" t="s">
        <v>222</v>
      </c>
      <c r="C1031" s="211">
        <v>517380</v>
      </c>
      <c r="D1031" s="151" t="s">
        <v>4233</v>
      </c>
      <c r="E1031" s="211">
        <v>549</v>
      </c>
      <c r="F1031" s="151" t="s">
        <v>1507</v>
      </c>
      <c r="G1031" s="151" t="s">
        <v>1211</v>
      </c>
      <c r="H1031" s="211">
        <v>1728</v>
      </c>
      <c r="I1031" s="17">
        <f t="shared" si="4"/>
        <v>31475409.836065575</v>
      </c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</row>
    <row r="1032" spans="1:24">
      <c r="A1032" s="151" t="s">
        <v>4234</v>
      </c>
      <c r="B1032" s="17" t="s">
        <v>4235</v>
      </c>
      <c r="C1032" s="211">
        <v>539841</v>
      </c>
      <c r="D1032" s="151" t="s">
        <v>4236</v>
      </c>
      <c r="E1032" s="211">
        <v>91.2</v>
      </c>
      <c r="F1032" s="151" t="s">
        <v>1858</v>
      </c>
      <c r="G1032" s="151" t="s">
        <v>1280</v>
      </c>
      <c r="H1032" s="211">
        <v>1727.6</v>
      </c>
      <c r="I1032" s="17">
        <f t="shared" si="4"/>
        <v>189429824.56140351</v>
      </c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spans="1:24">
      <c r="A1033" s="151" t="s">
        <v>4237</v>
      </c>
      <c r="B1033" s="17" t="s">
        <v>23</v>
      </c>
      <c r="C1033" s="211">
        <v>543288</v>
      </c>
      <c r="D1033" s="151" t="s">
        <v>4238</v>
      </c>
      <c r="E1033" s="211">
        <v>268.8</v>
      </c>
      <c r="F1033" s="151" t="s">
        <v>4239</v>
      </c>
      <c r="G1033" s="151" t="s">
        <v>1158</v>
      </c>
      <c r="H1033" s="211">
        <v>1720.6</v>
      </c>
      <c r="I1033" s="17">
        <f t="shared" si="4"/>
        <v>64010416.666666664</v>
      </c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</row>
    <row r="1034" spans="1:24">
      <c r="A1034" s="151" t="s">
        <v>4240</v>
      </c>
      <c r="B1034" s="17" t="s">
        <v>4241</v>
      </c>
      <c r="C1034" s="211">
        <v>532610</v>
      </c>
      <c r="D1034" s="151" t="s">
        <v>4242</v>
      </c>
      <c r="E1034" s="211">
        <v>91.2</v>
      </c>
      <c r="F1034" s="151" t="s">
        <v>2449</v>
      </c>
      <c r="G1034" s="151" t="s">
        <v>1140</v>
      </c>
      <c r="H1034" s="211">
        <v>1716.4</v>
      </c>
      <c r="I1034" s="17">
        <f t="shared" si="4"/>
        <v>188201754.3859649</v>
      </c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</row>
    <row r="1035" spans="1:24">
      <c r="A1035" s="151" t="s">
        <v>4243</v>
      </c>
      <c r="B1035" s="17" t="s">
        <v>185</v>
      </c>
      <c r="C1035" s="211">
        <v>530555</v>
      </c>
      <c r="D1035" s="151" t="s">
        <v>4244</v>
      </c>
      <c r="E1035" s="211">
        <v>63.6</v>
      </c>
      <c r="F1035" s="151" t="s">
        <v>1440</v>
      </c>
      <c r="G1035" s="151" t="s">
        <v>1441</v>
      </c>
      <c r="H1035" s="211">
        <v>1711.1</v>
      </c>
      <c r="I1035" s="17">
        <f t="shared" si="4"/>
        <v>269040880.50314462</v>
      </c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spans="1:24">
      <c r="A1036" s="151" t="s">
        <v>4245</v>
      </c>
      <c r="B1036" s="17" t="s">
        <v>59</v>
      </c>
      <c r="C1036" s="211">
        <v>532663</v>
      </c>
      <c r="D1036" s="151" t="s">
        <v>4246</v>
      </c>
      <c r="E1036" s="211">
        <v>1136.5999999999999</v>
      </c>
      <c r="F1036" s="151" t="s">
        <v>1161</v>
      </c>
      <c r="G1036" s="151" t="s">
        <v>1143</v>
      </c>
      <c r="H1036" s="211">
        <v>1710.8</v>
      </c>
      <c r="I1036" s="17">
        <f t="shared" si="4"/>
        <v>15051909.202885801</v>
      </c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</row>
    <row r="1037" spans="1:24">
      <c r="A1037" s="151" t="s">
        <v>4247</v>
      </c>
      <c r="B1037" s="17" t="s">
        <v>4248</v>
      </c>
      <c r="C1037" s="211">
        <v>590073</v>
      </c>
      <c r="D1037" s="151" t="s">
        <v>4249</v>
      </c>
      <c r="E1037" s="211">
        <v>693</v>
      </c>
      <c r="F1037" s="151" t="s">
        <v>1507</v>
      </c>
      <c r="G1037" s="151" t="s">
        <v>1211</v>
      </c>
      <c r="H1037" s="211">
        <v>1693.2</v>
      </c>
      <c r="I1037" s="17">
        <f t="shared" si="4"/>
        <v>24432900.432900432</v>
      </c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</row>
    <row r="1038" spans="1:24">
      <c r="A1038" s="151" t="s">
        <v>4250</v>
      </c>
      <c r="B1038" s="17" t="s">
        <v>4251</v>
      </c>
      <c r="C1038" s="211">
        <v>543279</v>
      </c>
      <c r="D1038" s="151" t="s">
        <v>4252</v>
      </c>
      <c r="E1038" s="211">
        <v>159.19999999999999</v>
      </c>
      <c r="F1038" s="151" t="s">
        <v>1165</v>
      </c>
      <c r="G1038" s="151" t="s">
        <v>1137</v>
      </c>
      <c r="H1038" s="211">
        <v>1690.1</v>
      </c>
      <c r="I1038" s="17">
        <f t="shared" si="4"/>
        <v>106162060.30150755</v>
      </c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spans="1:24">
      <c r="A1039" s="151" t="s">
        <v>4253</v>
      </c>
      <c r="B1039" s="17" t="s">
        <v>199</v>
      </c>
      <c r="C1039" s="211">
        <v>533156</v>
      </c>
      <c r="D1039" s="151" t="s">
        <v>4254</v>
      </c>
      <c r="E1039" s="211">
        <v>76.099999999999994</v>
      </c>
      <c r="F1039" s="151" t="s">
        <v>1190</v>
      </c>
      <c r="G1039" s="151" t="s">
        <v>1138</v>
      </c>
      <c r="H1039" s="211">
        <v>1684.2</v>
      </c>
      <c r="I1039" s="17">
        <f t="shared" si="4"/>
        <v>221314060.44678056</v>
      </c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</row>
    <row r="1040" spans="1:24">
      <c r="A1040" s="151" t="s">
        <v>4255</v>
      </c>
      <c r="B1040" s="17" t="s">
        <v>4256</v>
      </c>
      <c r="C1040" s="211">
        <v>530199</v>
      </c>
      <c r="D1040" s="151" t="s">
        <v>4257</v>
      </c>
      <c r="E1040" s="211">
        <v>183</v>
      </c>
      <c r="F1040" s="151" t="s">
        <v>694</v>
      </c>
      <c r="G1040" s="151" t="s">
        <v>1224</v>
      </c>
      <c r="H1040" s="211">
        <v>1684.1</v>
      </c>
      <c r="I1040" s="17">
        <f t="shared" si="4"/>
        <v>92027322.404371589</v>
      </c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</row>
    <row r="1041" spans="1:24">
      <c r="A1041" s="151" t="s">
        <v>4258</v>
      </c>
      <c r="B1041" s="17" t="s">
        <v>4259</v>
      </c>
      <c r="C1041" s="211">
        <v>511551</v>
      </c>
      <c r="D1041" s="151" t="s">
        <v>4260</v>
      </c>
      <c r="E1041" s="211">
        <v>494.4</v>
      </c>
      <c r="F1041" s="151" t="s">
        <v>1930</v>
      </c>
      <c r="G1041" s="151" t="s">
        <v>1137</v>
      </c>
      <c r="H1041" s="211">
        <v>1674.3</v>
      </c>
      <c r="I1041" s="17">
        <f t="shared" si="4"/>
        <v>33865291.262135923</v>
      </c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spans="1:24">
      <c r="A1042" s="151" t="s">
        <v>4261</v>
      </c>
      <c r="B1042" s="17" t="s">
        <v>4262</v>
      </c>
      <c r="C1042" s="211">
        <v>540642</v>
      </c>
      <c r="D1042" s="151" t="s">
        <v>4263</v>
      </c>
      <c r="E1042" s="211">
        <v>53</v>
      </c>
      <c r="F1042" s="151" t="s">
        <v>1190</v>
      </c>
      <c r="G1042" s="151" t="s">
        <v>1138</v>
      </c>
      <c r="H1042" s="211">
        <v>1673.2</v>
      </c>
      <c r="I1042" s="17">
        <f t="shared" si="4"/>
        <v>315698113.20754719</v>
      </c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</row>
    <row r="1043" spans="1:24">
      <c r="A1043" s="151" t="s">
        <v>4264</v>
      </c>
      <c r="B1043" s="17" t="s">
        <v>4265</v>
      </c>
      <c r="C1043" s="211">
        <v>540425</v>
      </c>
      <c r="D1043" s="151" t="s">
        <v>4266</v>
      </c>
      <c r="E1043" s="211">
        <v>689</v>
      </c>
      <c r="F1043" s="151" t="s">
        <v>1675</v>
      </c>
      <c r="G1043" s="151" t="s">
        <v>1142</v>
      </c>
      <c r="H1043" s="211">
        <v>1670.8</v>
      </c>
      <c r="I1043" s="17">
        <f t="shared" si="4"/>
        <v>24249637.155297533</v>
      </c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</row>
    <row r="1044" spans="1:24">
      <c r="A1044" s="151" t="s">
        <v>4267</v>
      </c>
      <c r="B1044" s="17" t="s">
        <v>4268</v>
      </c>
      <c r="C1044" s="211">
        <v>523445</v>
      </c>
      <c r="D1044" s="151" t="s">
        <v>4269</v>
      </c>
      <c r="E1044" s="211">
        <v>1106</v>
      </c>
      <c r="F1044" s="151" t="s">
        <v>1190</v>
      </c>
      <c r="G1044" s="151" t="s">
        <v>1138</v>
      </c>
      <c r="H1044" s="211">
        <v>1670.1</v>
      </c>
      <c r="I1044" s="17">
        <f t="shared" si="4"/>
        <v>15100361.663652804</v>
      </c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spans="1:24">
      <c r="A1045" s="151" t="s">
        <v>4270</v>
      </c>
      <c r="B1045" s="17" t="s">
        <v>4271</v>
      </c>
      <c r="C1045" s="17"/>
      <c r="D1045" s="151" t="s">
        <v>4272</v>
      </c>
      <c r="E1045" s="211">
        <v>671</v>
      </c>
      <c r="F1045" s="151" t="s">
        <v>694</v>
      </c>
      <c r="G1045" s="151" t="s">
        <v>1224</v>
      </c>
      <c r="H1045" s="211">
        <v>1668.1</v>
      </c>
      <c r="I1045" s="17">
        <f t="shared" si="4"/>
        <v>24859910.581222057</v>
      </c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</row>
    <row r="1046" spans="1:24">
      <c r="A1046" s="151" t="s">
        <v>4273</v>
      </c>
      <c r="B1046" s="17" t="s">
        <v>4274</v>
      </c>
      <c r="C1046" s="17"/>
      <c r="D1046" s="151" t="s">
        <v>4275</v>
      </c>
      <c r="E1046" s="211">
        <v>77.5</v>
      </c>
      <c r="F1046" s="151" t="s">
        <v>1440</v>
      </c>
      <c r="G1046" s="151" t="s">
        <v>1441</v>
      </c>
      <c r="H1046" s="211">
        <v>1648.1</v>
      </c>
      <c r="I1046" s="17">
        <f t="shared" si="4"/>
        <v>212658064.51612905</v>
      </c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</row>
    <row r="1047" spans="1:24">
      <c r="A1047" s="151" t="s">
        <v>4276</v>
      </c>
      <c r="B1047" s="17" t="s">
        <v>4277</v>
      </c>
      <c r="C1047" s="211">
        <v>532256</v>
      </c>
      <c r="D1047" s="151" t="s">
        <v>4278</v>
      </c>
      <c r="E1047" s="211">
        <v>3205.4</v>
      </c>
      <c r="F1047" s="151" t="s">
        <v>1194</v>
      </c>
      <c r="G1047" s="151" t="s">
        <v>1137</v>
      </c>
      <c r="H1047" s="211">
        <v>1646.4</v>
      </c>
      <c r="I1047" s="17">
        <f t="shared" si="4"/>
        <v>5136332.4390091719</v>
      </c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spans="1:24">
      <c r="A1048" s="151" t="s">
        <v>4279</v>
      </c>
      <c r="B1048" s="17" t="s">
        <v>4280</v>
      </c>
      <c r="C1048" s="211">
        <v>543712</v>
      </c>
      <c r="D1048" s="151" t="s">
        <v>4281</v>
      </c>
      <c r="E1048" s="211">
        <v>327.9</v>
      </c>
      <c r="F1048" s="151" t="s">
        <v>1194</v>
      </c>
      <c r="G1048" s="151" t="s">
        <v>1137</v>
      </c>
      <c r="H1048" s="211">
        <v>1644.3</v>
      </c>
      <c r="I1048" s="17">
        <f t="shared" si="4"/>
        <v>50146386.093321137</v>
      </c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</row>
    <row r="1049" spans="1:24">
      <c r="A1049" s="151" t="s">
        <v>4282</v>
      </c>
      <c r="B1049" s="17" t="s">
        <v>4283</v>
      </c>
      <c r="C1049" s="211">
        <v>540649</v>
      </c>
      <c r="D1049" s="151" t="s">
        <v>4284</v>
      </c>
      <c r="E1049" s="211">
        <v>820</v>
      </c>
      <c r="F1049" s="151" t="s">
        <v>2449</v>
      </c>
      <c r="G1049" s="151" t="s">
        <v>1140</v>
      </c>
      <c r="H1049" s="211">
        <v>1641.6</v>
      </c>
      <c r="I1049" s="17">
        <f t="shared" si="4"/>
        <v>20019512.195121951</v>
      </c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</row>
    <row r="1050" spans="1:24">
      <c r="A1050" s="151" t="s">
        <v>4285</v>
      </c>
      <c r="B1050" s="17" t="s">
        <v>4286</v>
      </c>
      <c r="C1050" s="211">
        <v>514043</v>
      </c>
      <c r="D1050" s="151" t="s">
        <v>4287</v>
      </c>
      <c r="E1050" s="211">
        <v>165.8</v>
      </c>
      <c r="F1050" s="151" t="s">
        <v>1854</v>
      </c>
      <c r="G1050" s="151" t="s">
        <v>1216</v>
      </c>
      <c r="H1050" s="211">
        <v>1632.4</v>
      </c>
      <c r="I1050" s="17">
        <f t="shared" si="4"/>
        <v>98455971.049457178</v>
      </c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spans="1:24">
      <c r="A1051" s="151" t="s">
        <v>4288</v>
      </c>
      <c r="B1051" s="17" t="s">
        <v>4289</v>
      </c>
      <c r="C1051" s="211">
        <v>531719</v>
      </c>
      <c r="D1051" s="151" t="s">
        <v>4290</v>
      </c>
      <c r="E1051" s="211">
        <v>1568.8</v>
      </c>
      <c r="F1051" s="151" t="s">
        <v>1552</v>
      </c>
      <c r="G1051" s="151" t="s">
        <v>1335</v>
      </c>
      <c r="H1051" s="211">
        <v>1632.4</v>
      </c>
      <c r="I1051" s="17">
        <f t="shared" si="4"/>
        <v>10405405.405405406</v>
      </c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</row>
    <row r="1052" spans="1:24">
      <c r="A1052" s="151" t="s">
        <v>4291</v>
      </c>
      <c r="B1052" s="17" t="s">
        <v>4292</v>
      </c>
      <c r="C1052" s="211">
        <v>508814</v>
      </c>
      <c r="D1052" s="151" t="s">
        <v>4293</v>
      </c>
      <c r="E1052" s="211">
        <v>621.1</v>
      </c>
      <c r="F1052" s="151" t="s">
        <v>2950</v>
      </c>
      <c r="G1052" s="151" t="s">
        <v>1229</v>
      </c>
      <c r="H1052" s="211">
        <v>1630.4</v>
      </c>
      <c r="I1052" s="17">
        <f t="shared" si="4"/>
        <v>26250201.25583642</v>
      </c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</row>
    <row r="1053" spans="1:24">
      <c r="A1053" s="151" t="s">
        <v>4294</v>
      </c>
      <c r="B1053" s="17" t="s">
        <v>4295</v>
      </c>
      <c r="C1053" s="211">
        <v>532407</v>
      </c>
      <c r="D1053" s="151" t="s">
        <v>4296</v>
      </c>
      <c r="E1053" s="211">
        <v>90.6</v>
      </c>
      <c r="F1053" s="151" t="s">
        <v>1161</v>
      </c>
      <c r="G1053" s="151" t="s">
        <v>1143</v>
      </c>
      <c r="H1053" s="211">
        <v>1628.8</v>
      </c>
      <c r="I1053" s="17">
        <f t="shared" si="4"/>
        <v>179779249.44812363</v>
      </c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spans="1:24">
      <c r="A1054" s="151" t="s">
        <v>4297</v>
      </c>
      <c r="B1054" s="17" t="s">
        <v>4298</v>
      </c>
      <c r="C1054" s="211">
        <v>532486</v>
      </c>
      <c r="D1054" s="151" t="s">
        <v>4299</v>
      </c>
      <c r="E1054" s="211">
        <v>525.29999999999995</v>
      </c>
      <c r="F1054" s="151" t="s">
        <v>4140</v>
      </c>
      <c r="G1054" s="151" t="s">
        <v>1138</v>
      </c>
      <c r="H1054" s="211">
        <v>1628.6</v>
      </c>
      <c r="I1054" s="17">
        <f t="shared" si="4"/>
        <v>31003236.245954696</v>
      </c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</row>
    <row r="1055" spans="1:24">
      <c r="A1055" s="151" t="s">
        <v>4300</v>
      </c>
      <c r="B1055" s="17" t="s">
        <v>508</v>
      </c>
      <c r="C1055" s="211">
        <v>513228</v>
      </c>
      <c r="D1055" s="151" t="s">
        <v>4301</v>
      </c>
      <c r="E1055" s="211">
        <v>120.4</v>
      </c>
      <c r="F1055" s="151" t="s">
        <v>1272</v>
      </c>
      <c r="G1055" s="151" t="s">
        <v>1142</v>
      </c>
      <c r="H1055" s="211">
        <v>1624.8</v>
      </c>
      <c r="I1055" s="17">
        <f t="shared" si="4"/>
        <v>134950166.11295679</v>
      </c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</row>
    <row r="1056" spans="1:24">
      <c r="A1056" s="151" t="s">
        <v>4302</v>
      </c>
      <c r="B1056" s="17" t="s">
        <v>4303</v>
      </c>
      <c r="C1056" s="211">
        <v>532285</v>
      </c>
      <c r="D1056" s="151" t="s">
        <v>4304</v>
      </c>
      <c r="E1056" s="211">
        <v>67.599999999999994</v>
      </c>
      <c r="F1056" s="151" t="s">
        <v>1831</v>
      </c>
      <c r="G1056" s="151" t="s">
        <v>1137</v>
      </c>
      <c r="H1056" s="211">
        <v>1615.1</v>
      </c>
      <c r="I1056" s="17">
        <f t="shared" si="4"/>
        <v>238920118.34319529</v>
      </c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spans="1:24">
      <c r="A1057" s="151" t="s">
        <v>4305</v>
      </c>
      <c r="B1057" s="17" t="s">
        <v>4306</v>
      </c>
      <c r="C1057" s="211">
        <v>539594</v>
      </c>
      <c r="D1057" s="151" t="s">
        <v>4307</v>
      </c>
      <c r="E1057" s="211">
        <v>16.100000000000001</v>
      </c>
      <c r="F1057" s="151" t="s">
        <v>2563</v>
      </c>
      <c r="G1057" s="151" t="s">
        <v>1140</v>
      </c>
      <c r="H1057" s="211">
        <v>1606</v>
      </c>
      <c r="I1057" s="17">
        <f t="shared" si="4"/>
        <v>997515527.95031047</v>
      </c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</row>
    <row r="1058" spans="1:24">
      <c r="A1058" s="151" t="s">
        <v>4308</v>
      </c>
      <c r="B1058" s="17" t="s">
        <v>4309</v>
      </c>
      <c r="C1058" s="211">
        <v>543389</v>
      </c>
      <c r="D1058" s="151" t="s">
        <v>4310</v>
      </c>
      <c r="E1058" s="211">
        <v>52.1</v>
      </c>
      <c r="F1058" s="151" t="s">
        <v>694</v>
      </c>
      <c r="G1058" s="151" t="s">
        <v>1224</v>
      </c>
      <c r="H1058" s="211">
        <v>1601.7</v>
      </c>
      <c r="I1058" s="17">
        <f t="shared" si="4"/>
        <v>307428023.03262955</v>
      </c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</row>
    <row r="1059" spans="1:24">
      <c r="A1059" s="151" t="s">
        <v>4311</v>
      </c>
      <c r="B1059" s="17" t="s">
        <v>4312</v>
      </c>
      <c r="C1059" s="211">
        <v>543260</v>
      </c>
      <c r="D1059" s="151" t="s">
        <v>4313</v>
      </c>
      <c r="E1059" s="211">
        <v>483</v>
      </c>
      <c r="F1059" s="151" t="s">
        <v>2470</v>
      </c>
      <c r="G1059" s="151" t="s">
        <v>1441</v>
      </c>
      <c r="H1059" s="211">
        <v>1596.2</v>
      </c>
      <c r="I1059" s="17">
        <f t="shared" si="4"/>
        <v>33047619.047619049</v>
      </c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spans="1:24">
      <c r="A1060" s="151" t="s">
        <v>4314</v>
      </c>
      <c r="B1060" s="17" t="s">
        <v>4315</v>
      </c>
      <c r="C1060" s="211">
        <v>507878</v>
      </c>
      <c r="D1060" s="151" t="s">
        <v>4316</v>
      </c>
      <c r="E1060" s="211">
        <v>6.1</v>
      </c>
      <c r="F1060" s="151" t="s">
        <v>1307</v>
      </c>
      <c r="G1060" s="151" t="s">
        <v>1307</v>
      </c>
      <c r="H1060" s="211">
        <v>1595.9</v>
      </c>
      <c r="I1060" s="17">
        <f t="shared" si="4"/>
        <v>2616229508.1967216</v>
      </c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</row>
    <row r="1061" spans="1:24">
      <c r="A1061" s="151" t="s">
        <v>4317</v>
      </c>
      <c r="B1061" s="17" t="s">
        <v>4318</v>
      </c>
      <c r="C1061" s="211">
        <v>540776</v>
      </c>
      <c r="D1061" s="151" t="s">
        <v>4319</v>
      </c>
      <c r="E1061" s="211">
        <v>509.6</v>
      </c>
      <c r="F1061" s="151" t="s">
        <v>1930</v>
      </c>
      <c r="G1061" s="151" t="s">
        <v>1137</v>
      </c>
      <c r="H1061" s="211">
        <v>1582.7</v>
      </c>
      <c r="I1061" s="17">
        <f t="shared" si="4"/>
        <v>31057692.307692308</v>
      </c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</row>
    <row r="1062" spans="1:24">
      <c r="A1062" s="151" t="s">
        <v>4320</v>
      </c>
      <c r="B1062" s="17" t="s">
        <v>4321</v>
      </c>
      <c r="C1062" s="211">
        <v>532708</v>
      </c>
      <c r="D1062" s="151" t="s">
        <v>4322</v>
      </c>
      <c r="E1062" s="211">
        <v>10</v>
      </c>
      <c r="F1062" s="151" t="s">
        <v>1190</v>
      </c>
      <c r="G1062" s="151" t="s">
        <v>1138</v>
      </c>
      <c r="H1062" s="211">
        <v>1579.2</v>
      </c>
      <c r="I1062" s="17">
        <f t="shared" si="4"/>
        <v>1579200000</v>
      </c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spans="1:24">
      <c r="A1063" s="151" t="s">
        <v>4323</v>
      </c>
      <c r="B1063" s="17" t="s">
        <v>4324</v>
      </c>
      <c r="C1063" s="211">
        <v>539837</v>
      </c>
      <c r="D1063" s="151" t="s">
        <v>4325</v>
      </c>
      <c r="E1063" s="211">
        <v>687.9</v>
      </c>
      <c r="F1063" s="151" t="s">
        <v>1783</v>
      </c>
      <c r="G1063" s="151" t="s">
        <v>1141</v>
      </c>
      <c r="H1063" s="211">
        <v>1578.9</v>
      </c>
      <c r="I1063" s="17">
        <f t="shared" si="4"/>
        <v>22952464.020933274</v>
      </c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</row>
    <row r="1064" spans="1:24">
      <c r="A1064" s="151" t="s">
        <v>4326</v>
      </c>
      <c r="B1064" s="17" t="s">
        <v>14</v>
      </c>
      <c r="C1064" s="211">
        <v>513349</v>
      </c>
      <c r="D1064" s="151" t="s">
        <v>4327</v>
      </c>
      <c r="E1064" s="211">
        <v>444.5</v>
      </c>
      <c r="F1064" s="151" t="s">
        <v>1307</v>
      </c>
      <c r="G1064" s="151" t="s">
        <v>1307</v>
      </c>
      <c r="H1064" s="211">
        <v>1577.3</v>
      </c>
      <c r="I1064" s="17">
        <f t="shared" si="4"/>
        <v>35484814.398200221</v>
      </c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</row>
    <row r="1065" spans="1:24">
      <c r="A1065" s="151" t="s">
        <v>4328</v>
      </c>
      <c r="B1065" s="17" t="s">
        <v>4329</v>
      </c>
      <c r="C1065" s="211">
        <v>504000</v>
      </c>
      <c r="D1065" s="151" t="s">
        <v>4330</v>
      </c>
      <c r="E1065" s="211">
        <v>93</v>
      </c>
      <c r="F1065" s="151" t="s">
        <v>1307</v>
      </c>
      <c r="G1065" s="151" t="s">
        <v>1307</v>
      </c>
      <c r="H1065" s="211">
        <v>1576.3</v>
      </c>
      <c r="I1065" s="17">
        <f t="shared" si="4"/>
        <v>169494623.65591398</v>
      </c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spans="1:24">
      <c r="A1066" s="151" t="s">
        <v>4331</v>
      </c>
      <c r="B1066" s="17" t="s">
        <v>4332</v>
      </c>
      <c r="C1066" s="211">
        <v>506109</v>
      </c>
      <c r="D1066" s="151" t="s">
        <v>4333</v>
      </c>
      <c r="E1066" s="211">
        <v>416.7</v>
      </c>
      <c r="F1066" s="151" t="s">
        <v>1161</v>
      </c>
      <c r="G1066" s="151" t="s">
        <v>1143</v>
      </c>
      <c r="H1066" s="211">
        <v>1576</v>
      </c>
      <c r="I1066" s="17">
        <f t="shared" si="4"/>
        <v>37820974.322054237</v>
      </c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</row>
    <row r="1067" spans="1:24">
      <c r="A1067" s="151" t="s">
        <v>4334</v>
      </c>
      <c r="B1067" s="17" t="s">
        <v>181</v>
      </c>
      <c r="C1067" s="211">
        <v>503031</v>
      </c>
      <c r="D1067" s="151" t="s">
        <v>4335</v>
      </c>
      <c r="E1067" s="211">
        <v>53.6</v>
      </c>
      <c r="F1067" s="151" t="s">
        <v>1307</v>
      </c>
      <c r="G1067" s="151" t="s">
        <v>1307</v>
      </c>
      <c r="H1067" s="211">
        <v>1572.8</v>
      </c>
      <c r="I1067" s="17">
        <f t="shared" si="4"/>
        <v>293432835.82089549</v>
      </c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</row>
    <row r="1068" spans="1:24">
      <c r="A1068" s="151" t="s">
        <v>4336</v>
      </c>
      <c r="B1068" s="17" t="s">
        <v>233</v>
      </c>
      <c r="C1068" s="211">
        <v>523207</v>
      </c>
      <c r="D1068" s="151" t="s">
        <v>4337</v>
      </c>
      <c r="E1068" s="211">
        <v>156.6</v>
      </c>
      <c r="F1068" s="151" t="s">
        <v>3276</v>
      </c>
      <c r="G1068" s="151" t="s">
        <v>1441</v>
      </c>
      <c r="H1068" s="211">
        <v>1570.3</v>
      </c>
      <c r="I1068" s="17">
        <f t="shared" si="4"/>
        <v>100274584.92975734</v>
      </c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spans="1:24">
      <c r="A1069" s="151" t="s">
        <v>4338</v>
      </c>
      <c r="B1069" s="17" t="s">
        <v>4339</v>
      </c>
      <c r="C1069" s="211">
        <v>543655</v>
      </c>
      <c r="D1069" s="151" t="s">
        <v>4340</v>
      </c>
      <c r="E1069" s="211">
        <v>100</v>
      </c>
      <c r="F1069" s="151" t="s">
        <v>1847</v>
      </c>
      <c r="G1069" s="151" t="s">
        <v>1144</v>
      </c>
      <c r="H1069" s="211">
        <v>1562.5</v>
      </c>
      <c r="I1069" s="17">
        <f t="shared" si="4"/>
        <v>156250000</v>
      </c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</row>
    <row r="1070" spans="1:24">
      <c r="A1070" s="151" t="s">
        <v>4341</v>
      </c>
      <c r="B1070" s="17" t="s">
        <v>4342</v>
      </c>
      <c r="C1070" s="211">
        <v>514360</v>
      </c>
      <c r="D1070" s="151" t="s">
        <v>4343</v>
      </c>
      <c r="E1070" s="211">
        <v>728</v>
      </c>
      <c r="F1070" s="151" t="s">
        <v>1190</v>
      </c>
      <c r="G1070" s="151" t="s">
        <v>1138</v>
      </c>
      <c r="H1070" s="211">
        <v>1562.1</v>
      </c>
      <c r="I1070" s="17">
        <f t="shared" si="4"/>
        <v>21457417.582417581</v>
      </c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</row>
    <row r="1071" spans="1:24">
      <c r="A1071" s="151" t="s">
        <v>4344</v>
      </c>
      <c r="B1071" s="17" t="s">
        <v>4345</v>
      </c>
      <c r="C1071" s="211">
        <v>540048</v>
      </c>
      <c r="D1071" s="151" t="s">
        <v>4346</v>
      </c>
      <c r="E1071" s="211">
        <v>622</v>
      </c>
      <c r="F1071" s="151" t="s">
        <v>1710</v>
      </c>
      <c r="G1071" s="151" t="s">
        <v>1216</v>
      </c>
      <c r="H1071" s="211">
        <v>1560.8</v>
      </c>
      <c r="I1071" s="17">
        <f t="shared" si="4"/>
        <v>25093247.588424437</v>
      </c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spans="1:24">
      <c r="A1072" s="151" t="s">
        <v>4347</v>
      </c>
      <c r="B1072" s="17" t="s">
        <v>4348</v>
      </c>
      <c r="C1072" s="211">
        <v>533306</v>
      </c>
      <c r="D1072" s="151" t="s">
        <v>4349</v>
      </c>
      <c r="E1072" s="211">
        <v>1430</v>
      </c>
      <c r="F1072" s="151" t="s">
        <v>2059</v>
      </c>
      <c r="G1072" s="151" t="s">
        <v>2060</v>
      </c>
      <c r="H1072" s="211">
        <v>1559</v>
      </c>
      <c r="I1072" s="17">
        <f t="shared" si="4"/>
        <v>10902097.902097901</v>
      </c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</row>
    <row r="1073" spans="1:24">
      <c r="A1073" s="151" t="s">
        <v>4350</v>
      </c>
      <c r="B1073" s="17" t="s">
        <v>4351</v>
      </c>
      <c r="C1073" s="211">
        <v>500193</v>
      </c>
      <c r="D1073" s="151" t="s">
        <v>4352</v>
      </c>
      <c r="E1073" s="211">
        <v>23.6</v>
      </c>
      <c r="F1073" s="151" t="s">
        <v>1532</v>
      </c>
      <c r="G1073" s="151" t="s">
        <v>1533</v>
      </c>
      <c r="H1073" s="211">
        <v>1552.6</v>
      </c>
      <c r="I1073" s="17">
        <f t="shared" si="4"/>
        <v>657881355.93220329</v>
      </c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</row>
    <row r="1074" spans="1:24">
      <c r="A1074" s="151" t="s">
        <v>4353</v>
      </c>
      <c r="B1074" s="17" t="s">
        <v>4354</v>
      </c>
      <c r="C1074" s="211">
        <v>500304</v>
      </c>
      <c r="D1074" s="151" t="s">
        <v>4355</v>
      </c>
      <c r="E1074" s="211">
        <v>114</v>
      </c>
      <c r="F1074" s="151" t="s">
        <v>4086</v>
      </c>
      <c r="G1074" s="151" t="s">
        <v>1143</v>
      </c>
      <c r="H1074" s="211">
        <v>1539.1</v>
      </c>
      <c r="I1074" s="17">
        <f t="shared" si="4"/>
        <v>135008771.92982456</v>
      </c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spans="1:24">
      <c r="A1075" s="151" t="s">
        <v>4356</v>
      </c>
      <c r="B1075" s="17" t="s">
        <v>4357</v>
      </c>
      <c r="C1075" s="211">
        <v>526247</v>
      </c>
      <c r="D1075" s="151" t="s">
        <v>4358</v>
      </c>
      <c r="E1075" s="211">
        <v>1429.8</v>
      </c>
      <c r="F1075" s="151" t="s">
        <v>1577</v>
      </c>
      <c r="G1075" s="151" t="s">
        <v>1141</v>
      </c>
      <c r="H1075" s="211">
        <v>1537.4</v>
      </c>
      <c r="I1075" s="17">
        <f t="shared" si="4"/>
        <v>10752552.804588055</v>
      </c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</row>
    <row r="1076" spans="1:24">
      <c r="A1076" s="151" t="s">
        <v>4359</v>
      </c>
      <c r="B1076" s="17" t="s">
        <v>4360</v>
      </c>
      <c r="C1076" s="211">
        <v>526173</v>
      </c>
      <c r="D1076" s="151" t="s">
        <v>4361</v>
      </c>
      <c r="E1076" s="211">
        <v>31.4</v>
      </c>
      <c r="F1076" s="151" t="s">
        <v>2550</v>
      </c>
      <c r="G1076" s="151" t="s">
        <v>1140</v>
      </c>
      <c r="H1076" s="211">
        <v>1535.3</v>
      </c>
      <c r="I1076" s="17">
        <f t="shared" si="4"/>
        <v>488949044.58598727</v>
      </c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</row>
    <row r="1077" spans="1:24">
      <c r="A1077" s="151" t="s">
        <v>4362</v>
      </c>
      <c r="B1077" s="17" t="s">
        <v>4363</v>
      </c>
      <c r="C1077" s="211">
        <v>531637</v>
      </c>
      <c r="D1077" s="151" t="s">
        <v>4364</v>
      </c>
      <c r="E1077" s="211">
        <v>672</v>
      </c>
      <c r="F1077" s="151" t="s">
        <v>4365</v>
      </c>
      <c r="G1077" s="151" t="s">
        <v>1908</v>
      </c>
      <c r="H1077" s="211">
        <v>1534.8</v>
      </c>
      <c r="I1077" s="17">
        <f t="shared" si="4"/>
        <v>22839285.714285713</v>
      </c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spans="1:24">
      <c r="A1078" s="151" t="s">
        <v>4366</v>
      </c>
      <c r="B1078" s="17" t="s">
        <v>4367</v>
      </c>
      <c r="C1078" s="211">
        <v>543252</v>
      </c>
      <c r="D1078" s="151" t="s">
        <v>4368</v>
      </c>
      <c r="E1078" s="211">
        <v>1176</v>
      </c>
      <c r="F1078" s="151" t="s">
        <v>1840</v>
      </c>
      <c r="G1078" s="151" t="s">
        <v>1335</v>
      </c>
      <c r="H1078" s="211">
        <v>1531.3</v>
      </c>
      <c r="I1078" s="17">
        <f t="shared" si="4"/>
        <v>13021258.503401361</v>
      </c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</row>
    <row r="1079" spans="1:24">
      <c r="A1079" s="151" t="s">
        <v>4369</v>
      </c>
      <c r="B1079" s="17" t="s">
        <v>4370</v>
      </c>
      <c r="C1079" s="211">
        <v>500117</v>
      </c>
      <c r="D1079" s="151" t="s">
        <v>4371</v>
      </c>
      <c r="E1079" s="211">
        <v>51.6</v>
      </c>
      <c r="F1079" s="151" t="s">
        <v>1840</v>
      </c>
      <c r="G1079" s="151" t="s">
        <v>1335</v>
      </c>
      <c r="H1079" s="211">
        <v>1524.5</v>
      </c>
      <c r="I1079" s="17">
        <f t="shared" si="4"/>
        <v>295445736.4341085</v>
      </c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</row>
    <row r="1080" spans="1:24">
      <c r="A1080" s="151" t="s">
        <v>4372</v>
      </c>
      <c r="B1080" s="17" t="s">
        <v>4373</v>
      </c>
      <c r="C1080" s="211">
        <v>532967</v>
      </c>
      <c r="D1080" s="151" t="s">
        <v>4374</v>
      </c>
      <c r="E1080" s="211">
        <v>293.60000000000002</v>
      </c>
      <c r="F1080" s="151" t="s">
        <v>1334</v>
      </c>
      <c r="G1080" s="151" t="s">
        <v>1335</v>
      </c>
      <c r="H1080" s="211">
        <v>1521.6</v>
      </c>
      <c r="I1080" s="17">
        <f t="shared" si="4"/>
        <v>51825613.07901907</v>
      </c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spans="1:24">
      <c r="A1081" s="151" t="s">
        <v>4375</v>
      </c>
      <c r="B1081" s="17" t="s">
        <v>4376</v>
      </c>
      <c r="C1081" s="211">
        <v>506618</v>
      </c>
      <c r="D1081" s="151" t="s">
        <v>4377</v>
      </c>
      <c r="E1081" s="211">
        <v>1239.4000000000001</v>
      </c>
      <c r="F1081" s="151" t="s">
        <v>1552</v>
      </c>
      <c r="G1081" s="151" t="s">
        <v>1335</v>
      </c>
      <c r="H1081" s="211">
        <v>1519.8</v>
      </c>
      <c r="I1081" s="17">
        <f t="shared" si="4"/>
        <v>12262385.025012102</v>
      </c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</row>
    <row r="1082" spans="1:24">
      <c r="A1082" s="151" t="s">
        <v>4378</v>
      </c>
      <c r="B1082" s="17" t="s">
        <v>4379</v>
      </c>
      <c r="C1082" s="211">
        <v>543273</v>
      </c>
      <c r="D1082" s="151" t="s">
        <v>4380</v>
      </c>
      <c r="E1082" s="211">
        <v>1405</v>
      </c>
      <c r="F1082" s="151" t="s">
        <v>1279</v>
      </c>
      <c r="G1082" s="151" t="s">
        <v>1280</v>
      </c>
      <c r="H1082" s="211">
        <v>1517.5</v>
      </c>
      <c r="I1082" s="17">
        <f t="shared" si="4"/>
        <v>10800711.743772242</v>
      </c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</row>
    <row r="1083" spans="1:24">
      <c r="A1083" s="151" t="s">
        <v>4381</v>
      </c>
      <c r="B1083" s="17" t="s">
        <v>226</v>
      </c>
      <c r="C1083" s="211">
        <v>543411</v>
      </c>
      <c r="D1083" s="151" t="s">
        <v>4382</v>
      </c>
      <c r="E1083" s="211">
        <v>110.5</v>
      </c>
      <c r="F1083" s="151" t="s">
        <v>1675</v>
      </c>
      <c r="G1083" s="151" t="s">
        <v>1142</v>
      </c>
      <c r="H1083" s="211">
        <v>1514.2</v>
      </c>
      <c r="I1083" s="17">
        <f t="shared" si="4"/>
        <v>137031674.20814478</v>
      </c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spans="1:24">
      <c r="A1084" s="151" t="s">
        <v>4383</v>
      </c>
      <c r="B1084" s="17" t="s">
        <v>4384</v>
      </c>
      <c r="C1084" s="211">
        <v>532309</v>
      </c>
      <c r="D1084" s="151" t="s">
        <v>4385</v>
      </c>
      <c r="E1084" s="211">
        <v>224.9</v>
      </c>
      <c r="F1084" s="151" t="s">
        <v>1323</v>
      </c>
      <c r="G1084" s="151" t="s">
        <v>1141</v>
      </c>
      <c r="H1084" s="211">
        <v>1511.9</v>
      </c>
      <c r="I1084" s="17">
        <f t="shared" si="4"/>
        <v>67225433.526011556</v>
      </c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</row>
    <row r="1085" spans="1:24">
      <c r="A1085" s="151" t="s">
        <v>4386</v>
      </c>
      <c r="B1085" s="17" t="s">
        <v>4387</v>
      </c>
      <c r="C1085" s="211">
        <v>526407</v>
      </c>
      <c r="D1085" s="151" t="s">
        <v>4388</v>
      </c>
      <c r="E1085" s="211">
        <v>55</v>
      </c>
      <c r="F1085" s="151" t="s">
        <v>1831</v>
      </c>
      <c r="G1085" s="151" t="s">
        <v>1137</v>
      </c>
      <c r="H1085" s="211">
        <v>1508.1</v>
      </c>
      <c r="I1085" s="17">
        <f t="shared" si="4"/>
        <v>274200000</v>
      </c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</row>
    <row r="1086" spans="1:24">
      <c r="A1086" s="151" t="s">
        <v>4389</v>
      </c>
      <c r="B1086" s="17" t="s">
        <v>4390</v>
      </c>
      <c r="C1086" s="211">
        <v>524332</v>
      </c>
      <c r="D1086" s="151" t="s">
        <v>4391</v>
      </c>
      <c r="E1086" s="211">
        <v>58.4</v>
      </c>
      <c r="F1086" s="151" t="s">
        <v>1616</v>
      </c>
      <c r="G1086" s="151" t="s">
        <v>1173</v>
      </c>
      <c r="H1086" s="211">
        <v>1503.7</v>
      </c>
      <c r="I1086" s="17">
        <f t="shared" si="4"/>
        <v>257482876.71232876</v>
      </c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spans="1:24">
      <c r="A1087" s="151" t="s">
        <v>4392</v>
      </c>
      <c r="B1087" s="17" t="s">
        <v>4393</v>
      </c>
      <c r="C1087" s="211">
        <v>501423</v>
      </c>
      <c r="D1087" s="151" t="s">
        <v>4394</v>
      </c>
      <c r="E1087" s="211">
        <v>327.8</v>
      </c>
      <c r="F1087" s="151" t="s">
        <v>1546</v>
      </c>
      <c r="G1087" s="151" t="s">
        <v>1141</v>
      </c>
      <c r="H1087" s="211">
        <v>1503.5</v>
      </c>
      <c r="I1087" s="17">
        <f t="shared" si="4"/>
        <v>45866381.940207444</v>
      </c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</row>
    <row r="1088" spans="1:24">
      <c r="A1088" s="151" t="s">
        <v>4395</v>
      </c>
      <c r="B1088" s="17" t="s">
        <v>4396</v>
      </c>
      <c r="C1088" s="211">
        <v>532864</v>
      </c>
      <c r="D1088" s="151" t="s">
        <v>4397</v>
      </c>
      <c r="E1088" s="211">
        <v>172.8</v>
      </c>
      <c r="F1088" s="151" t="s">
        <v>1577</v>
      </c>
      <c r="G1088" s="151" t="s">
        <v>1141</v>
      </c>
      <c r="H1088" s="211">
        <v>1502.9</v>
      </c>
      <c r="I1088" s="17">
        <f t="shared" si="4"/>
        <v>86973379.629629627</v>
      </c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</row>
    <row r="1089" spans="1:24">
      <c r="A1089" s="151" t="s">
        <v>4398</v>
      </c>
      <c r="B1089" s="17" t="s">
        <v>4399</v>
      </c>
      <c r="C1089" s="211">
        <v>532684</v>
      </c>
      <c r="D1089" s="151" t="s">
        <v>4400</v>
      </c>
      <c r="E1089" s="211">
        <v>133.6</v>
      </c>
      <c r="F1089" s="151" t="s">
        <v>1577</v>
      </c>
      <c r="G1089" s="151" t="s">
        <v>1141</v>
      </c>
      <c r="H1089" s="211">
        <v>1499.7</v>
      </c>
      <c r="I1089" s="17">
        <f t="shared" si="4"/>
        <v>112252994.01197605</v>
      </c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spans="1:24">
      <c r="A1090" s="151" t="s">
        <v>4401</v>
      </c>
      <c r="B1090" s="17" t="s">
        <v>4402</v>
      </c>
      <c r="C1090" s="211">
        <v>590062</v>
      </c>
      <c r="D1090" s="151" t="s">
        <v>4403</v>
      </c>
      <c r="E1090" s="211">
        <v>110.5</v>
      </c>
      <c r="F1090" s="151" t="s">
        <v>1840</v>
      </c>
      <c r="G1090" s="151" t="s">
        <v>1335</v>
      </c>
      <c r="H1090" s="211">
        <v>1497.7</v>
      </c>
      <c r="I1090" s="17">
        <f t="shared" si="4"/>
        <v>135538461.53846154</v>
      </c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</row>
    <row r="1091" spans="1:24">
      <c r="A1091" s="151" t="s">
        <v>4404</v>
      </c>
      <c r="B1091" s="17" t="s">
        <v>4405</v>
      </c>
      <c r="C1091" s="211">
        <v>530699</v>
      </c>
      <c r="D1091" s="151" t="s">
        <v>4406</v>
      </c>
      <c r="E1091" s="211">
        <v>26.9</v>
      </c>
      <c r="F1091" s="151" t="s">
        <v>1854</v>
      </c>
      <c r="G1091" s="151" t="s">
        <v>1216</v>
      </c>
      <c r="H1091" s="211">
        <v>1495.9</v>
      </c>
      <c r="I1091" s="17">
        <f t="shared" si="4"/>
        <v>556096654.27509296</v>
      </c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</row>
    <row r="1092" spans="1:24">
      <c r="A1092" s="151" t="s">
        <v>4407</v>
      </c>
      <c r="B1092" s="17" t="s">
        <v>4408</v>
      </c>
      <c r="C1092" s="211">
        <v>524709</v>
      </c>
      <c r="D1092" s="151" t="s">
        <v>4409</v>
      </c>
      <c r="E1092" s="211">
        <v>75.2</v>
      </c>
      <c r="F1092" s="151" t="s">
        <v>1552</v>
      </c>
      <c r="G1092" s="151" t="s">
        <v>1335</v>
      </c>
      <c r="H1092" s="211">
        <v>1495.1</v>
      </c>
      <c r="I1092" s="17">
        <f t="shared" si="4"/>
        <v>198816489.36170211</v>
      </c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spans="1:24">
      <c r="A1093" s="151" t="s">
        <v>4410</v>
      </c>
      <c r="B1093" s="17" t="s">
        <v>4411</v>
      </c>
      <c r="C1093" s="211">
        <v>532880</v>
      </c>
      <c r="D1093" s="151" t="s">
        <v>4412</v>
      </c>
      <c r="E1093" s="211">
        <v>81.599999999999994</v>
      </c>
      <c r="F1093" s="151" t="s">
        <v>1307</v>
      </c>
      <c r="G1093" s="151" t="s">
        <v>1307</v>
      </c>
      <c r="H1093" s="211">
        <v>1492.5</v>
      </c>
      <c r="I1093" s="17">
        <f t="shared" si="4"/>
        <v>182904411.7647059</v>
      </c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</row>
    <row r="1094" spans="1:24">
      <c r="A1094" s="151" t="s">
        <v>4413</v>
      </c>
      <c r="B1094" s="17" t="s">
        <v>4414</v>
      </c>
      <c r="C1094" s="211">
        <v>500147</v>
      </c>
      <c r="D1094" s="151" t="s">
        <v>4415</v>
      </c>
      <c r="E1094" s="211">
        <v>3022.2</v>
      </c>
      <c r="F1094" s="151" t="s">
        <v>1587</v>
      </c>
      <c r="G1094" s="151" t="s">
        <v>1141</v>
      </c>
      <c r="H1094" s="211">
        <v>1492.3</v>
      </c>
      <c r="I1094" s="17">
        <f t="shared" si="4"/>
        <v>4937793.6602475019</v>
      </c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</row>
    <row r="1095" spans="1:24">
      <c r="A1095" s="151" t="s">
        <v>4416</v>
      </c>
      <c r="B1095" s="17" t="s">
        <v>4417</v>
      </c>
      <c r="C1095" s="211">
        <v>590030</v>
      </c>
      <c r="D1095" s="151" t="s">
        <v>4418</v>
      </c>
      <c r="E1095" s="211">
        <v>72.900000000000006</v>
      </c>
      <c r="F1095" s="151" t="s">
        <v>1650</v>
      </c>
      <c r="G1095" s="151" t="s">
        <v>1650</v>
      </c>
      <c r="H1095" s="211">
        <v>1484.5</v>
      </c>
      <c r="I1095" s="17">
        <f t="shared" si="4"/>
        <v>203635116.59807953</v>
      </c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spans="1:24">
      <c r="A1096" s="151" t="s">
        <v>4419</v>
      </c>
      <c r="B1096" s="17" t="s">
        <v>4420</v>
      </c>
      <c r="C1096" s="211">
        <v>539607</v>
      </c>
      <c r="D1096" s="151" t="s">
        <v>4421</v>
      </c>
      <c r="E1096" s="211">
        <v>67.900000000000006</v>
      </c>
      <c r="F1096" s="151" t="s">
        <v>2491</v>
      </c>
      <c r="G1096" s="151" t="s">
        <v>1143</v>
      </c>
      <c r="H1096" s="211">
        <v>1482</v>
      </c>
      <c r="I1096" s="17">
        <f t="shared" si="4"/>
        <v>218262150.22091308</v>
      </c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</row>
    <row r="1097" spans="1:24">
      <c r="A1097" s="151" t="s">
        <v>4422</v>
      </c>
      <c r="B1097" s="17" t="s">
        <v>4423</v>
      </c>
      <c r="C1097" s="211">
        <v>532475</v>
      </c>
      <c r="D1097" s="151" t="s">
        <v>4424</v>
      </c>
      <c r="E1097" s="211">
        <v>255.6</v>
      </c>
      <c r="F1097" s="151" t="s">
        <v>4086</v>
      </c>
      <c r="G1097" s="151" t="s">
        <v>1143</v>
      </c>
      <c r="H1097" s="211">
        <v>1481.9</v>
      </c>
      <c r="I1097" s="17">
        <f t="shared" si="4"/>
        <v>57977308.294209704</v>
      </c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</row>
    <row r="1098" spans="1:24">
      <c r="A1098" s="151" t="s">
        <v>4425</v>
      </c>
      <c r="B1098" s="17" t="s">
        <v>4426</v>
      </c>
      <c r="C1098" s="211">
        <v>506197</v>
      </c>
      <c r="D1098" s="151" t="s">
        <v>4427</v>
      </c>
      <c r="E1098" s="211">
        <v>141.6</v>
      </c>
      <c r="F1098" s="151" t="s">
        <v>694</v>
      </c>
      <c r="G1098" s="151" t="s">
        <v>1224</v>
      </c>
      <c r="H1098" s="211">
        <v>1481.6</v>
      </c>
      <c r="I1098" s="17">
        <f t="shared" si="4"/>
        <v>104632768.36158192</v>
      </c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spans="1:24">
      <c r="A1099" s="151" t="s">
        <v>4428</v>
      </c>
      <c r="B1099" s="17" t="s">
        <v>4429</v>
      </c>
      <c r="C1099" s="211">
        <v>532937</v>
      </c>
      <c r="D1099" s="151" t="s">
        <v>4430</v>
      </c>
      <c r="E1099" s="211">
        <v>169.6</v>
      </c>
      <c r="F1099" s="151" t="s">
        <v>2222</v>
      </c>
      <c r="G1099" s="151" t="s">
        <v>1229</v>
      </c>
      <c r="H1099" s="211">
        <v>1480.4</v>
      </c>
      <c r="I1099" s="17">
        <f t="shared" si="4"/>
        <v>87287735.849056602</v>
      </c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</row>
    <row r="1100" spans="1:24">
      <c r="A1100" s="151" t="s">
        <v>4431</v>
      </c>
      <c r="B1100" s="17" t="s">
        <v>4432</v>
      </c>
      <c r="C1100" s="211">
        <v>540717</v>
      </c>
      <c r="D1100" s="151" t="s">
        <v>4433</v>
      </c>
      <c r="E1100" s="211">
        <v>44</v>
      </c>
      <c r="F1100" s="151" t="s">
        <v>1172</v>
      </c>
      <c r="G1100" s="151" t="s">
        <v>1173</v>
      </c>
      <c r="H1100" s="211">
        <v>1477.3</v>
      </c>
      <c r="I1100" s="17">
        <f t="shared" si="4"/>
        <v>335750000</v>
      </c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</row>
    <row r="1101" spans="1:24">
      <c r="A1101" s="151" t="s">
        <v>4434</v>
      </c>
      <c r="B1101" s="17" t="s">
        <v>4435</v>
      </c>
      <c r="C1101" s="211">
        <v>524109</v>
      </c>
      <c r="D1101" s="151" t="s">
        <v>4436</v>
      </c>
      <c r="E1101" s="211">
        <v>422</v>
      </c>
      <c r="F1101" s="151" t="s">
        <v>1587</v>
      </c>
      <c r="G1101" s="151" t="s">
        <v>1141</v>
      </c>
      <c r="H1101" s="211">
        <v>1476</v>
      </c>
      <c r="I1101" s="17">
        <f t="shared" si="4"/>
        <v>34976303.317535542</v>
      </c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spans="1:24">
      <c r="A1102" s="151" t="s">
        <v>4437</v>
      </c>
      <c r="B1102" s="17" t="s">
        <v>180</v>
      </c>
      <c r="C1102" s="211">
        <v>513269</v>
      </c>
      <c r="D1102" s="151" t="s">
        <v>4438</v>
      </c>
      <c r="E1102" s="211">
        <v>244.6</v>
      </c>
      <c r="F1102" s="151" t="s">
        <v>1272</v>
      </c>
      <c r="G1102" s="151" t="s">
        <v>1142</v>
      </c>
      <c r="H1102" s="211">
        <v>1470.4</v>
      </c>
      <c r="I1102" s="17">
        <f t="shared" si="4"/>
        <v>60114472.608340152</v>
      </c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</row>
    <row r="1103" spans="1:24">
      <c r="A1103" s="151" t="s">
        <v>4439</v>
      </c>
      <c r="B1103" s="17" t="s">
        <v>4440</v>
      </c>
      <c r="C1103" s="211">
        <v>533259</v>
      </c>
      <c r="D1103" s="151" t="s">
        <v>4441</v>
      </c>
      <c r="E1103" s="211">
        <v>462</v>
      </c>
      <c r="F1103" s="151" t="s">
        <v>1977</v>
      </c>
      <c r="G1103" s="151" t="s">
        <v>1139</v>
      </c>
      <c r="H1103" s="211">
        <v>1469.6</v>
      </c>
      <c r="I1103" s="17">
        <f t="shared" si="4"/>
        <v>31809523.80952381</v>
      </c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</row>
    <row r="1104" spans="1:24">
      <c r="A1104" s="151" t="s">
        <v>4442</v>
      </c>
      <c r="B1104" s="17" t="s">
        <v>4443</v>
      </c>
      <c r="C1104" s="211">
        <v>532529</v>
      </c>
      <c r="D1104" s="151" t="s">
        <v>4444</v>
      </c>
      <c r="E1104" s="211">
        <v>227.8</v>
      </c>
      <c r="F1104" s="151" t="s">
        <v>1907</v>
      </c>
      <c r="G1104" s="151" t="s">
        <v>1908</v>
      </c>
      <c r="H1104" s="211">
        <v>1468.3</v>
      </c>
      <c r="I1104" s="17">
        <f t="shared" si="4"/>
        <v>64455662.862159789</v>
      </c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spans="1:24">
      <c r="A1105" s="151" t="s">
        <v>4445</v>
      </c>
      <c r="B1105" s="17" t="s">
        <v>13</v>
      </c>
      <c r="C1105" s="211">
        <v>532719</v>
      </c>
      <c r="D1105" s="151" t="s">
        <v>4446</v>
      </c>
      <c r="E1105" s="211">
        <v>65</v>
      </c>
      <c r="F1105" s="151" t="s">
        <v>1190</v>
      </c>
      <c r="G1105" s="151" t="s">
        <v>1138</v>
      </c>
      <c r="H1105" s="211">
        <v>1465.4</v>
      </c>
      <c r="I1105" s="17">
        <f t="shared" si="4"/>
        <v>225446153.84615386</v>
      </c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</row>
    <row r="1106" spans="1:24">
      <c r="A1106" s="151" t="s">
        <v>4447</v>
      </c>
      <c r="B1106" s="17" t="s">
        <v>164</v>
      </c>
      <c r="C1106" s="211">
        <v>523618</v>
      </c>
      <c r="D1106" s="151" t="s">
        <v>4448</v>
      </c>
      <c r="E1106" s="211">
        <v>523.1</v>
      </c>
      <c r="F1106" s="151" t="s">
        <v>1720</v>
      </c>
      <c r="G1106" s="151" t="s">
        <v>1280</v>
      </c>
      <c r="H1106" s="211">
        <v>1464.7</v>
      </c>
      <c r="I1106" s="17">
        <f t="shared" si="4"/>
        <v>28000382.336073406</v>
      </c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</row>
    <row r="1107" spans="1:24">
      <c r="A1107" s="151" t="s">
        <v>4449</v>
      </c>
      <c r="B1107" s="17" t="s">
        <v>4450</v>
      </c>
      <c r="C1107" s="211">
        <v>512008</v>
      </c>
      <c r="D1107" s="151" t="s">
        <v>4451</v>
      </c>
      <c r="E1107" s="211">
        <v>370</v>
      </c>
      <c r="F1107" s="151" t="s">
        <v>2887</v>
      </c>
      <c r="G1107" s="151" t="s">
        <v>1229</v>
      </c>
      <c r="H1107" s="211">
        <v>1459.8</v>
      </c>
      <c r="I1107" s="17">
        <f t="shared" si="4"/>
        <v>39454054.054054052</v>
      </c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spans="1:24">
      <c r="A1108" s="151" t="s">
        <v>4452</v>
      </c>
      <c r="B1108" s="17" t="s">
        <v>4453</v>
      </c>
      <c r="C1108" s="211">
        <v>531847</v>
      </c>
      <c r="D1108" s="151" t="s">
        <v>4454</v>
      </c>
      <c r="E1108" s="211">
        <v>909.8</v>
      </c>
      <c r="F1108" s="151" t="s">
        <v>1215</v>
      </c>
      <c r="G1108" s="151" t="s">
        <v>1216</v>
      </c>
      <c r="H1108" s="211">
        <v>1456.3</v>
      </c>
      <c r="I1108" s="17">
        <f t="shared" si="4"/>
        <v>16006814.684546055</v>
      </c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</row>
    <row r="1109" spans="1:24">
      <c r="A1109" s="151" t="s">
        <v>4455</v>
      </c>
      <c r="B1109" s="17" t="s">
        <v>4456</v>
      </c>
      <c r="C1109" s="17"/>
      <c r="D1109" s="151" t="s">
        <v>4457</v>
      </c>
      <c r="E1109" s="211">
        <v>235.4</v>
      </c>
      <c r="F1109" s="151" t="s">
        <v>1650</v>
      </c>
      <c r="G1109" s="151" t="s">
        <v>1650</v>
      </c>
      <c r="H1109" s="211">
        <v>1455.1</v>
      </c>
      <c r="I1109" s="17">
        <f t="shared" si="4"/>
        <v>61813933.729821578</v>
      </c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</row>
    <row r="1110" spans="1:24">
      <c r="A1110" s="151" t="s">
        <v>4458</v>
      </c>
      <c r="B1110" s="17" t="s">
        <v>166</v>
      </c>
      <c r="C1110" s="211">
        <v>531921</v>
      </c>
      <c r="D1110" s="151" t="s">
        <v>4459</v>
      </c>
      <c r="E1110" s="211">
        <v>968.3</v>
      </c>
      <c r="F1110" s="151" t="s">
        <v>2452</v>
      </c>
      <c r="G1110" s="151" t="s">
        <v>1335</v>
      </c>
      <c r="H1110" s="211">
        <v>1448.4</v>
      </c>
      <c r="I1110" s="17">
        <f t="shared" si="4"/>
        <v>14958174.119591037</v>
      </c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spans="1:24">
      <c r="A1111" s="151" t="s">
        <v>4460</v>
      </c>
      <c r="B1111" s="17" t="s">
        <v>4461</v>
      </c>
      <c r="C1111" s="211">
        <v>540311</v>
      </c>
      <c r="D1111" s="151" t="s">
        <v>4462</v>
      </c>
      <c r="E1111" s="211">
        <v>561.9</v>
      </c>
      <c r="F1111" s="151" t="s">
        <v>1410</v>
      </c>
      <c r="G1111" s="151" t="s">
        <v>1144</v>
      </c>
      <c r="H1111" s="211">
        <v>1444.3</v>
      </c>
      <c r="I1111" s="17">
        <f t="shared" si="4"/>
        <v>25703861.897134721</v>
      </c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</row>
    <row r="1112" spans="1:24">
      <c r="A1112" s="151" t="s">
        <v>4463</v>
      </c>
      <c r="B1112" s="17" t="s">
        <v>4464</v>
      </c>
      <c r="C1112" s="211">
        <v>541276</v>
      </c>
      <c r="D1112" s="151" t="s">
        <v>4465</v>
      </c>
      <c r="E1112" s="211">
        <v>41.4</v>
      </c>
      <c r="F1112" s="151" t="s">
        <v>2150</v>
      </c>
      <c r="G1112" s="151" t="s">
        <v>1441</v>
      </c>
      <c r="H1112" s="211">
        <v>1442.6</v>
      </c>
      <c r="I1112" s="17">
        <f t="shared" si="4"/>
        <v>348454106.28019327</v>
      </c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</row>
    <row r="1113" spans="1:24">
      <c r="A1113" s="151" t="s">
        <v>4466</v>
      </c>
      <c r="B1113" s="17" t="s">
        <v>4467</v>
      </c>
      <c r="C1113" s="211">
        <v>538836</v>
      </c>
      <c r="D1113" s="151" t="s">
        <v>4468</v>
      </c>
      <c r="E1113" s="211">
        <v>695.2</v>
      </c>
      <c r="F1113" s="151" t="s">
        <v>1710</v>
      </c>
      <c r="G1113" s="151" t="s">
        <v>1216</v>
      </c>
      <c r="H1113" s="211">
        <v>1441.2</v>
      </c>
      <c r="I1113" s="17">
        <f t="shared" si="4"/>
        <v>20730724.9712313</v>
      </c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spans="1:24">
      <c r="A1114" s="151" t="s">
        <v>4469</v>
      </c>
      <c r="B1114" s="17" t="s">
        <v>4470</v>
      </c>
      <c r="C1114" s="211">
        <v>523369</v>
      </c>
      <c r="D1114" s="151" t="s">
        <v>4471</v>
      </c>
      <c r="E1114" s="211">
        <v>165.2</v>
      </c>
      <c r="F1114" s="151" t="s">
        <v>2449</v>
      </c>
      <c r="G1114" s="151" t="s">
        <v>1140</v>
      </c>
      <c r="H1114" s="211">
        <v>1437.1</v>
      </c>
      <c r="I1114" s="17">
        <f t="shared" si="4"/>
        <v>86991525.423728824</v>
      </c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</row>
    <row r="1115" spans="1:24">
      <c r="A1115" s="151" t="s">
        <v>4472</v>
      </c>
      <c r="B1115" s="17" t="s">
        <v>4473</v>
      </c>
      <c r="C1115" s="211">
        <v>533302</v>
      </c>
      <c r="D1115" s="151" t="s">
        <v>4474</v>
      </c>
      <c r="E1115" s="211">
        <v>3287.5</v>
      </c>
      <c r="F1115" s="151" t="s">
        <v>2059</v>
      </c>
      <c r="G1115" s="151" t="s">
        <v>2060</v>
      </c>
      <c r="H1115" s="211">
        <v>1435.1</v>
      </c>
      <c r="I1115" s="17">
        <f t="shared" si="4"/>
        <v>4365323.1939163497</v>
      </c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</row>
    <row r="1116" spans="1:24">
      <c r="A1116" s="151" t="s">
        <v>4475</v>
      </c>
      <c r="B1116" s="17" t="s">
        <v>4476</v>
      </c>
      <c r="C1116" s="211">
        <v>539332</v>
      </c>
      <c r="D1116" s="151" t="s">
        <v>4477</v>
      </c>
      <c r="E1116" s="211">
        <v>94.4</v>
      </c>
      <c r="F1116" s="151" t="s">
        <v>2616</v>
      </c>
      <c r="G1116" s="151" t="s">
        <v>1280</v>
      </c>
      <c r="H1116" s="211">
        <v>1421.7</v>
      </c>
      <c r="I1116" s="17">
        <f t="shared" si="4"/>
        <v>150603813.55932203</v>
      </c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spans="1:24">
      <c r="A1117" s="151" t="s">
        <v>4478</v>
      </c>
      <c r="B1117" s="17" t="s">
        <v>4479</v>
      </c>
      <c r="C1117" s="17"/>
      <c r="D1117" s="151" t="s">
        <v>4480</v>
      </c>
      <c r="E1117" s="211">
        <v>2189.9</v>
      </c>
      <c r="F1117" s="151" t="s">
        <v>2887</v>
      </c>
      <c r="G1117" s="151" t="s">
        <v>1229</v>
      </c>
      <c r="H1117" s="211">
        <v>1415.1</v>
      </c>
      <c r="I1117" s="17">
        <f t="shared" si="4"/>
        <v>6461938.9013196947</v>
      </c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</row>
    <row r="1118" spans="1:24">
      <c r="A1118" s="151" t="s">
        <v>4481</v>
      </c>
      <c r="B1118" s="17" t="s">
        <v>4482</v>
      </c>
      <c r="C1118" s="211">
        <v>538970</v>
      </c>
      <c r="D1118" s="151" t="s">
        <v>4483</v>
      </c>
      <c r="E1118" s="211">
        <v>54.6</v>
      </c>
      <c r="F1118" s="151" t="s">
        <v>1289</v>
      </c>
      <c r="G1118" s="151" t="s">
        <v>1211</v>
      </c>
      <c r="H1118" s="211">
        <v>1414.8</v>
      </c>
      <c r="I1118" s="17">
        <f t="shared" si="4"/>
        <v>259120879.12087911</v>
      </c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</row>
    <row r="1119" spans="1:24">
      <c r="A1119" s="151" t="s">
        <v>4484</v>
      </c>
      <c r="B1119" s="17" t="s">
        <v>4485</v>
      </c>
      <c r="C1119" s="211">
        <v>543266</v>
      </c>
      <c r="D1119" s="151" t="s">
        <v>4486</v>
      </c>
      <c r="E1119" s="211">
        <v>353.3</v>
      </c>
      <c r="F1119" s="151" t="s">
        <v>1552</v>
      </c>
      <c r="G1119" s="151" t="s">
        <v>1335</v>
      </c>
      <c r="H1119" s="211">
        <v>1413.7</v>
      </c>
      <c r="I1119" s="17">
        <f t="shared" si="4"/>
        <v>40014152.278516836</v>
      </c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spans="1:24">
      <c r="A1120" s="151" t="s">
        <v>4487</v>
      </c>
      <c r="B1120" s="17" t="s">
        <v>4488</v>
      </c>
      <c r="C1120" s="211">
        <v>532775</v>
      </c>
      <c r="D1120" s="151" t="s">
        <v>4489</v>
      </c>
      <c r="E1120" s="211">
        <v>1.1000000000000001</v>
      </c>
      <c r="F1120" s="151" t="s">
        <v>1912</v>
      </c>
      <c r="G1120" s="151" t="s">
        <v>1913</v>
      </c>
      <c r="H1120" s="211">
        <v>1408.8</v>
      </c>
      <c r="I1120" s="17">
        <f t="shared" si="4"/>
        <v>12807272727.272726</v>
      </c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</row>
    <row r="1121" spans="1:24">
      <c r="A1121" s="151" t="s">
        <v>4490</v>
      </c>
      <c r="B1121" s="17" t="s">
        <v>4491</v>
      </c>
      <c r="C1121" s="211">
        <v>506879</v>
      </c>
      <c r="D1121" s="151" t="s">
        <v>4492</v>
      </c>
      <c r="E1121" s="211">
        <v>193.7</v>
      </c>
      <c r="F1121" s="151" t="s">
        <v>694</v>
      </c>
      <c r="G1121" s="151" t="s">
        <v>1224</v>
      </c>
      <c r="H1121" s="211">
        <v>1407.1</v>
      </c>
      <c r="I1121" s="17">
        <f t="shared" si="4"/>
        <v>72643262.777490973</v>
      </c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</row>
    <row r="1122" spans="1:24">
      <c r="A1122" s="151" t="s">
        <v>4493</v>
      </c>
      <c r="B1122" s="17" t="s">
        <v>4494</v>
      </c>
      <c r="C1122" s="211">
        <v>522295</v>
      </c>
      <c r="D1122" s="151" t="s">
        <v>4495</v>
      </c>
      <c r="E1122" s="211">
        <v>878</v>
      </c>
      <c r="F1122" s="151" t="s">
        <v>4496</v>
      </c>
      <c r="G1122" s="151" t="s">
        <v>1229</v>
      </c>
      <c r="H1122" s="211">
        <v>1404.2</v>
      </c>
      <c r="I1122" s="17">
        <f t="shared" si="4"/>
        <v>15993166.287015945</v>
      </c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spans="1:24">
      <c r="A1123" s="151" t="s">
        <v>4497</v>
      </c>
      <c r="B1123" s="17" t="s">
        <v>4498</v>
      </c>
      <c r="C1123" s="211">
        <v>500199</v>
      </c>
      <c r="D1123" s="151" t="s">
        <v>4499</v>
      </c>
      <c r="E1123" s="211">
        <v>455.4</v>
      </c>
      <c r="F1123" s="151" t="s">
        <v>2452</v>
      </c>
      <c r="G1123" s="151" t="s">
        <v>1335</v>
      </c>
      <c r="H1123" s="211">
        <v>1402.4</v>
      </c>
      <c r="I1123" s="17">
        <f t="shared" si="4"/>
        <v>30794905.577514276</v>
      </c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</row>
    <row r="1124" spans="1:24">
      <c r="A1124" s="151" t="s">
        <v>4500</v>
      </c>
      <c r="B1124" s="17" t="s">
        <v>4501</v>
      </c>
      <c r="C1124" s="211">
        <v>532390</v>
      </c>
      <c r="D1124" s="151" t="s">
        <v>4502</v>
      </c>
      <c r="E1124" s="211">
        <v>222.4</v>
      </c>
      <c r="F1124" s="151" t="s">
        <v>1532</v>
      </c>
      <c r="G1124" s="151" t="s">
        <v>1533</v>
      </c>
      <c r="H1124" s="211">
        <v>1394.5</v>
      </c>
      <c r="I1124" s="17">
        <f t="shared" si="4"/>
        <v>62702338.129496403</v>
      </c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</row>
    <row r="1125" spans="1:24">
      <c r="A1125" s="151" t="s">
        <v>4503</v>
      </c>
      <c r="B1125" s="17" t="s">
        <v>4504</v>
      </c>
      <c r="C1125" s="211">
        <v>521248</v>
      </c>
      <c r="D1125" s="151" t="s">
        <v>4505</v>
      </c>
      <c r="E1125" s="211">
        <v>208.6</v>
      </c>
      <c r="F1125" s="151" t="s">
        <v>1710</v>
      </c>
      <c r="G1125" s="151" t="s">
        <v>1216</v>
      </c>
      <c r="H1125" s="211">
        <v>1387.2</v>
      </c>
      <c r="I1125" s="17">
        <f t="shared" si="4"/>
        <v>66500479.386385426</v>
      </c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spans="1:24">
      <c r="A1126" s="151" t="s">
        <v>4506</v>
      </c>
      <c r="B1126" s="17" t="s">
        <v>4507</v>
      </c>
      <c r="C1126" s="211">
        <v>590134</v>
      </c>
      <c r="D1126" s="151" t="s">
        <v>4508</v>
      </c>
      <c r="E1126" s="211">
        <v>85.8</v>
      </c>
      <c r="F1126" s="151" t="s">
        <v>1650</v>
      </c>
      <c r="G1126" s="151" t="s">
        <v>1650</v>
      </c>
      <c r="H1126" s="211">
        <v>1382.2</v>
      </c>
      <c r="I1126" s="17">
        <f t="shared" si="4"/>
        <v>161095571.0955711</v>
      </c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</row>
    <row r="1127" spans="1:24">
      <c r="A1127" s="151" t="s">
        <v>4509</v>
      </c>
      <c r="B1127" s="17" t="s">
        <v>68</v>
      </c>
      <c r="C1127" s="17"/>
      <c r="D1127" s="151" t="s">
        <v>4510</v>
      </c>
      <c r="E1127" s="211">
        <v>25.4</v>
      </c>
      <c r="F1127" s="151" t="s">
        <v>1373</v>
      </c>
      <c r="G1127" s="151" t="s">
        <v>1143</v>
      </c>
      <c r="H1127" s="211">
        <v>1377.7</v>
      </c>
      <c r="I1127" s="17">
        <f t="shared" si="4"/>
        <v>542401574.80314958</v>
      </c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</row>
    <row r="1128" spans="1:24">
      <c r="A1128" s="151" t="s">
        <v>4511</v>
      </c>
      <c r="B1128" s="17" t="s">
        <v>4512</v>
      </c>
      <c r="C1128" s="211">
        <v>531633</v>
      </c>
      <c r="D1128" s="151" t="s">
        <v>4513</v>
      </c>
      <c r="E1128" s="211">
        <v>686.8</v>
      </c>
      <c r="F1128" s="151" t="s">
        <v>694</v>
      </c>
      <c r="G1128" s="151" t="s">
        <v>1224</v>
      </c>
      <c r="H1128" s="211">
        <v>1375.7</v>
      </c>
      <c r="I1128" s="17">
        <f t="shared" si="4"/>
        <v>20030576.587070473</v>
      </c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spans="1:24">
      <c r="A1129" s="151" t="s">
        <v>4514</v>
      </c>
      <c r="B1129" s="17" t="s">
        <v>4515</v>
      </c>
      <c r="C1129" s="211">
        <v>543620</v>
      </c>
      <c r="D1129" s="151" t="s">
        <v>4516</v>
      </c>
      <c r="E1129" s="211">
        <v>660</v>
      </c>
      <c r="F1129" s="151" t="s">
        <v>1242</v>
      </c>
      <c r="G1129" s="151" t="s">
        <v>1144</v>
      </c>
      <c r="H1129" s="211">
        <v>1374.9</v>
      </c>
      <c r="I1129" s="17">
        <f t="shared" si="4"/>
        <v>20831818.181818184</v>
      </c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</row>
    <row r="1130" spans="1:24">
      <c r="A1130" s="151" t="s">
        <v>4517</v>
      </c>
      <c r="B1130" s="17" t="s">
        <v>4518</v>
      </c>
      <c r="C1130" s="211">
        <v>502157</v>
      </c>
      <c r="D1130" s="151" t="s">
        <v>4519</v>
      </c>
      <c r="E1130" s="211">
        <v>499</v>
      </c>
      <c r="F1130" s="151" t="s">
        <v>1238</v>
      </c>
      <c r="G1130" s="151" t="s">
        <v>1138</v>
      </c>
      <c r="H1130" s="211">
        <v>1372.3</v>
      </c>
      <c r="I1130" s="17">
        <f t="shared" si="4"/>
        <v>27501002.004008017</v>
      </c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</row>
    <row r="1131" spans="1:24">
      <c r="A1131" s="151" t="s">
        <v>4520</v>
      </c>
      <c r="B1131" s="17" t="s">
        <v>4521</v>
      </c>
      <c r="C1131" s="211">
        <v>530011</v>
      </c>
      <c r="D1131" s="151" t="s">
        <v>4522</v>
      </c>
      <c r="E1131" s="211">
        <v>115.6</v>
      </c>
      <c r="F1131" s="151" t="s">
        <v>1650</v>
      </c>
      <c r="G1131" s="151" t="s">
        <v>1650</v>
      </c>
      <c r="H1131" s="211">
        <v>1370</v>
      </c>
      <c r="I1131" s="17">
        <f t="shared" si="4"/>
        <v>118512110.72664361</v>
      </c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spans="1:24">
      <c r="A1132" s="151" t="s">
        <v>4523</v>
      </c>
      <c r="B1132" s="17" t="s">
        <v>4524</v>
      </c>
      <c r="C1132" s="211">
        <v>543254</v>
      </c>
      <c r="D1132" s="151" t="s">
        <v>4525</v>
      </c>
      <c r="E1132" s="211">
        <v>483.6</v>
      </c>
      <c r="F1132" s="151" t="s">
        <v>2887</v>
      </c>
      <c r="G1132" s="151" t="s">
        <v>1229</v>
      </c>
      <c r="H1132" s="211">
        <v>1368</v>
      </c>
      <c r="I1132" s="17">
        <f t="shared" si="4"/>
        <v>28287841.191066995</v>
      </c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</row>
    <row r="1133" spans="1:24">
      <c r="A1133" s="151" t="s">
        <v>4526</v>
      </c>
      <c r="B1133" s="17" t="s">
        <v>4527</v>
      </c>
      <c r="C1133" s="211">
        <v>532661</v>
      </c>
      <c r="D1133" s="151" t="s">
        <v>4528</v>
      </c>
      <c r="E1133" s="211">
        <v>841</v>
      </c>
      <c r="F1133" s="151" t="s">
        <v>1507</v>
      </c>
      <c r="G1133" s="151" t="s">
        <v>1211</v>
      </c>
      <c r="H1133" s="211">
        <v>1367.9</v>
      </c>
      <c r="I1133" s="17">
        <f t="shared" si="4"/>
        <v>16265160.523186682</v>
      </c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</row>
    <row r="1134" spans="1:24">
      <c r="A1134" s="151" t="s">
        <v>4529</v>
      </c>
      <c r="B1134" s="17" t="s">
        <v>4530</v>
      </c>
      <c r="C1134" s="211">
        <v>532457</v>
      </c>
      <c r="D1134" s="151" t="s">
        <v>4531</v>
      </c>
      <c r="E1134" s="211">
        <v>217</v>
      </c>
      <c r="F1134" s="151" t="s">
        <v>1840</v>
      </c>
      <c r="G1134" s="151" t="s">
        <v>1335</v>
      </c>
      <c r="H1134" s="211">
        <v>1353.4</v>
      </c>
      <c r="I1134" s="17">
        <f t="shared" si="4"/>
        <v>62368663.594470046</v>
      </c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spans="1:24">
      <c r="A1135" s="151" t="s">
        <v>4532</v>
      </c>
      <c r="B1135" s="17" t="s">
        <v>4533</v>
      </c>
      <c r="C1135" s="211">
        <v>504741</v>
      </c>
      <c r="D1135" s="151" t="s">
        <v>4534</v>
      </c>
      <c r="E1135" s="211">
        <v>256.8</v>
      </c>
      <c r="F1135" s="151" t="s">
        <v>1238</v>
      </c>
      <c r="G1135" s="151" t="s">
        <v>1138</v>
      </c>
      <c r="H1135" s="211">
        <v>1353.1</v>
      </c>
      <c r="I1135" s="17">
        <f t="shared" si="4"/>
        <v>52690809.968847349</v>
      </c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</row>
    <row r="1136" spans="1:24">
      <c r="A1136" s="151" t="s">
        <v>4535</v>
      </c>
      <c r="B1136" s="17" t="s">
        <v>4536</v>
      </c>
      <c r="C1136" s="211">
        <v>519105</v>
      </c>
      <c r="D1136" s="151" t="s">
        <v>4537</v>
      </c>
      <c r="E1136" s="211">
        <v>88.8</v>
      </c>
      <c r="F1136" s="151" t="s">
        <v>2563</v>
      </c>
      <c r="G1136" s="151" t="s">
        <v>1140</v>
      </c>
      <c r="H1136" s="211">
        <v>1353</v>
      </c>
      <c r="I1136" s="17">
        <f t="shared" si="4"/>
        <v>152364864.86486486</v>
      </c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</row>
    <row r="1137" spans="1:24">
      <c r="A1137" s="151" t="s">
        <v>4538</v>
      </c>
      <c r="B1137" s="17" t="s">
        <v>4539</v>
      </c>
      <c r="C1137" s="211">
        <v>531147</v>
      </c>
      <c r="D1137" s="151" t="s">
        <v>4540</v>
      </c>
      <c r="E1137" s="211">
        <v>838.3</v>
      </c>
      <c r="F1137" s="151" t="s">
        <v>1348</v>
      </c>
      <c r="G1137" s="151" t="s">
        <v>1142</v>
      </c>
      <c r="H1137" s="211">
        <v>1350.7</v>
      </c>
      <c r="I1137" s="17">
        <f t="shared" si="4"/>
        <v>16112370.273171896</v>
      </c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spans="1:24">
      <c r="A1138" s="151" t="s">
        <v>4541</v>
      </c>
      <c r="B1138" s="17" t="s">
        <v>4542</v>
      </c>
      <c r="C1138" s="211">
        <v>523127</v>
      </c>
      <c r="D1138" s="151" t="s">
        <v>4543</v>
      </c>
      <c r="E1138" s="211">
        <v>439.8</v>
      </c>
      <c r="F1138" s="151" t="s">
        <v>1532</v>
      </c>
      <c r="G1138" s="151" t="s">
        <v>1533</v>
      </c>
      <c r="H1138" s="211">
        <v>1340</v>
      </c>
      <c r="I1138" s="17">
        <f t="shared" si="4"/>
        <v>30468394.724874943</v>
      </c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</row>
    <row r="1139" spans="1:24">
      <c r="A1139" s="151" t="s">
        <v>4544</v>
      </c>
      <c r="B1139" s="17" t="s">
        <v>4545</v>
      </c>
      <c r="C1139" s="17"/>
      <c r="D1139" s="151" t="s">
        <v>4546</v>
      </c>
      <c r="E1139" s="211">
        <v>601.1</v>
      </c>
      <c r="F1139" s="151" t="s">
        <v>1215</v>
      </c>
      <c r="G1139" s="151" t="s">
        <v>1216</v>
      </c>
      <c r="H1139" s="211">
        <v>1337.7</v>
      </c>
      <c r="I1139" s="17">
        <f t="shared" si="4"/>
        <v>22254200.632174347</v>
      </c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</row>
    <row r="1140" spans="1:24">
      <c r="A1140" s="151" t="s">
        <v>4547</v>
      </c>
      <c r="B1140" s="17" t="s">
        <v>4548</v>
      </c>
      <c r="C1140" s="211">
        <v>540136</v>
      </c>
      <c r="D1140" s="151" t="s">
        <v>4549</v>
      </c>
      <c r="E1140" s="211">
        <v>207.9</v>
      </c>
      <c r="F1140" s="151" t="s">
        <v>1323</v>
      </c>
      <c r="G1140" s="151" t="s">
        <v>1141</v>
      </c>
      <c r="H1140" s="211">
        <v>1336.8</v>
      </c>
      <c r="I1140" s="17">
        <f t="shared" si="4"/>
        <v>64300144.3001443</v>
      </c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spans="1:24">
      <c r="A1141" s="151" t="s">
        <v>4550</v>
      </c>
      <c r="B1141" s="17" t="s">
        <v>61</v>
      </c>
      <c r="C1141" s="211">
        <v>502180</v>
      </c>
      <c r="D1141" s="151" t="s">
        <v>4551</v>
      </c>
      <c r="E1141" s="211">
        <v>91.7</v>
      </c>
      <c r="F1141" s="151" t="s">
        <v>1238</v>
      </c>
      <c r="G1141" s="151" t="s">
        <v>1138</v>
      </c>
      <c r="H1141" s="211">
        <v>1332.6</v>
      </c>
      <c r="I1141" s="17">
        <f t="shared" si="4"/>
        <v>145321701.1995638</v>
      </c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</row>
    <row r="1142" spans="1:24">
      <c r="A1142" s="151" t="s">
        <v>4552</v>
      </c>
      <c r="B1142" s="17" t="s">
        <v>4553</v>
      </c>
      <c r="C1142" s="211">
        <v>534809</v>
      </c>
      <c r="D1142" s="151" t="s">
        <v>4554</v>
      </c>
      <c r="E1142" s="211">
        <v>28.6</v>
      </c>
      <c r="F1142" s="151" t="s">
        <v>1215</v>
      </c>
      <c r="G1142" s="151" t="s">
        <v>1216</v>
      </c>
      <c r="H1142" s="211">
        <v>1331.1</v>
      </c>
      <c r="I1142" s="17">
        <f t="shared" si="4"/>
        <v>465419580.4195804</v>
      </c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</row>
    <row r="1143" spans="1:24">
      <c r="A1143" s="151" t="s">
        <v>4555</v>
      </c>
      <c r="B1143" s="17" t="s">
        <v>4556</v>
      </c>
      <c r="C1143" s="211">
        <v>500207</v>
      </c>
      <c r="D1143" s="151" t="s">
        <v>4557</v>
      </c>
      <c r="E1143" s="211">
        <v>51</v>
      </c>
      <c r="F1143" s="151" t="s">
        <v>1854</v>
      </c>
      <c r="G1143" s="151" t="s">
        <v>1216</v>
      </c>
      <c r="H1143" s="211">
        <v>1330.4</v>
      </c>
      <c r="I1143" s="17">
        <f t="shared" si="4"/>
        <v>260862745.09803921</v>
      </c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spans="1:24">
      <c r="A1144" s="151" t="s">
        <v>4558</v>
      </c>
      <c r="B1144" s="17" t="s">
        <v>4559</v>
      </c>
      <c r="C1144" s="211">
        <v>524520</v>
      </c>
      <c r="D1144" s="151" t="s">
        <v>4560</v>
      </c>
      <c r="E1144" s="211">
        <v>81.2</v>
      </c>
      <c r="F1144" s="151" t="s">
        <v>1445</v>
      </c>
      <c r="G1144" s="151" t="s">
        <v>1139</v>
      </c>
      <c r="H1144" s="211">
        <v>1324.3</v>
      </c>
      <c r="I1144" s="17">
        <f t="shared" si="4"/>
        <v>163091133.00492612</v>
      </c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</row>
    <row r="1145" spans="1:24">
      <c r="A1145" s="151" t="s">
        <v>4561</v>
      </c>
      <c r="B1145" s="17" t="s">
        <v>4562</v>
      </c>
      <c r="C1145" s="211">
        <v>511076</v>
      </c>
      <c r="D1145" s="151" t="s">
        <v>4563</v>
      </c>
      <c r="E1145" s="211">
        <v>117</v>
      </c>
      <c r="F1145" s="151" t="s">
        <v>1675</v>
      </c>
      <c r="G1145" s="151" t="s">
        <v>1142</v>
      </c>
      <c r="H1145" s="211">
        <v>1323.1</v>
      </c>
      <c r="I1145" s="17">
        <f t="shared" si="4"/>
        <v>113085470.08547008</v>
      </c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</row>
    <row r="1146" spans="1:24">
      <c r="A1146" s="151" t="s">
        <v>4564</v>
      </c>
      <c r="B1146" s="17" t="s">
        <v>4565</v>
      </c>
      <c r="C1146" s="211">
        <v>542669</v>
      </c>
      <c r="D1146" s="151" t="s">
        <v>4566</v>
      </c>
      <c r="E1146" s="211">
        <v>58.7</v>
      </c>
      <c r="F1146" s="151" t="s">
        <v>1675</v>
      </c>
      <c r="G1146" s="151" t="s">
        <v>1142</v>
      </c>
      <c r="H1146" s="211">
        <v>1321.9</v>
      </c>
      <c r="I1146" s="17">
        <f t="shared" si="4"/>
        <v>225195911.41396934</v>
      </c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spans="1:24">
      <c r="A1147" s="151" t="s">
        <v>4567</v>
      </c>
      <c r="B1147" s="17" t="s">
        <v>4568</v>
      </c>
      <c r="C1147" s="211">
        <v>520073</v>
      </c>
      <c r="D1147" s="151" t="s">
        <v>4569</v>
      </c>
      <c r="E1147" s="211">
        <v>1221</v>
      </c>
      <c r="F1147" s="151" t="s">
        <v>1507</v>
      </c>
      <c r="G1147" s="151" t="s">
        <v>1211</v>
      </c>
      <c r="H1147" s="211">
        <v>1316.4</v>
      </c>
      <c r="I1147" s="17">
        <f t="shared" si="4"/>
        <v>10781326.781326782</v>
      </c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</row>
    <row r="1148" spans="1:24">
      <c r="A1148" s="151" t="s">
        <v>4570</v>
      </c>
      <c r="B1148" s="17" t="s">
        <v>163</v>
      </c>
      <c r="C1148" s="211">
        <v>517536</v>
      </c>
      <c r="D1148" s="151" t="s">
        <v>4571</v>
      </c>
      <c r="E1148" s="211">
        <v>586.4</v>
      </c>
      <c r="F1148" s="151" t="s">
        <v>1161</v>
      </c>
      <c r="G1148" s="151" t="s">
        <v>1143</v>
      </c>
      <c r="H1148" s="211">
        <v>1315.1</v>
      </c>
      <c r="I1148" s="17">
        <f t="shared" si="4"/>
        <v>22426671.214188267</v>
      </c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</row>
    <row r="1149" spans="1:24">
      <c r="A1149" s="151" t="s">
        <v>4572</v>
      </c>
      <c r="B1149" s="17" t="s">
        <v>4573</v>
      </c>
      <c r="C1149" s="211">
        <v>506390</v>
      </c>
      <c r="D1149" s="151" t="s">
        <v>4574</v>
      </c>
      <c r="E1149" s="211">
        <v>564.4</v>
      </c>
      <c r="F1149" s="151" t="s">
        <v>1334</v>
      </c>
      <c r="G1149" s="151" t="s">
        <v>1335</v>
      </c>
      <c r="H1149" s="211">
        <v>1302.5999999999999</v>
      </c>
      <c r="I1149" s="17">
        <f t="shared" si="4"/>
        <v>23079376.328844793</v>
      </c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spans="1:24">
      <c r="A1150" s="151" t="s">
        <v>4575</v>
      </c>
      <c r="B1150" s="17" t="s">
        <v>4576</v>
      </c>
      <c r="C1150" s="211">
        <v>526783</v>
      </c>
      <c r="D1150" s="151" t="s">
        <v>4577</v>
      </c>
      <c r="E1150" s="211">
        <v>2760</v>
      </c>
      <c r="F1150" s="151" t="s">
        <v>1445</v>
      </c>
      <c r="G1150" s="151" t="s">
        <v>1139</v>
      </c>
      <c r="H1150" s="211">
        <v>1297.2</v>
      </c>
      <c r="I1150" s="17">
        <f t="shared" si="4"/>
        <v>4700000</v>
      </c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</row>
    <row r="1151" spans="1:24">
      <c r="A1151" s="151" t="s">
        <v>4578</v>
      </c>
      <c r="B1151" s="17" t="s">
        <v>4579</v>
      </c>
      <c r="C1151" s="211">
        <v>504132</v>
      </c>
      <c r="D1151" s="151" t="s">
        <v>4580</v>
      </c>
      <c r="E1151" s="211">
        <v>1506.4</v>
      </c>
      <c r="F1151" s="151" t="s">
        <v>1783</v>
      </c>
      <c r="G1151" s="151" t="s">
        <v>1141</v>
      </c>
      <c r="H1151" s="211">
        <v>1295.2</v>
      </c>
      <c r="I1151" s="17">
        <f t="shared" si="4"/>
        <v>8597981.9437068496</v>
      </c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</row>
    <row r="1152" spans="1:24">
      <c r="A1152" s="151" t="s">
        <v>4581</v>
      </c>
      <c r="B1152" s="17" t="s">
        <v>4582</v>
      </c>
      <c r="C1152" s="211">
        <v>505400</v>
      </c>
      <c r="D1152" s="151" t="s">
        <v>4583</v>
      </c>
      <c r="E1152" s="211">
        <v>101</v>
      </c>
      <c r="F1152" s="151" t="s">
        <v>1307</v>
      </c>
      <c r="G1152" s="151" t="s">
        <v>1307</v>
      </c>
      <c r="H1152" s="211">
        <v>1287</v>
      </c>
      <c r="I1152" s="17">
        <f t="shared" si="4"/>
        <v>127425742.57425742</v>
      </c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spans="1:24">
      <c r="A1153" s="151" t="s">
        <v>4584</v>
      </c>
      <c r="B1153" s="17" t="s">
        <v>4585</v>
      </c>
      <c r="C1153" s="211">
        <v>540145</v>
      </c>
      <c r="D1153" s="151" t="s">
        <v>4586</v>
      </c>
      <c r="E1153" s="211">
        <v>473.4</v>
      </c>
      <c r="F1153" s="151" t="s">
        <v>1552</v>
      </c>
      <c r="G1153" s="151" t="s">
        <v>1335</v>
      </c>
      <c r="H1153" s="211">
        <v>1286.3</v>
      </c>
      <c r="I1153" s="17">
        <f t="shared" si="4"/>
        <v>27171525.137304608</v>
      </c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</row>
    <row r="1154" spans="1:24">
      <c r="A1154" s="151" t="s">
        <v>4587</v>
      </c>
      <c r="B1154" s="17" t="s">
        <v>4588</v>
      </c>
      <c r="C1154" s="211">
        <v>517500</v>
      </c>
      <c r="D1154" s="151" t="s">
        <v>4589</v>
      </c>
      <c r="E1154" s="211">
        <v>407.8</v>
      </c>
      <c r="F1154" s="151" t="s">
        <v>1587</v>
      </c>
      <c r="G1154" s="151" t="s">
        <v>1141</v>
      </c>
      <c r="H1154" s="211">
        <v>1280.8</v>
      </c>
      <c r="I1154" s="17">
        <f t="shared" si="4"/>
        <v>31407552.721922509</v>
      </c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</row>
    <row r="1155" spans="1:24">
      <c r="A1155" s="151" t="s">
        <v>4590</v>
      </c>
      <c r="B1155" s="17" t="s">
        <v>4591</v>
      </c>
      <c r="C1155" s="211">
        <v>543599</v>
      </c>
      <c r="D1155" s="151" t="s">
        <v>4592</v>
      </c>
      <c r="E1155" s="211">
        <v>1080</v>
      </c>
      <c r="F1155" s="151" t="s">
        <v>1161</v>
      </c>
      <c r="G1155" s="151" t="s">
        <v>1143</v>
      </c>
      <c r="H1155" s="211">
        <v>1280.4000000000001</v>
      </c>
      <c r="I1155" s="17">
        <f t="shared" si="4"/>
        <v>11855555.555555556</v>
      </c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spans="1:24">
      <c r="A1156" s="151" t="s">
        <v>4593</v>
      </c>
      <c r="B1156" s="17" t="s">
        <v>4594</v>
      </c>
      <c r="C1156" s="211">
        <v>524280</v>
      </c>
      <c r="D1156" s="151" t="s">
        <v>4595</v>
      </c>
      <c r="E1156" s="211">
        <v>265</v>
      </c>
      <c r="F1156" s="151" t="s">
        <v>694</v>
      </c>
      <c r="G1156" s="151" t="s">
        <v>1224</v>
      </c>
      <c r="H1156" s="211">
        <v>1277.5999999999999</v>
      </c>
      <c r="I1156" s="17">
        <f t="shared" si="4"/>
        <v>48211320.754716977</v>
      </c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</row>
    <row r="1157" spans="1:24">
      <c r="A1157" s="151" t="s">
        <v>4596</v>
      </c>
      <c r="B1157" s="17" t="s">
        <v>4597</v>
      </c>
      <c r="C1157" s="211">
        <v>524669</v>
      </c>
      <c r="D1157" s="151" t="s">
        <v>4598</v>
      </c>
      <c r="E1157" s="211">
        <v>1498.8</v>
      </c>
      <c r="F1157" s="151" t="s">
        <v>694</v>
      </c>
      <c r="G1157" s="151" t="s">
        <v>1224</v>
      </c>
      <c r="H1157" s="211">
        <v>1275</v>
      </c>
      <c r="I1157" s="17">
        <f t="shared" si="4"/>
        <v>8506805.4443554841</v>
      </c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</row>
    <row r="1158" spans="1:24">
      <c r="A1158" s="151" t="s">
        <v>4599</v>
      </c>
      <c r="B1158" s="17" t="s">
        <v>4600</v>
      </c>
      <c r="C1158" s="211">
        <v>532515</v>
      </c>
      <c r="D1158" s="151" t="s">
        <v>4601</v>
      </c>
      <c r="E1158" s="211">
        <v>212.8</v>
      </c>
      <c r="F1158" s="151" t="s">
        <v>1907</v>
      </c>
      <c r="G1158" s="151" t="s">
        <v>1908</v>
      </c>
      <c r="H1158" s="211">
        <v>1270</v>
      </c>
      <c r="I1158" s="17">
        <f t="shared" si="4"/>
        <v>59680451.127819546</v>
      </c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spans="1:24">
      <c r="A1159" s="151" t="s">
        <v>4602</v>
      </c>
      <c r="B1159" s="17" t="s">
        <v>4603</v>
      </c>
      <c r="C1159" s="211">
        <v>590065</v>
      </c>
      <c r="D1159" s="151" t="s">
        <v>4604</v>
      </c>
      <c r="E1159" s="211">
        <v>1016.9</v>
      </c>
      <c r="F1159" s="151" t="s">
        <v>1228</v>
      </c>
      <c r="G1159" s="151" t="s">
        <v>1229</v>
      </c>
      <c r="H1159" s="211">
        <v>1269.0999999999999</v>
      </c>
      <c r="I1159" s="17">
        <f t="shared" si="4"/>
        <v>12480086.537515981</v>
      </c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</row>
    <row r="1160" spans="1:24">
      <c r="A1160" s="151" t="s">
        <v>4605</v>
      </c>
      <c r="B1160" s="17" t="s">
        <v>4606</v>
      </c>
      <c r="C1160" s="211">
        <v>539018</v>
      </c>
      <c r="D1160" s="151" t="s">
        <v>4607</v>
      </c>
      <c r="E1160" s="211">
        <v>665</v>
      </c>
      <c r="F1160" s="151" t="s">
        <v>1272</v>
      </c>
      <c r="G1160" s="151" t="s">
        <v>1142</v>
      </c>
      <c r="H1160" s="211">
        <v>1268.3</v>
      </c>
      <c r="I1160" s="17">
        <f t="shared" si="4"/>
        <v>19072180.45112782</v>
      </c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</row>
    <row r="1161" spans="1:24">
      <c r="A1161" s="151" t="s">
        <v>4608</v>
      </c>
      <c r="B1161" s="17" t="s">
        <v>4609</v>
      </c>
      <c r="C1161" s="211">
        <v>513517</v>
      </c>
      <c r="D1161" s="151" t="s">
        <v>4610</v>
      </c>
      <c r="E1161" s="211">
        <v>625.20000000000005</v>
      </c>
      <c r="F1161" s="151" t="s">
        <v>1577</v>
      </c>
      <c r="G1161" s="151" t="s">
        <v>1141</v>
      </c>
      <c r="H1161" s="211">
        <v>1265.3</v>
      </c>
      <c r="I1161" s="17">
        <f t="shared" si="4"/>
        <v>20238323.736404348</v>
      </c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spans="1:24">
      <c r="A1162" s="151" t="s">
        <v>4611</v>
      </c>
      <c r="B1162" s="17" t="s">
        <v>4612</v>
      </c>
      <c r="C1162" s="211">
        <v>543954</v>
      </c>
      <c r="D1162" s="151" t="s">
        <v>4613</v>
      </c>
      <c r="E1162" s="211">
        <v>51.4</v>
      </c>
      <c r="F1162" s="151" t="s">
        <v>1858</v>
      </c>
      <c r="G1162" s="151" t="s">
        <v>1280</v>
      </c>
      <c r="H1162" s="211">
        <v>1261.5999999999999</v>
      </c>
      <c r="I1162" s="17">
        <f t="shared" si="4"/>
        <v>245447470.81712064</v>
      </c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</row>
    <row r="1163" spans="1:24">
      <c r="A1163" s="151" t="s">
        <v>4614</v>
      </c>
      <c r="B1163" s="17" t="s">
        <v>72</v>
      </c>
      <c r="C1163" s="211">
        <v>520008</v>
      </c>
      <c r="D1163" s="151" t="s">
        <v>4615</v>
      </c>
      <c r="E1163" s="211">
        <v>93.2</v>
      </c>
      <c r="F1163" s="151" t="s">
        <v>1507</v>
      </c>
      <c r="G1163" s="151" t="s">
        <v>1211</v>
      </c>
      <c r="H1163" s="211">
        <v>1261.5</v>
      </c>
      <c r="I1163" s="17">
        <f t="shared" si="4"/>
        <v>135354077.25321889</v>
      </c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</row>
    <row r="1164" spans="1:24">
      <c r="A1164" s="151" t="s">
        <v>4616</v>
      </c>
      <c r="B1164" s="17" t="s">
        <v>229</v>
      </c>
      <c r="C1164" s="211">
        <v>530759</v>
      </c>
      <c r="D1164" s="151" t="s">
        <v>4617</v>
      </c>
      <c r="E1164" s="211">
        <v>346.8</v>
      </c>
      <c r="F1164" s="151" t="s">
        <v>1507</v>
      </c>
      <c r="G1164" s="151" t="s">
        <v>1211</v>
      </c>
      <c r="H1164" s="211">
        <v>1249.3</v>
      </c>
      <c r="I1164" s="17">
        <f t="shared" si="4"/>
        <v>36023644.752018452</v>
      </c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spans="1:24">
      <c r="A1165" s="151" t="s">
        <v>4618</v>
      </c>
      <c r="B1165" s="17" t="s">
        <v>4619</v>
      </c>
      <c r="C1165" s="211">
        <v>539686</v>
      </c>
      <c r="D1165" s="151" t="s">
        <v>4620</v>
      </c>
      <c r="E1165" s="211">
        <v>561.4</v>
      </c>
      <c r="F1165" s="151" t="s">
        <v>1242</v>
      </c>
      <c r="G1165" s="151" t="s">
        <v>1144</v>
      </c>
      <c r="H1165" s="211">
        <v>1248.0999999999999</v>
      </c>
      <c r="I1165" s="17">
        <f t="shared" si="4"/>
        <v>22231920.199501246</v>
      </c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</row>
    <row r="1166" spans="1:24">
      <c r="A1166" s="151" t="s">
        <v>4621</v>
      </c>
      <c r="B1166" s="17" t="s">
        <v>4622</v>
      </c>
      <c r="C1166" s="211">
        <v>522281</v>
      </c>
      <c r="D1166" s="151" t="s">
        <v>4623</v>
      </c>
      <c r="E1166" s="211">
        <v>282</v>
      </c>
      <c r="F1166" s="151" t="s">
        <v>1440</v>
      </c>
      <c r="G1166" s="151" t="s">
        <v>1441</v>
      </c>
      <c r="H1166" s="211">
        <v>1240.8</v>
      </c>
      <c r="I1166" s="17">
        <f t="shared" si="4"/>
        <v>44000000</v>
      </c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</row>
    <row r="1167" spans="1:24">
      <c r="A1167" s="151" t="s">
        <v>4624</v>
      </c>
      <c r="B1167" s="17" t="s">
        <v>4625</v>
      </c>
      <c r="C1167" s="211">
        <v>541967</v>
      </c>
      <c r="D1167" s="151" t="s">
        <v>4626</v>
      </c>
      <c r="E1167" s="211">
        <v>1142.2</v>
      </c>
      <c r="F1167" s="151" t="s">
        <v>1710</v>
      </c>
      <c r="G1167" s="151" t="s">
        <v>1216</v>
      </c>
      <c r="H1167" s="211">
        <v>1227.2</v>
      </c>
      <c r="I1167" s="17">
        <f t="shared" si="4"/>
        <v>10744177.902293818</v>
      </c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spans="1:24">
      <c r="A1168" s="151" t="s">
        <v>4627</v>
      </c>
      <c r="B1168" s="17" t="s">
        <v>4628</v>
      </c>
      <c r="C1168" s="17"/>
      <c r="D1168" s="151" t="s">
        <v>4629</v>
      </c>
      <c r="E1168" s="211">
        <v>184</v>
      </c>
      <c r="F1168" s="151" t="s">
        <v>1440</v>
      </c>
      <c r="G1168" s="151" t="s">
        <v>1441</v>
      </c>
      <c r="H1168" s="211">
        <v>1219.5999999999999</v>
      </c>
      <c r="I1168" s="17">
        <f t="shared" si="4"/>
        <v>66282608.695652172</v>
      </c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</row>
    <row r="1169" spans="1:24">
      <c r="A1169" s="151" t="s">
        <v>4630</v>
      </c>
      <c r="B1169" s="17" t="s">
        <v>4631</v>
      </c>
      <c r="C1169" s="211">
        <v>541540</v>
      </c>
      <c r="D1169" s="151" t="s">
        <v>4632</v>
      </c>
      <c r="E1169" s="211">
        <v>337.3</v>
      </c>
      <c r="F1169" s="151" t="s">
        <v>694</v>
      </c>
      <c r="G1169" s="151" t="s">
        <v>1224</v>
      </c>
      <c r="H1169" s="211">
        <v>1214.2</v>
      </c>
      <c r="I1169" s="17">
        <f t="shared" si="4"/>
        <v>35997628.224132821</v>
      </c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</row>
    <row r="1170" spans="1:24">
      <c r="A1170" s="151" t="s">
        <v>4633</v>
      </c>
      <c r="B1170" s="17" t="s">
        <v>4634</v>
      </c>
      <c r="C1170" s="211">
        <v>506852</v>
      </c>
      <c r="D1170" s="151" t="s">
        <v>4635</v>
      </c>
      <c r="E1170" s="211">
        <v>50</v>
      </c>
      <c r="F1170" s="151" t="s">
        <v>1840</v>
      </c>
      <c r="G1170" s="151" t="s">
        <v>1335</v>
      </c>
      <c r="H1170" s="211">
        <v>1211.7</v>
      </c>
      <c r="I1170" s="17">
        <f t="shared" si="4"/>
        <v>242340000</v>
      </c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spans="1:24">
      <c r="A1171" s="151" t="s">
        <v>4636</v>
      </c>
      <c r="B1171" s="17" t="s">
        <v>4637</v>
      </c>
      <c r="C1171" s="211">
        <v>524774</v>
      </c>
      <c r="D1171" s="151" t="s">
        <v>4638</v>
      </c>
      <c r="E1171" s="211">
        <v>1960</v>
      </c>
      <c r="F1171" s="151" t="s">
        <v>694</v>
      </c>
      <c r="G1171" s="151" t="s">
        <v>1224</v>
      </c>
      <c r="H1171" s="211">
        <v>1210.9000000000001</v>
      </c>
      <c r="I1171" s="17">
        <f t="shared" si="4"/>
        <v>6178061.224489796</v>
      </c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</row>
    <row r="1172" spans="1:24">
      <c r="A1172" s="151" t="s">
        <v>4639</v>
      </c>
      <c r="B1172" s="17" t="s">
        <v>4640</v>
      </c>
      <c r="C1172" s="211">
        <v>530307</v>
      </c>
      <c r="D1172" s="151" t="s">
        <v>4641</v>
      </c>
      <c r="E1172" s="211">
        <v>233.4</v>
      </c>
      <c r="F1172" s="151" t="s">
        <v>2563</v>
      </c>
      <c r="G1172" s="151" t="s">
        <v>1140</v>
      </c>
      <c r="H1172" s="211">
        <v>1207.7</v>
      </c>
      <c r="I1172" s="17">
        <f t="shared" si="4"/>
        <v>51743787.48928877</v>
      </c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</row>
    <row r="1173" spans="1:24">
      <c r="A1173" s="151" t="s">
        <v>4642</v>
      </c>
      <c r="B1173" s="17" t="s">
        <v>4643</v>
      </c>
      <c r="C1173" s="211">
        <v>507488</v>
      </c>
      <c r="D1173" s="151" t="s">
        <v>4644</v>
      </c>
      <c r="E1173" s="211">
        <v>659.6</v>
      </c>
      <c r="F1173" s="151" t="s">
        <v>1470</v>
      </c>
      <c r="G1173" s="151" t="s">
        <v>1140</v>
      </c>
      <c r="H1173" s="211">
        <v>1205.5999999999999</v>
      </c>
      <c r="I1173" s="17">
        <f t="shared" si="4"/>
        <v>18277744.087325651</v>
      </c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spans="1:24">
      <c r="A1174" s="151" t="s">
        <v>4645</v>
      </c>
      <c r="B1174" s="17" t="s">
        <v>476</v>
      </c>
      <c r="C1174" s="211">
        <v>532884</v>
      </c>
      <c r="D1174" s="151" t="s">
        <v>4646</v>
      </c>
      <c r="E1174" s="211">
        <v>544</v>
      </c>
      <c r="F1174" s="151" t="s">
        <v>1636</v>
      </c>
      <c r="G1174" s="151" t="s">
        <v>1141</v>
      </c>
      <c r="H1174" s="211">
        <v>1204.0999999999999</v>
      </c>
      <c r="I1174" s="17">
        <f t="shared" si="4"/>
        <v>22134191.176470589</v>
      </c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</row>
    <row r="1175" spans="1:24">
      <c r="A1175" s="151" t="s">
        <v>4647</v>
      </c>
      <c r="B1175" s="17" t="s">
        <v>4648</v>
      </c>
      <c r="C1175" s="211">
        <v>540704</v>
      </c>
      <c r="D1175" s="151" t="s">
        <v>4649</v>
      </c>
      <c r="E1175" s="211">
        <v>540.29999999999995</v>
      </c>
      <c r="F1175" s="151" t="s">
        <v>1373</v>
      </c>
      <c r="G1175" s="151" t="s">
        <v>1143</v>
      </c>
      <c r="H1175" s="211">
        <v>1202.7</v>
      </c>
      <c r="I1175" s="17">
        <f t="shared" si="4"/>
        <v>22259855.635757916</v>
      </c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</row>
    <row r="1176" spans="1:24">
      <c r="A1176" s="151" t="s">
        <v>4650</v>
      </c>
      <c r="B1176" s="17" t="s">
        <v>173</v>
      </c>
      <c r="C1176" s="17"/>
      <c r="D1176" s="151" t="s">
        <v>4651</v>
      </c>
      <c r="E1176" s="211">
        <v>463.8</v>
      </c>
      <c r="F1176" s="151" t="s">
        <v>694</v>
      </c>
      <c r="G1176" s="151" t="s">
        <v>1224</v>
      </c>
      <c r="H1176" s="211">
        <v>1198.7</v>
      </c>
      <c r="I1176" s="17">
        <f t="shared" si="4"/>
        <v>25845191.89305735</v>
      </c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spans="1:24">
      <c r="A1177" s="151" t="s">
        <v>4652</v>
      </c>
      <c r="B1177" s="17" t="s">
        <v>564</v>
      </c>
      <c r="C1177" s="211">
        <v>523736</v>
      </c>
      <c r="D1177" s="151" t="s">
        <v>4653</v>
      </c>
      <c r="E1177" s="211">
        <v>340</v>
      </c>
      <c r="F1177" s="151" t="s">
        <v>1831</v>
      </c>
      <c r="G1177" s="151" t="s">
        <v>1137</v>
      </c>
      <c r="H1177" s="211">
        <v>1191</v>
      </c>
      <c r="I1177" s="17">
        <f t="shared" si="4"/>
        <v>35029411.764705881</v>
      </c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</row>
    <row r="1178" spans="1:24">
      <c r="A1178" s="151" t="s">
        <v>4654</v>
      </c>
      <c r="B1178" s="17" t="s">
        <v>4655</v>
      </c>
      <c r="C1178" s="211">
        <v>523850</v>
      </c>
      <c r="D1178" s="151" t="s">
        <v>4656</v>
      </c>
      <c r="E1178" s="211">
        <v>736.5</v>
      </c>
      <c r="F1178" s="151" t="s">
        <v>1587</v>
      </c>
      <c r="G1178" s="151" t="s">
        <v>1141</v>
      </c>
      <c r="H1178" s="211">
        <v>1189.8</v>
      </c>
      <c r="I1178" s="17">
        <f t="shared" si="4"/>
        <v>16154786.150712831</v>
      </c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</row>
    <row r="1179" spans="1:24">
      <c r="A1179" s="151" t="s">
        <v>4657</v>
      </c>
      <c r="B1179" s="17" t="s">
        <v>4658</v>
      </c>
      <c r="C1179" s="211">
        <v>501150</v>
      </c>
      <c r="D1179" s="151" t="s">
        <v>4659</v>
      </c>
      <c r="E1179" s="211">
        <v>28.5</v>
      </c>
      <c r="F1179" s="151" t="s">
        <v>1831</v>
      </c>
      <c r="G1179" s="151" t="s">
        <v>1137</v>
      </c>
      <c r="H1179" s="211">
        <v>1185.7</v>
      </c>
      <c r="I1179" s="17">
        <f t="shared" si="4"/>
        <v>416035087.71929824</v>
      </c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spans="1:24">
      <c r="A1180" s="151" t="s">
        <v>4660</v>
      </c>
      <c r="B1180" s="17" t="s">
        <v>4661</v>
      </c>
      <c r="C1180" s="211">
        <v>506808</v>
      </c>
      <c r="D1180" s="151" t="s">
        <v>4662</v>
      </c>
      <c r="E1180" s="211">
        <v>97</v>
      </c>
      <c r="F1180" s="151" t="s">
        <v>1840</v>
      </c>
      <c r="G1180" s="151" t="s">
        <v>1335</v>
      </c>
      <c r="H1180" s="211">
        <v>1181.8</v>
      </c>
      <c r="I1180" s="17">
        <f t="shared" si="4"/>
        <v>121835051.54639176</v>
      </c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</row>
    <row r="1181" spans="1:24">
      <c r="A1181" s="151" t="s">
        <v>4663</v>
      </c>
      <c r="B1181" s="17" t="s">
        <v>4664</v>
      </c>
      <c r="C1181" s="17"/>
      <c r="D1181" s="151" t="s">
        <v>4665</v>
      </c>
      <c r="E1181" s="211">
        <v>91</v>
      </c>
      <c r="F1181" s="151" t="s">
        <v>3114</v>
      </c>
      <c r="G1181" s="151" t="s">
        <v>1229</v>
      </c>
      <c r="H1181" s="211">
        <v>1179</v>
      </c>
      <c r="I1181" s="17">
        <f t="shared" si="4"/>
        <v>129560439.56043956</v>
      </c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</row>
    <row r="1182" spans="1:24">
      <c r="A1182" s="151" t="s">
        <v>4666</v>
      </c>
      <c r="B1182" s="17" t="s">
        <v>4667</v>
      </c>
      <c r="C1182" s="211">
        <v>500078</v>
      </c>
      <c r="D1182" s="151" t="s">
        <v>4668</v>
      </c>
      <c r="E1182" s="211">
        <v>350</v>
      </c>
      <c r="F1182" s="151" t="s">
        <v>1334</v>
      </c>
      <c r="G1182" s="151" t="s">
        <v>1335</v>
      </c>
      <c r="H1182" s="211">
        <v>1177.9000000000001</v>
      </c>
      <c r="I1182" s="17">
        <f t="shared" si="4"/>
        <v>33654285.714285716</v>
      </c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spans="1:24">
      <c r="A1183" s="151" t="s">
        <v>4669</v>
      </c>
      <c r="B1183" s="17" t="s">
        <v>238</v>
      </c>
      <c r="C1183" s="211">
        <v>505720</v>
      </c>
      <c r="D1183" s="151" t="s">
        <v>4670</v>
      </c>
      <c r="E1183" s="211">
        <v>367.8</v>
      </c>
      <c r="F1183" s="151" t="s">
        <v>1587</v>
      </c>
      <c r="G1183" s="151" t="s">
        <v>1141</v>
      </c>
      <c r="H1183" s="211">
        <v>1177.0999999999999</v>
      </c>
      <c r="I1183" s="17">
        <f t="shared" si="4"/>
        <v>32003806.416530721</v>
      </c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</row>
    <row r="1184" spans="1:24">
      <c r="A1184" s="151" t="s">
        <v>4671</v>
      </c>
      <c r="B1184" s="17" t="s">
        <v>4672</v>
      </c>
      <c r="C1184" s="211">
        <v>543451</v>
      </c>
      <c r="D1184" s="151" t="s">
        <v>4673</v>
      </c>
      <c r="E1184" s="211">
        <v>96.8</v>
      </c>
      <c r="F1184" s="151" t="s">
        <v>1373</v>
      </c>
      <c r="G1184" s="151" t="s">
        <v>1143</v>
      </c>
      <c r="H1184" s="211">
        <v>1175.2</v>
      </c>
      <c r="I1184" s="17">
        <f t="shared" si="4"/>
        <v>121404958.67768596</v>
      </c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</row>
    <row r="1185" spans="1:24">
      <c r="A1185" s="151" t="s">
        <v>4674</v>
      </c>
      <c r="B1185" s="17" t="s">
        <v>155</v>
      </c>
      <c r="C1185" s="211">
        <v>532687</v>
      </c>
      <c r="D1185" s="151" t="s">
        <v>4675</v>
      </c>
      <c r="E1185" s="211">
        <v>821.8</v>
      </c>
      <c r="F1185" s="151" t="s">
        <v>3195</v>
      </c>
      <c r="G1185" s="151" t="s">
        <v>1229</v>
      </c>
      <c r="H1185" s="211">
        <v>1174.9000000000001</v>
      </c>
      <c r="I1185" s="17">
        <f t="shared" si="4"/>
        <v>14296665.855439281</v>
      </c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spans="1:24">
      <c r="A1186" s="151" t="s">
        <v>4676</v>
      </c>
      <c r="B1186" s="17" t="s">
        <v>4677</v>
      </c>
      <c r="C1186" s="211">
        <v>534748</v>
      </c>
      <c r="D1186" s="151" t="s">
        <v>4678</v>
      </c>
      <c r="E1186" s="211">
        <v>9.9</v>
      </c>
      <c r="F1186" s="151" t="s">
        <v>1272</v>
      </c>
      <c r="G1186" s="151" t="s">
        <v>1142</v>
      </c>
      <c r="H1186" s="211">
        <v>1174.8</v>
      </c>
      <c r="I1186" s="17">
        <f t="shared" si="4"/>
        <v>1186666666.6666665</v>
      </c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</row>
    <row r="1187" spans="1:24">
      <c r="A1187" s="151" t="s">
        <v>4679</v>
      </c>
      <c r="B1187" s="17" t="s">
        <v>4680</v>
      </c>
      <c r="C1187" s="211">
        <v>532435</v>
      </c>
      <c r="D1187" s="151" t="s">
        <v>4681</v>
      </c>
      <c r="E1187" s="211">
        <v>73.8</v>
      </c>
      <c r="F1187" s="151" t="s">
        <v>1300</v>
      </c>
      <c r="G1187" s="151" t="s">
        <v>1158</v>
      </c>
      <c r="H1187" s="211">
        <v>1166.9000000000001</v>
      </c>
      <c r="I1187" s="17">
        <f t="shared" si="4"/>
        <v>158116531.16531166</v>
      </c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</row>
    <row r="1188" spans="1:24">
      <c r="A1188" s="151" t="s">
        <v>4682</v>
      </c>
      <c r="B1188" s="17" t="s">
        <v>22</v>
      </c>
      <c r="C1188" s="211">
        <v>520066</v>
      </c>
      <c r="D1188" s="151" t="s">
        <v>4683</v>
      </c>
      <c r="E1188" s="211">
        <v>107.6</v>
      </c>
      <c r="F1188" s="151" t="s">
        <v>1507</v>
      </c>
      <c r="G1188" s="151" t="s">
        <v>1211</v>
      </c>
      <c r="H1188" s="211">
        <v>1164.2</v>
      </c>
      <c r="I1188" s="17">
        <f t="shared" si="4"/>
        <v>108197026.02230483</v>
      </c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spans="1:24">
      <c r="A1189" s="151" t="s">
        <v>4684</v>
      </c>
      <c r="B1189" s="17" t="s">
        <v>4685</v>
      </c>
      <c r="C1189" s="211">
        <v>539201</v>
      </c>
      <c r="D1189" s="151" t="s">
        <v>4686</v>
      </c>
      <c r="E1189" s="211">
        <v>116.2</v>
      </c>
      <c r="F1189" s="151" t="s">
        <v>2222</v>
      </c>
      <c r="G1189" s="151" t="s">
        <v>1229</v>
      </c>
      <c r="H1189" s="211">
        <v>1162</v>
      </c>
      <c r="I1189" s="17">
        <f t="shared" si="4"/>
        <v>100000000</v>
      </c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</row>
    <row r="1190" spans="1:24">
      <c r="A1190" s="151" t="s">
        <v>4687</v>
      </c>
      <c r="B1190" s="17" t="s">
        <v>4688</v>
      </c>
      <c r="C1190" s="17"/>
      <c r="D1190" s="151" t="s">
        <v>4689</v>
      </c>
      <c r="E1190" s="211">
        <v>565</v>
      </c>
      <c r="F1190" s="151" t="s">
        <v>2491</v>
      </c>
      <c r="G1190" s="151" t="s">
        <v>1143</v>
      </c>
      <c r="H1190" s="211">
        <v>1158.2</v>
      </c>
      <c r="I1190" s="17">
        <f t="shared" si="4"/>
        <v>20499115.044247787</v>
      </c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</row>
    <row r="1191" spans="1:24">
      <c r="A1191" s="151" t="s">
        <v>4690</v>
      </c>
      <c r="B1191" s="17" t="s">
        <v>4691</v>
      </c>
      <c r="C1191" s="17"/>
      <c r="D1191" s="151" t="s">
        <v>4692</v>
      </c>
      <c r="E1191" s="211">
        <v>483.2</v>
      </c>
      <c r="F1191" s="151" t="s">
        <v>1190</v>
      </c>
      <c r="G1191" s="151" t="s">
        <v>1138</v>
      </c>
      <c r="H1191" s="211">
        <v>1155.7</v>
      </c>
      <c r="I1191" s="17">
        <f t="shared" si="4"/>
        <v>23917632.450331125</v>
      </c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spans="1:24">
      <c r="A1192" s="151" t="s">
        <v>4693</v>
      </c>
      <c r="B1192" s="17" t="s">
        <v>4694</v>
      </c>
      <c r="C1192" s="211">
        <v>543919</v>
      </c>
      <c r="D1192" s="151" t="s">
        <v>4695</v>
      </c>
      <c r="E1192" s="211">
        <v>92.1</v>
      </c>
      <c r="F1192" s="151" t="s">
        <v>1616</v>
      </c>
      <c r="G1192" s="151" t="s">
        <v>1173</v>
      </c>
      <c r="H1192" s="211">
        <v>1152.4000000000001</v>
      </c>
      <c r="I1192" s="17">
        <f t="shared" si="4"/>
        <v>125124864.27795875</v>
      </c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</row>
    <row r="1193" spans="1:24">
      <c r="A1193" s="151" t="s">
        <v>4696</v>
      </c>
      <c r="B1193" s="17" t="s">
        <v>4697</v>
      </c>
      <c r="C1193" s="211">
        <v>532944</v>
      </c>
      <c r="D1193" s="151" t="s">
        <v>4698</v>
      </c>
      <c r="E1193" s="211">
        <v>108.2</v>
      </c>
      <c r="F1193" s="151" t="s">
        <v>1622</v>
      </c>
      <c r="G1193" s="151" t="s">
        <v>1179</v>
      </c>
      <c r="H1193" s="211">
        <v>1149.2</v>
      </c>
      <c r="I1193" s="17">
        <f t="shared" si="4"/>
        <v>106210720.88724583</v>
      </c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</row>
    <row r="1194" spans="1:24">
      <c r="A1194" s="151" t="s">
        <v>4699</v>
      </c>
      <c r="B1194" s="17" t="s">
        <v>4700</v>
      </c>
      <c r="C1194" s="211">
        <v>500296</v>
      </c>
      <c r="D1194" s="151" t="s">
        <v>4701</v>
      </c>
      <c r="E1194" s="211">
        <v>317.2</v>
      </c>
      <c r="F1194" s="151" t="s">
        <v>1854</v>
      </c>
      <c r="G1194" s="151" t="s">
        <v>1216</v>
      </c>
      <c r="H1194" s="211">
        <v>1144.2</v>
      </c>
      <c r="I1194" s="17">
        <f t="shared" si="4"/>
        <v>36071878.940731399</v>
      </c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spans="1:24">
      <c r="A1195" s="151" t="s">
        <v>4702</v>
      </c>
      <c r="B1195" s="17" t="s">
        <v>4703</v>
      </c>
      <c r="C1195" s="211">
        <v>531481</v>
      </c>
      <c r="D1195" s="151" t="s">
        <v>4704</v>
      </c>
      <c r="E1195" s="211">
        <v>1190</v>
      </c>
      <c r="F1195" s="151" t="s">
        <v>694</v>
      </c>
      <c r="G1195" s="151" t="s">
        <v>1224</v>
      </c>
      <c r="H1195" s="211">
        <v>1144.0999999999999</v>
      </c>
      <c r="I1195" s="17">
        <f t="shared" si="4"/>
        <v>9614285.7142857146</v>
      </c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</row>
    <row r="1196" spans="1:24">
      <c r="A1196" s="151" t="s">
        <v>4705</v>
      </c>
      <c r="B1196" s="17" t="s">
        <v>4706</v>
      </c>
      <c r="C1196" s="211">
        <v>530079</v>
      </c>
      <c r="D1196" s="151" t="s">
        <v>4707</v>
      </c>
      <c r="E1196" s="211">
        <v>469.4</v>
      </c>
      <c r="F1196" s="151" t="s">
        <v>1854</v>
      </c>
      <c r="G1196" s="151" t="s">
        <v>1216</v>
      </c>
      <c r="H1196" s="211">
        <v>1141.4000000000001</v>
      </c>
      <c r="I1196" s="17">
        <f t="shared" si="4"/>
        <v>24316148.274392843</v>
      </c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</row>
    <row r="1197" spans="1:24">
      <c r="A1197" s="151" t="s">
        <v>4708</v>
      </c>
      <c r="B1197" s="17" t="s">
        <v>4709</v>
      </c>
      <c r="C1197" s="211">
        <v>543284</v>
      </c>
      <c r="D1197" s="151" t="s">
        <v>4710</v>
      </c>
      <c r="E1197" s="211">
        <v>414</v>
      </c>
      <c r="F1197" s="151" t="s">
        <v>2642</v>
      </c>
      <c r="G1197" s="151" t="s">
        <v>1229</v>
      </c>
      <c r="H1197" s="211">
        <v>1139.3</v>
      </c>
      <c r="I1197" s="17">
        <f t="shared" si="4"/>
        <v>27519323.671497583</v>
      </c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spans="1:24">
      <c r="A1198" s="151" t="s">
        <v>4711</v>
      </c>
      <c r="B1198" s="17" t="s">
        <v>4712</v>
      </c>
      <c r="C1198" s="211">
        <v>500268</v>
      </c>
      <c r="D1198" s="151" t="s">
        <v>4713</v>
      </c>
      <c r="E1198" s="211">
        <v>66</v>
      </c>
      <c r="F1198" s="151" t="s">
        <v>2452</v>
      </c>
      <c r="G1198" s="151" t="s">
        <v>1335</v>
      </c>
      <c r="H1198" s="211">
        <v>1135.2</v>
      </c>
      <c r="I1198" s="17">
        <f t="shared" si="4"/>
        <v>172000000</v>
      </c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</row>
    <row r="1199" spans="1:24">
      <c r="A1199" s="151" t="s">
        <v>4714</v>
      </c>
      <c r="B1199" s="17" t="s">
        <v>4715</v>
      </c>
      <c r="C1199" s="211">
        <v>533146</v>
      </c>
      <c r="D1199" s="151" t="s">
        <v>4716</v>
      </c>
      <c r="E1199" s="211">
        <v>319.60000000000002</v>
      </c>
      <c r="F1199" s="151" t="s">
        <v>4218</v>
      </c>
      <c r="G1199" s="151" t="s">
        <v>4219</v>
      </c>
      <c r="H1199" s="211">
        <v>1134.7</v>
      </c>
      <c r="I1199" s="17">
        <f t="shared" si="4"/>
        <v>35503754.693366706</v>
      </c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</row>
    <row r="1200" spans="1:24">
      <c r="A1200" s="151" t="s">
        <v>4717</v>
      </c>
      <c r="B1200" s="17" t="s">
        <v>4718</v>
      </c>
      <c r="C1200" s="211">
        <v>540061</v>
      </c>
      <c r="D1200" s="151" t="s">
        <v>4719</v>
      </c>
      <c r="E1200" s="211">
        <v>160.19999999999999</v>
      </c>
      <c r="F1200" s="151" t="s">
        <v>1238</v>
      </c>
      <c r="G1200" s="151" t="s">
        <v>1138</v>
      </c>
      <c r="H1200" s="211">
        <v>1134</v>
      </c>
      <c r="I1200" s="17">
        <f t="shared" si="4"/>
        <v>70786516.853932589</v>
      </c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spans="1:24">
      <c r="A1201" s="151" t="s">
        <v>4720</v>
      </c>
      <c r="B1201" s="17" t="s">
        <v>4721</v>
      </c>
      <c r="C1201" s="211">
        <v>543955</v>
      </c>
      <c r="D1201" s="151" t="s">
        <v>4722</v>
      </c>
      <c r="E1201" s="211">
        <v>46</v>
      </c>
      <c r="F1201" s="151" t="s">
        <v>1307</v>
      </c>
      <c r="G1201" s="151" t="s">
        <v>1307</v>
      </c>
      <c r="H1201" s="211">
        <v>1131.2</v>
      </c>
      <c r="I1201" s="17">
        <f t="shared" si="4"/>
        <v>245913043.47826087</v>
      </c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</row>
    <row r="1202" spans="1:24">
      <c r="A1202" s="151" t="s">
        <v>4723</v>
      </c>
      <c r="B1202" s="17" t="s">
        <v>4724</v>
      </c>
      <c r="C1202" s="211">
        <v>531449</v>
      </c>
      <c r="D1202" s="151" t="s">
        <v>4725</v>
      </c>
      <c r="E1202" s="211">
        <v>188.4</v>
      </c>
      <c r="F1202" s="151" t="s">
        <v>2563</v>
      </c>
      <c r="G1202" s="151" t="s">
        <v>1140</v>
      </c>
      <c r="H1202" s="211">
        <v>1130.4000000000001</v>
      </c>
      <c r="I1202" s="17">
        <f t="shared" si="4"/>
        <v>60000000</v>
      </c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</row>
    <row r="1203" spans="1:24">
      <c r="A1203" s="151" t="s">
        <v>4726</v>
      </c>
      <c r="B1203" s="17" t="s">
        <v>4727</v>
      </c>
      <c r="C1203" s="211">
        <v>543240</v>
      </c>
      <c r="D1203" s="151" t="s">
        <v>4728</v>
      </c>
      <c r="E1203" s="211">
        <v>284.8</v>
      </c>
      <c r="F1203" s="151" t="s">
        <v>1190</v>
      </c>
      <c r="G1203" s="151" t="s">
        <v>1138</v>
      </c>
      <c r="H1203" s="211">
        <v>1123.7</v>
      </c>
      <c r="I1203" s="17">
        <f t="shared" si="4"/>
        <v>39455758.426966287</v>
      </c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spans="1:24">
      <c r="A1204" s="151" t="s">
        <v>4729</v>
      </c>
      <c r="B1204" s="17" t="s">
        <v>17</v>
      </c>
      <c r="C1204" s="211">
        <v>506194</v>
      </c>
      <c r="D1204" s="151" t="s">
        <v>4730</v>
      </c>
      <c r="E1204" s="211">
        <v>272.8</v>
      </c>
      <c r="F1204" s="151" t="s">
        <v>1307</v>
      </c>
      <c r="G1204" s="151" t="s">
        <v>1307</v>
      </c>
      <c r="H1204" s="211">
        <v>1123.0999999999999</v>
      </c>
      <c r="I1204" s="17">
        <f t="shared" si="4"/>
        <v>41169354.838709675</v>
      </c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</row>
    <row r="1205" spans="1:24">
      <c r="A1205" s="151" t="s">
        <v>4731</v>
      </c>
      <c r="B1205" s="17" t="s">
        <v>4732</v>
      </c>
      <c r="C1205" s="211">
        <v>532782</v>
      </c>
      <c r="D1205" s="151" t="s">
        <v>4733</v>
      </c>
      <c r="E1205" s="211">
        <v>68.599999999999994</v>
      </c>
      <c r="F1205" s="151" t="s">
        <v>1854</v>
      </c>
      <c r="G1205" s="151" t="s">
        <v>1216</v>
      </c>
      <c r="H1205" s="211">
        <v>1123</v>
      </c>
      <c r="I1205" s="17">
        <f t="shared" si="4"/>
        <v>163702623.90670556</v>
      </c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</row>
    <row r="1206" spans="1:24">
      <c r="A1206" s="151" t="s">
        <v>4734</v>
      </c>
      <c r="B1206" s="17" t="s">
        <v>4735</v>
      </c>
      <c r="C1206" s="211">
        <v>500153</v>
      </c>
      <c r="D1206" s="151" t="s">
        <v>4736</v>
      </c>
      <c r="E1206" s="211">
        <v>164.5</v>
      </c>
      <c r="F1206" s="151" t="s">
        <v>1840</v>
      </c>
      <c r="G1206" s="151" t="s">
        <v>1335</v>
      </c>
      <c r="H1206" s="211">
        <v>1120.4000000000001</v>
      </c>
      <c r="I1206" s="17">
        <f t="shared" si="4"/>
        <v>68109422.492401212</v>
      </c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spans="1:24">
      <c r="A1207" s="151" t="s">
        <v>4737</v>
      </c>
      <c r="B1207" s="17" t="s">
        <v>4738</v>
      </c>
      <c r="C1207" s="211">
        <v>532240</v>
      </c>
      <c r="D1207" s="151" t="s">
        <v>4739</v>
      </c>
      <c r="E1207" s="211">
        <v>495</v>
      </c>
      <c r="F1207" s="151" t="s">
        <v>1507</v>
      </c>
      <c r="G1207" s="151" t="s">
        <v>1211</v>
      </c>
      <c r="H1207" s="211">
        <v>1119.9000000000001</v>
      </c>
      <c r="I1207" s="17">
        <f t="shared" si="4"/>
        <v>22624242.424242426</v>
      </c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</row>
    <row r="1208" spans="1:24">
      <c r="A1208" s="151" t="s">
        <v>4740</v>
      </c>
      <c r="B1208" s="17" t="s">
        <v>4741</v>
      </c>
      <c r="C1208" s="211">
        <v>505526</v>
      </c>
      <c r="D1208" s="151" t="s">
        <v>4742</v>
      </c>
      <c r="E1208" s="211">
        <v>63.6</v>
      </c>
      <c r="F1208" s="151" t="s">
        <v>1831</v>
      </c>
      <c r="G1208" s="151" t="s">
        <v>1137</v>
      </c>
      <c r="H1208" s="211">
        <v>1118.5</v>
      </c>
      <c r="I1208" s="17">
        <f t="shared" si="4"/>
        <v>175864779.87421384</v>
      </c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</row>
    <row r="1209" spans="1:24">
      <c r="A1209" s="151" t="s">
        <v>4743</v>
      </c>
      <c r="B1209" s="17" t="s">
        <v>4744</v>
      </c>
      <c r="C1209" s="211">
        <v>531092</v>
      </c>
      <c r="D1209" s="151" t="s">
        <v>4745</v>
      </c>
      <c r="E1209" s="211">
        <v>116.1</v>
      </c>
      <c r="F1209" s="151" t="s">
        <v>1190</v>
      </c>
      <c r="G1209" s="151" t="s">
        <v>1138</v>
      </c>
      <c r="H1209" s="211">
        <v>1118.0999999999999</v>
      </c>
      <c r="I1209" s="17">
        <f t="shared" si="4"/>
        <v>96304909.560723513</v>
      </c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spans="1:24">
      <c r="A1210" s="151" t="s">
        <v>4746</v>
      </c>
      <c r="B1210" s="17" t="s">
        <v>4747</v>
      </c>
      <c r="C1210" s="211">
        <v>513250</v>
      </c>
      <c r="D1210" s="151" t="s">
        <v>4748</v>
      </c>
      <c r="E1210" s="211">
        <v>17.600000000000001</v>
      </c>
      <c r="F1210" s="151" t="s">
        <v>1190</v>
      </c>
      <c r="G1210" s="151" t="s">
        <v>1138</v>
      </c>
      <c r="H1210" s="211">
        <v>1116.8</v>
      </c>
      <c r="I1210" s="17">
        <f t="shared" si="4"/>
        <v>634545454.5454545</v>
      </c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</row>
    <row r="1211" spans="1:24">
      <c r="A1211" s="151" t="s">
        <v>4749</v>
      </c>
      <c r="B1211" s="17" t="s">
        <v>4750</v>
      </c>
      <c r="C1211" s="211">
        <v>540650</v>
      </c>
      <c r="D1211" s="151" t="s">
        <v>4751</v>
      </c>
      <c r="E1211" s="211">
        <v>791.4</v>
      </c>
      <c r="F1211" s="151" t="s">
        <v>2449</v>
      </c>
      <c r="G1211" s="151" t="s">
        <v>1140</v>
      </c>
      <c r="H1211" s="211">
        <v>1115.0999999999999</v>
      </c>
      <c r="I1211" s="17">
        <f t="shared" si="4"/>
        <v>14090219.863532979</v>
      </c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</row>
    <row r="1212" spans="1:24">
      <c r="A1212" s="151" t="s">
        <v>4752</v>
      </c>
      <c r="B1212" s="17" t="s">
        <v>4753</v>
      </c>
      <c r="C1212" s="211">
        <v>530843</v>
      </c>
      <c r="D1212" s="151" t="s">
        <v>4754</v>
      </c>
      <c r="E1212" s="211">
        <v>832.4</v>
      </c>
      <c r="F1212" s="151" t="s">
        <v>1172</v>
      </c>
      <c r="G1212" s="151" t="s">
        <v>1173</v>
      </c>
      <c r="H1212" s="211">
        <v>1110.3</v>
      </c>
      <c r="I1212" s="17">
        <f t="shared" si="4"/>
        <v>13338539.163863527</v>
      </c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spans="1:24">
      <c r="A1213" s="151" t="s">
        <v>4755</v>
      </c>
      <c r="B1213" s="17" t="s">
        <v>4756</v>
      </c>
      <c r="C1213" s="211">
        <v>511676</v>
      </c>
      <c r="D1213" s="151" t="s">
        <v>4757</v>
      </c>
      <c r="E1213" s="211">
        <v>205.2</v>
      </c>
      <c r="F1213" s="151" t="s">
        <v>1886</v>
      </c>
      <c r="G1213" s="151" t="s">
        <v>1137</v>
      </c>
      <c r="H1213" s="211">
        <v>1105</v>
      </c>
      <c r="I1213" s="17">
        <f t="shared" si="4"/>
        <v>53849902.534113064</v>
      </c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</row>
    <row r="1214" spans="1:24">
      <c r="A1214" s="151" t="s">
        <v>4758</v>
      </c>
      <c r="B1214" s="17" t="s">
        <v>4759</v>
      </c>
      <c r="C1214" s="211">
        <v>543593</v>
      </c>
      <c r="D1214" s="151" t="s">
        <v>4760</v>
      </c>
      <c r="E1214" s="211">
        <v>166</v>
      </c>
      <c r="F1214" s="151" t="s">
        <v>2449</v>
      </c>
      <c r="G1214" s="151" t="s">
        <v>1140</v>
      </c>
      <c r="H1214" s="211">
        <v>1102.4000000000001</v>
      </c>
      <c r="I1214" s="17">
        <f t="shared" si="4"/>
        <v>66409638.554216869</v>
      </c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</row>
    <row r="1215" spans="1:24">
      <c r="A1215" s="151" t="s">
        <v>4761</v>
      </c>
      <c r="B1215" s="17" t="s">
        <v>4762</v>
      </c>
      <c r="C1215" s="211">
        <v>506685</v>
      </c>
      <c r="D1215" s="151" t="s">
        <v>4763</v>
      </c>
      <c r="E1215" s="211">
        <v>377.4</v>
      </c>
      <c r="F1215" s="151" t="s">
        <v>1334</v>
      </c>
      <c r="G1215" s="151" t="s">
        <v>1335</v>
      </c>
      <c r="H1215" s="211">
        <v>1102</v>
      </c>
      <c r="I1215" s="17">
        <f t="shared" si="4"/>
        <v>29199788.023317438</v>
      </c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spans="1:24">
      <c r="A1216" s="151" t="s">
        <v>4764</v>
      </c>
      <c r="B1216" s="17" t="s">
        <v>4765</v>
      </c>
      <c r="C1216" s="211">
        <v>524470</v>
      </c>
      <c r="D1216" s="151" t="s">
        <v>4766</v>
      </c>
      <c r="E1216" s="211">
        <v>11.7</v>
      </c>
      <c r="F1216" s="151" t="s">
        <v>694</v>
      </c>
      <c r="G1216" s="151" t="s">
        <v>1224</v>
      </c>
      <c r="H1216" s="211">
        <v>1098.9000000000001</v>
      </c>
      <c r="I1216" s="17">
        <f t="shared" si="4"/>
        <v>939230769.23076928</v>
      </c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</row>
    <row r="1217" spans="1:24">
      <c r="A1217" s="151" t="s">
        <v>4767</v>
      </c>
      <c r="B1217" s="17" t="s">
        <v>4768</v>
      </c>
      <c r="C1217" s="17"/>
      <c r="D1217" s="151" t="s">
        <v>4769</v>
      </c>
      <c r="E1217" s="211">
        <v>685</v>
      </c>
      <c r="F1217" s="151" t="s">
        <v>2190</v>
      </c>
      <c r="G1217" s="151" t="s">
        <v>2191</v>
      </c>
      <c r="H1217" s="211">
        <v>1097.0999999999999</v>
      </c>
      <c r="I1217" s="17">
        <f t="shared" si="4"/>
        <v>16016058.394160584</v>
      </c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</row>
    <row r="1218" spans="1:24">
      <c r="A1218" s="151" t="s">
        <v>4770</v>
      </c>
      <c r="B1218" s="17" t="s">
        <v>4771</v>
      </c>
      <c r="C1218" s="17"/>
      <c r="D1218" s="151" t="s">
        <v>4772</v>
      </c>
      <c r="E1218" s="211">
        <v>779.7</v>
      </c>
      <c r="F1218" s="151" t="s">
        <v>1626</v>
      </c>
      <c r="G1218" s="151" t="s">
        <v>1143</v>
      </c>
      <c r="H1218" s="211">
        <v>1095.8</v>
      </c>
      <c r="I1218" s="17">
        <f t="shared" si="4"/>
        <v>14054123.380787481</v>
      </c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spans="1:24">
      <c r="A1219" s="151" t="s">
        <v>4773</v>
      </c>
      <c r="B1219" s="17" t="s">
        <v>4774</v>
      </c>
      <c r="C1219" s="211">
        <v>500173</v>
      </c>
      <c r="D1219" s="151" t="s">
        <v>4775</v>
      </c>
      <c r="E1219" s="211">
        <v>99.6</v>
      </c>
      <c r="F1219" s="151" t="s">
        <v>1233</v>
      </c>
      <c r="G1219" s="151" t="s">
        <v>1234</v>
      </c>
      <c r="H1219" s="211">
        <v>1094.0999999999999</v>
      </c>
      <c r="I1219" s="17">
        <f t="shared" si="4"/>
        <v>109849397.59036145</v>
      </c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</row>
    <row r="1220" spans="1:24">
      <c r="A1220" s="151" t="s">
        <v>4776</v>
      </c>
      <c r="B1220" s="17" t="s">
        <v>4777</v>
      </c>
      <c r="C1220" s="211">
        <v>522257</v>
      </c>
      <c r="D1220" s="151" t="s">
        <v>4778</v>
      </c>
      <c r="E1220" s="211">
        <v>176.6</v>
      </c>
      <c r="F1220" s="151" t="s">
        <v>1587</v>
      </c>
      <c r="G1220" s="151" t="s">
        <v>1141</v>
      </c>
      <c r="H1220" s="211">
        <v>1086.3</v>
      </c>
      <c r="I1220" s="17">
        <f t="shared" si="4"/>
        <v>61511891.279728204</v>
      </c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</row>
    <row r="1221" spans="1:24">
      <c r="A1221" s="151" t="s">
        <v>4779</v>
      </c>
      <c r="B1221" s="17" t="s">
        <v>4780</v>
      </c>
      <c r="C1221" s="211">
        <v>502865</v>
      </c>
      <c r="D1221" s="151" t="s">
        <v>4781</v>
      </c>
      <c r="E1221" s="211">
        <v>840</v>
      </c>
      <c r="F1221" s="151" t="s">
        <v>1587</v>
      </c>
      <c r="G1221" s="151" t="s">
        <v>1141</v>
      </c>
      <c r="H1221" s="211">
        <v>1083.5</v>
      </c>
      <c r="I1221" s="17">
        <f t="shared" si="4"/>
        <v>12898809.523809524</v>
      </c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spans="1:24">
      <c r="A1222" s="151" t="s">
        <v>4782</v>
      </c>
      <c r="B1222" s="17" t="s">
        <v>4783</v>
      </c>
      <c r="C1222" s="211">
        <v>504036</v>
      </c>
      <c r="D1222" s="151" t="s">
        <v>4784</v>
      </c>
      <c r="E1222" s="211">
        <v>632.6</v>
      </c>
      <c r="F1222" s="151" t="s">
        <v>3114</v>
      </c>
      <c r="G1222" s="151" t="s">
        <v>1229</v>
      </c>
      <c r="H1222" s="211">
        <v>1083.2</v>
      </c>
      <c r="I1222" s="17">
        <f t="shared" si="4"/>
        <v>17122984.508378122</v>
      </c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</row>
    <row r="1223" spans="1:24">
      <c r="A1223" s="151" t="s">
        <v>4785</v>
      </c>
      <c r="B1223" s="17" t="s">
        <v>4786</v>
      </c>
      <c r="C1223" s="211">
        <v>515043</v>
      </c>
      <c r="D1223" s="151" t="s">
        <v>4787</v>
      </c>
      <c r="E1223" s="211">
        <v>118.4</v>
      </c>
      <c r="F1223" s="151" t="s">
        <v>1507</v>
      </c>
      <c r="G1223" s="151" t="s">
        <v>1211</v>
      </c>
      <c r="H1223" s="211">
        <v>1079.0999999999999</v>
      </c>
      <c r="I1223" s="17">
        <f t="shared" si="4"/>
        <v>91140202.702702701</v>
      </c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</row>
    <row r="1224" spans="1:24">
      <c r="A1224" s="151" t="s">
        <v>4788</v>
      </c>
      <c r="B1224" s="17" t="s">
        <v>4789</v>
      </c>
      <c r="C1224" s="211">
        <v>507789</v>
      </c>
      <c r="D1224" s="151" t="s">
        <v>4790</v>
      </c>
      <c r="E1224" s="211">
        <v>411.5</v>
      </c>
      <c r="F1224" s="151" t="s">
        <v>694</v>
      </c>
      <c r="G1224" s="151" t="s">
        <v>1224</v>
      </c>
      <c r="H1224" s="211">
        <v>1078</v>
      </c>
      <c r="I1224" s="17">
        <f t="shared" si="4"/>
        <v>26196840.826245442</v>
      </c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spans="1:24">
      <c r="A1225" s="151" t="s">
        <v>4791</v>
      </c>
      <c r="B1225" s="17" t="s">
        <v>4792</v>
      </c>
      <c r="C1225" s="211">
        <v>500650</v>
      </c>
      <c r="D1225" s="151" t="s">
        <v>4793</v>
      </c>
      <c r="E1225" s="211">
        <v>856</v>
      </c>
      <c r="F1225" s="151" t="s">
        <v>1334</v>
      </c>
      <c r="G1225" s="151" t="s">
        <v>1335</v>
      </c>
      <c r="H1225" s="211">
        <v>1076</v>
      </c>
      <c r="I1225" s="17">
        <f t="shared" si="4"/>
        <v>12570093.457943926</v>
      </c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</row>
    <row r="1226" spans="1:24">
      <c r="A1226" s="151" t="s">
        <v>4794</v>
      </c>
      <c r="B1226" s="17" t="s">
        <v>4795</v>
      </c>
      <c r="C1226" s="211">
        <v>507753</v>
      </c>
      <c r="D1226" s="151" t="s">
        <v>4796</v>
      </c>
      <c r="E1226" s="211">
        <v>100.4</v>
      </c>
      <c r="F1226" s="151" t="s">
        <v>1840</v>
      </c>
      <c r="G1226" s="151" t="s">
        <v>1335</v>
      </c>
      <c r="H1226" s="211">
        <v>1075.2</v>
      </c>
      <c r="I1226" s="17">
        <f t="shared" si="4"/>
        <v>107091633.46613546</v>
      </c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</row>
    <row r="1227" spans="1:24">
      <c r="A1227" s="151" t="s">
        <v>4797</v>
      </c>
      <c r="B1227" s="17" t="s">
        <v>4798</v>
      </c>
      <c r="C1227" s="211">
        <v>539148</v>
      </c>
      <c r="D1227" s="151" t="s">
        <v>4799</v>
      </c>
      <c r="E1227" s="211">
        <v>689.4</v>
      </c>
      <c r="F1227" s="151" t="s">
        <v>1552</v>
      </c>
      <c r="G1227" s="151" t="s">
        <v>1335</v>
      </c>
      <c r="H1227" s="211">
        <v>1072.7</v>
      </c>
      <c r="I1227" s="17">
        <f t="shared" si="4"/>
        <v>15559907.165651292</v>
      </c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spans="1:24">
      <c r="A1228" s="151" t="s">
        <v>4800</v>
      </c>
      <c r="B1228" s="17" t="s">
        <v>4801</v>
      </c>
      <c r="C1228" s="211">
        <v>532616</v>
      </c>
      <c r="D1228" s="151" t="s">
        <v>4802</v>
      </c>
      <c r="E1228" s="211">
        <v>95.4</v>
      </c>
      <c r="F1228" s="151" t="s">
        <v>1161</v>
      </c>
      <c r="G1228" s="151" t="s">
        <v>1143</v>
      </c>
      <c r="H1228" s="211">
        <v>1062.2</v>
      </c>
      <c r="I1228" s="17">
        <f t="shared" si="4"/>
        <v>111341719.07756813</v>
      </c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</row>
    <row r="1229" spans="1:24">
      <c r="A1229" s="151" t="s">
        <v>4803</v>
      </c>
      <c r="B1229" s="17" t="s">
        <v>4804</v>
      </c>
      <c r="C1229" s="211">
        <v>500429</v>
      </c>
      <c r="D1229" s="151" t="s">
        <v>4805</v>
      </c>
      <c r="E1229" s="211">
        <v>152.69999999999999</v>
      </c>
      <c r="F1229" s="151" t="s">
        <v>1228</v>
      </c>
      <c r="G1229" s="151" t="s">
        <v>1229</v>
      </c>
      <c r="H1229" s="211">
        <v>1062</v>
      </c>
      <c r="I1229" s="17">
        <f t="shared" si="4"/>
        <v>69548133.595284879</v>
      </c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</row>
    <row r="1230" spans="1:24">
      <c r="A1230" s="151" t="s">
        <v>4806</v>
      </c>
      <c r="B1230" s="17" t="s">
        <v>4807</v>
      </c>
      <c r="C1230" s="211">
        <v>539872</v>
      </c>
      <c r="D1230" s="151" t="s">
        <v>4808</v>
      </c>
      <c r="E1230" s="211">
        <v>382.9</v>
      </c>
      <c r="F1230" s="151" t="s">
        <v>694</v>
      </c>
      <c r="G1230" s="151" t="s">
        <v>1224</v>
      </c>
      <c r="H1230" s="211">
        <v>1056.7</v>
      </c>
      <c r="I1230" s="17">
        <f t="shared" si="4"/>
        <v>27597283.886132151</v>
      </c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spans="1:24">
      <c r="A1231" s="151" t="s">
        <v>4809</v>
      </c>
      <c r="B1231" s="17" t="s">
        <v>4810</v>
      </c>
      <c r="C1231" s="211">
        <v>522101</v>
      </c>
      <c r="D1231" s="151" t="s">
        <v>4811</v>
      </c>
      <c r="E1231" s="211">
        <v>280.89999999999998</v>
      </c>
      <c r="F1231" s="151" t="s">
        <v>1587</v>
      </c>
      <c r="G1231" s="151" t="s">
        <v>1141</v>
      </c>
      <c r="H1231" s="211">
        <v>1055.4000000000001</v>
      </c>
      <c r="I1231" s="17">
        <f t="shared" si="4"/>
        <v>37572089.711641155</v>
      </c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</row>
    <row r="1232" spans="1:24">
      <c r="A1232" s="151" t="s">
        <v>4812</v>
      </c>
      <c r="B1232" s="17" t="s">
        <v>4813</v>
      </c>
      <c r="C1232" s="211">
        <v>543263</v>
      </c>
      <c r="D1232" s="151" t="s">
        <v>4814</v>
      </c>
      <c r="E1232" s="211">
        <v>100.5</v>
      </c>
      <c r="F1232" s="151" t="s">
        <v>1930</v>
      </c>
      <c r="G1232" s="151" t="s">
        <v>1137</v>
      </c>
      <c r="H1232" s="211">
        <v>1052.2</v>
      </c>
      <c r="I1232" s="17">
        <f t="shared" si="4"/>
        <v>104696517.41293532</v>
      </c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</row>
    <row r="1233" spans="1:24">
      <c r="A1233" s="151" t="s">
        <v>4815</v>
      </c>
      <c r="B1233" s="17" t="s">
        <v>4816</v>
      </c>
      <c r="C1233" s="211">
        <v>531241</v>
      </c>
      <c r="D1233" s="151" t="s">
        <v>4817</v>
      </c>
      <c r="E1233" s="211">
        <v>705.4</v>
      </c>
      <c r="F1233" s="151" t="s">
        <v>3785</v>
      </c>
      <c r="G1233" s="151" t="s">
        <v>1173</v>
      </c>
      <c r="H1233" s="211">
        <v>1049.2</v>
      </c>
      <c r="I1233" s="17">
        <f t="shared" si="4"/>
        <v>14873830.450808052</v>
      </c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spans="1:24">
      <c r="A1234" s="151" t="s">
        <v>4818</v>
      </c>
      <c r="B1234" s="17" t="s">
        <v>4819</v>
      </c>
      <c r="C1234" s="211">
        <v>531349</v>
      </c>
      <c r="D1234" s="151" t="s">
        <v>4820</v>
      </c>
      <c r="E1234" s="211">
        <v>171</v>
      </c>
      <c r="F1234" s="151" t="s">
        <v>1871</v>
      </c>
      <c r="G1234" s="151" t="s">
        <v>1224</v>
      </c>
      <c r="H1234" s="211">
        <v>1047.7</v>
      </c>
      <c r="I1234" s="17">
        <f t="shared" si="4"/>
        <v>61269005.847953215</v>
      </c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</row>
    <row r="1235" spans="1:24">
      <c r="A1235" s="151" t="s">
        <v>4821</v>
      </c>
      <c r="B1235" s="17" t="s">
        <v>4822</v>
      </c>
      <c r="C1235" s="211">
        <v>539921</v>
      </c>
      <c r="D1235" s="151" t="s">
        <v>4823</v>
      </c>
      <c r="E1235" s="211">
        <v>65</v>
      </c>
      <c r="F1235" s="151" t="s">
        <v>3089</v>
      </c>
      <c r="G1235" s="151" t="s">
        <v>1139</v>
      </c>
      <c r="H1235" s="211">
        <v>1046.5</v>
      </c>
      <c r="I1235" s="17">
        <f t="shared" si="4"/>
        <v>161000000</v>
      </c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</row>
    <row r="1236" spans="1:24">
      <c r="A1236" s="151" t="s">
        <v>4824</v>
      </c>
      <c r="B1236" s="17" t="s">
        <v>4825</v>
      </c>
      <c r="C1236" s="211">
        <v>530475</v>
      </c>
      <c r="D1236" s="151" t="s">
        <v>4826</v>
      </c>
      <c r="E1236" s="211">
        <v>610</v>
      </c>
      <c r="F1236" s="151" t="s">
        <v>1646</v>
      </c>
      <c r="G1236" s="151" t="s">
        <v>1211</v>
      </c>
      <c r="H1236" s="211">
        <v>1044.9000000000001</v>
      </c>
      <c r="I1236" s="17">
        <f t="shared" si="4"/>
        <v>17129508.196721312</v>
      </c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spans="1:24">
      <c r="A1237" s="151" t="s">
        <v>4827</v>
      </c>
      <c r="B1237" s="17" t="s">
        <v>4828</v>
      </c>
      <c r="C1237" s="211">
        <v>542684</v>
      </c>
      <c r="D1237" s="151" t="s">
        <v>4829</v>
      </c>
      <c r="E1237" s="211">
        <v>435.7</v>
      </c>
      <c r="F1237" s="151" t="s">
        <v>1546</v>
      </c>
      <c r="G1237" s="151" t="s">
        <v>1141</v>
      </c>
      <c r="H1237" s="211">
        <v>1042.0999999999999</v>
      </c>
      <c r="I1237" s="17">
        <f t="shared" si="4"/>
        <v>23917833.371585954</v>
      </c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</row>
    <row r="1238" spans="1:24">
      <c r="A1238" s="151" t="s">
        <v>4830</v>
      </c>
      <c r="B1238" s="17" t="s">
        <v>4831</v>
      </c>
      <c r="C1238" s="211">
        <v>523708</v>
      </c>
      <c r="D1238" s="151" t="s">
        <v>4832</v>
      </c>
      <c r="E1238" s="211">
        <v>1800</v>
      </c>
      <c r="F1238" s="151" t="s">
        <v>1587</v>
      </c>
      <c r="G1238" s="151" t="s">
        <v>1141</v>
      </c>
      <c r="H1238" s="211">
        <v>1038.3</v>
      </c>
      <c r="I1238" s="17">
        <f t="shared" si="4"/>
        <v>5768333.333333333</v>
      </c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</row>
    <row r="1239" spans="1:24">
      <c r="A1239" s="151" t="s">
        <v>4833</v>
      </c>
      <c r="B1239" s="17" t="s">
        <v>4834</v>
      </c>
      <c r="C1239" s="211">
        <v>512379</v>
      </c>
      <c r="D1239" s="151" t="s">
        <v>4835</v>
      </c>
      <c r="E1239" s="211">
        <v>25.2</v>
      </c>
      <c r="F1239" s="151" t="s">
        <v>2491</v>
      </c>
      <c r="G1239" s="151" t="s">
        <v>1143</v>
      </c>
      <c r="H1239" s="211">
        <v>1036.5</v>
      </c>
      <c r="I1239" s="17">
        <f t="shared" si="4"/>
        <v>411309523.80952382</v>
      </c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spans="1:24">
      <c r="A1240" s="151" t="s">
        <v>4836</v>
      </c>
      <c r="B1240" s="17" t="s">
        <v>4837</v>
      </c>
      <c r="C1240" s="211">
        <v>537259</v>
      </c>
      <c r="D1240" s="151" t="s">
        <v>4838</v>
      </c>
      <c r="E1240" s="211">
        <v>939</v>
      </c>
      <c r="F1240" s="151" t="s">
        <v>1622</v>
      </c>
      <c r="G1240" s="151" t="s">
        <v>1179</v>
      </c>
      <c r="H1240" s="211">
        <v>1035.4000000000001</v>
      </c>
      <c r="I1240" s="17">
        <f t="shared" si="4"/>
        <v>11026624.068157615</v>
      </c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</row>
    <row r="1241" spans="1:24">
      <c r="A1241" s="151" t="s">
        <v>4839</v>
      </c>
      <c r="B1241" s="17" t="s">
        <v>4840</v>
      </c>
      <c r="C1241" s="211">
        <v>502175</v>
      </c>
      <c r="D1241" s="151" t="s">
        <v>4841</v>
      </c>
      <c r="E1241" s="211">
        <v>93.1</v>
      </c>
      <c r="F1241" s="151" t="s">
        <v>1238</v>
      </c>
      <c r="G1241" s="151" t="s">
        <v>1138</v>
      </c>
      <c r="H1241" s="211">
        <v>1031.3</v>
      </c>
      <c r="I1241" s="17">
        <f t="shared" si="4"/>
        <v>110773361.9763695</v>
      </c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</row>
    <row r="1242" spans="1:24">
      <c r="A1242" s="151" t="s">
        <v>4842</v>
      </c>
      <c r="B1242" s="17" t="s">
        <v>4843</v>
      </c>
      <c r="C1242" s="211">
        <v>530879</v>
      </c>
      <c r="D1242" s="151" t="s">
        <v>4844</v>
      </c>
      <c r="E1242" s="211">
        <v>132</v>
      </c>
      <c r="F1242" s="151" t="s">
        <v>1194</v>
      </c>
      <c r="G1242" s="151" t="s">
        <v>1137</v>
      </c>
      <c r="H1242" s="211">
        <v>1026.0999999999999</v>
      </c>
      <c r="I1242" s="17">
        <f t="shared" si="4"/>
        <v>77734848.484848484</v>
      </c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spans="1:24">
      <c r="A1243" s="151" t="s">
        <v>4845</v>
      </c>
      <c r="B1243" s="17" t="s">
        <v>4846</v>
      </c>
      <c r="C1243" s="211">
        <v>500264</v>
      </c>
      <c r="D1243" s="151" t="s">
        <v>4847</v>
      </c>
      <c r="E1243" s="211">
        <v>145</v>
      </c>
      <c r="F1243" s="151" t="s">
        <v>1854</v>
      </c>
      <c r="G1243" s="151" t="s">
        <v>1216</v>
      </c>
      <c r="H1243" s="211">
        <v>1025</v>
      </c>
      <c r="I1243" s="17">
        <f t="shared" si="4"/>
        <v>70689655.172413796</v>
      </c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</row>
    <row r="1244" spans="1:24">
      <c r="A1244" s="151" t="s">
        <v>4848</v>
      </c>
      <c r="B1244" s="17" t="s">
        <v>4849</v>
      </c>
      <c r="C1244" s="211">
        <v>532815</v>
      </c>
      <c r="D1244" s="151" t="s">
        <v>4850</v>
      </c>
      <c r="E1244" s="211">
        <v>121</v>
      </c>
      <c r="F1244" s="151" t="s">
        <v>694</v>
      </c>
      <c r="G1244" s="151" t="s">
        <v>1224</v>
      </c>
      <c r="H1244" s="211">
        <v>1023.9</v>
      </c>
      <c r="I1244" s="17">
        <f t="shared" si="4"/>
        <v>84619834.7107438</v>
      </c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</row>
    <row r="1245" spans="1:24">
      <c r="A1245" s="151" t="s">
        <v>4851</v>
      </c>
      <c r="B1245" s="17" t="s">
        <v>4852</v>
      </c>
      <c r="C1245" s="211">
        <v>532323</v>
      </c>
      <c r="D1245" s="151" t="s">
        <v>4853</v>
      </c>
      <c r="E1245" s="211">
        <v>52.5</v>
      </c>
      <c r="F1245" s="151" t="s">
        <v>1238</v>
      </c>
      <c r="G1245" s="151" t="s">
        <v>1138</v>
      </c>
      <c r="H1245" s="211">
        <v>1023.9</v>
      </c>
      <c r="I1245" s="17">
        <f t="shared" si="4"/>
        <v>195028571.42857143</v>
      </c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spans="1:24">
      <c r="A1246" s="151" t="s">
        <v>4854</v>
      </c>
      <c r="B1246" s="17" t="s">
        <v>4855</v>
      </c>
      <c r="C1246" s="211">
        <v>543747</v>
      </c>
      <c r="D1246" s="151" t="s">
        <v>4856</v>
      </c>
      <c r="E1246" s="211">
        <v>162.80000000000001</v>
      </c>
      <c r="F1246" s="151" t="s">
        <v>1220</v>
      </c>
      <c r="G1246" s="151" t="s">
        <v>1139</v>
      </c>
      <c r="H1246" s="211">
        <v>1023.2</v>
      </c>
      <c r="I1246" s="17">
        <f t="shared" si="4"/>
        <v>62850122.850122847</v>
      </c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</row>
    <row r="1247" spans="1:24">
      <c r="A1247" s="151" t="s">
        <v>4857</v>
      </c>
      <c r="B1247" s="17" t="s">
        <v>4858</v>
      </c>
      <c r="C1247" s="211">
        <v>502168</v>
      </c>
      <c r="D1247" s="151" t="s">
        <v>4859</v>
      </c>
      <c r="E1247" s="211">
        <v>225.2</v>
      </c>
      <c r="F1247" s="151" t="s">
        <v>1238</v>
      </c>
      <c r="G1247" s="151" t="s">
        <v>1138</v>
      </c>
      <c r="H1247" s="211">
        <v>1018.6</v>
      </c>
      <c r="I1247" s="17">
        <f t="shared" si="4"/>
        <v>45230905.861456484</v>
      </c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</row>
    <row r="1248" spans="1:24">
      <c r="A1248" s="151" t="s">
        <v>4860</v>
      </c>
      <c r="B1248" s="17" t="s">
        <v>4861</v>
      </c>
      <c r="C1248" s="211">
        <v>532143</v>
      </c>
      <c r="D1248" s="151" t="s">
        <v>4862</v>
      </c>
      <c r="E1248" s="211">
        <v>386.2</v>
      </c>
      <c r="F1248" s="151" t="s">
        <v>2576</v>
      </c>
      <c r="G1248" s="151" t="s">
        <v>1140</v>
      </c>
      <c r="H1248" s="211">
        <v>1017</v>
      </c>
      <c r="I1248" s="17">
        <f t="shared" si="4"/>
        <v>26333505.955463491</v>
      </c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spans="1:24">
      <c r="A1249" s="151" t="s">
        <v>4863</v>
      </c>
      <c r="B1249" s="17" t="s">
        <v>4864</v>
      </c>
      <c r="C1249" s="211">
        <v>539221</v>
      </c>
      <c r="D1249" s="151" t="s">
        <v>4865</v>
      </c>
      <c r="E1249" s="211">
        <v>800</v>
      </c>
      <c r="F1249" s="151" t="s">
        <v>1854</v>
      </c>
      <c r="G1249" s="151" t="s">
        <v>1216</v>
      </c>
      <c r="H1249" s="211">
        <v>1016.6</v>
      </c>
      <c r="I1249" s="17">
        <f t="shared" si="4"/>
        <v>12707500</v>
      </c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</row>
    <row r="1250" spans="1:24">
      <c r="A1250" s="151" t="s">
        <v>4866</v>
      </c>
      <c r="B1250" s="17" t="s">
        <v>4867</v>
      </c>
      <c r="C1250" s="211">
        <v>511768</v>
      </c>
      <c r="D1250" s="151" t="s">
        <v>4868</v>
      </c>
      <c r="E1250" s="211">
        <v>466.9</v>
      </c>
      <c r="F1250" s="151" t="s">
        <v>1930</v>
      </c>
      <c r="G1250" s="151" t="s">
        <v>1137</v>
      </c>
      <c r="H1250" s="211">
        <v>1015.7</v>
      </c>
      <c r="I1250" s="17">
        <f t="shared" si="4"/>
        <v>21754122.938530736</v>
      </c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</row>
    <row r="1251" spans="1:24">
      <c r="A1251" s="151" t="s">
        <v>4869</v>
      </c>
      <c r="B1251" s="17" t="s">
        <v>4870</v>
      </c>
      <c r="C1251" s="211">
        <v>530363</v>
      </c>
      <c r="D1251" s="151" t="s">
        <v>4871</v>
      </c>
      <c r="E1251" s="211">
        <v>90.1</v>
      </c>
      <c r="F1251" s="151" t="s">
        <v>2449</v>
      </c>
      <c r="G1251" s="151" t="s">
        <v>1140</v>
      </c>
      <c r="H1251" s="211">
        <v>1013.6</v>
      </c>
      <c r="I1251" s="17">
        <f t="shared" si="4"/>
        <v>112497225.30521643</v>
      </c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spans="1:24">
      <c r="A1252" s="151" t="s">
        <v>4872</v>
      </c>
      <c r="B1252" s="17" t="s">
        <v>4873</v>
      </c>
      <c r="C1252" s="211">
        <v>533477</v>
      </c>
      <c r="D1252" s="151" t="s">
        <v>4874</v>
      </c>
      <c r="E1252" s="211">
        <v>562.5</v>
      </c>
      <c r="F1252" s="151" t="s">
        <v>1507</v>
      </c>
      <c r="G1252" s="151" t="s">
        <v>1211</v>
      </c>
      <c r="H1252" s="211">
        <v>1011.1</v>
      </c>
      <c r="I1252" s="17">
        <f t="shared" si="4"/>
        <v>17975111.111111112</v>
      </c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</row>
    <row r="1253" spans="1:24">
      <c r="A1253" s="151" t="s">
        <v>4875</v>
      </c>
      <c r="B1253" s="17" t="s">
        <v>4876</v>
      </c>
      <c r="C1253" s="211">
        <v>512229</v>
      </c>
      <c r="D1253" s="151" t="s">
        <v>4877</v>
      </c>
      <c r="E1253" s="211">
        <v>376.2</v>
      </c>
      <c r="F1253" s="151" t="s">
        <v>1228</v>
      </c>
      <c r="G1253" s="151" t="s">
        <v>1229</v>
      </c>
      <c r="H1253" s="211">
        <v>1008.5</v>
      </c>
      <c r="I1253" s="17">
        <f t="shared" si="4"/>
        <v>26807549.17597023</v>
      </c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</row>
    <row r="1254" spans="1:24">
      <c r="A1254" s="151" t="s">
        <v>4878</v>
      </c>
      <c r="B1254" s="17" t="s">
        <v>4879</v>
      </c>
      <c r="C1254" s="211">
        <v>506687</v>
      </c>
      <c r="D1254" s="151" t="s">
        <v>4880</v>
      </c>
      <c r="E1254" s="211">
        <v>1800.1</v>
      </c>
      <c r="F1254" s="151" t="s">
        <v>1840</v>
      </c>
      <c r="G1254" s="151" t="s">
        <v>1335</v>
      </c>
      <c r="H1254" s="211">
        <v>1005.5</v>
      </c>
      <c r="I1254" s="17">
        <f t="shared" si="4"/>
        <v>5585800.7888450641</v>
      </c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spans="1:24">
      <c r="A1255" s="151" t="s">
        <v>4881</v>
      </c>
      <c r="B1255" s="17" t="s">
        <v>4882</v>
      </c>
      <c r="C1255" s="211">
        <v>532370</v>
      </c>
      <c r="D1255" s="151" t="s">
        <v>4883</v>
      </c>
      <c r="E1255" s="211">
        <v>283.8</v>
      </c>
      <c r="F1255" s="151" t="s">
        <v>1161</v>
      </c>
      <c r="G1255" s="151" t="s">
        <v>1143</v>
      </c>
      <c r="H1255" s="211">
        <v>1003.2</v>
      </c>
      <c r="I1255" s="17">
        <f t="shared" si="4"/>
        <v>35348837.209302321</v>
      </c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</row>
    <row r="1256" spans="1:24">
      <c r="A1256" s="151" t="s">
        <v>4884</v>
      </c>
      <c r="B1256" s="17" t="s">
        <v>4885</v>
      </c>
      <c r="C1256" s="211">
        <v>543644</v>
      </c>
      <c r="D1256" s="151" t="s">
        <v>4886</v>
      </c>
      <c r="E1256" s="211">
        <v>412.6</v>
      </c>
      <c r="F1256" s="151" t="s">
        <v>1161</v>
      </c>
      <c r="G1256" s="151" t="s">
        <v>1143</v>
      </c>
      <c r="H1256" s="211">
        <v>1002.7</v>
      </c>
      <c r="I1256" s="17">
        <f t="shared" si="4"/>
        <v>24301987.396994665</v>
      </c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</row>
    <row r="1257" spans="1:24">
      <c r="A1257" s="151" t="s">
        <v>4887</v>
      </c>
      <c r="B1257" s="17" t="s">
        <v>565</v>
      </c>
      <c r="C1257" s="17"/>
      <c r="D1257" s="151" t="s">
        <v>4888</v>
      </c>
      <c r="E1257" s="211">
        <v>53.1</v>
      </c>
      <c r="F1257" s="151" t="s">
        <v>2307</v>
      </c>
      <c r="G1257" s="151" t="s">
        <v>1143</v>
      </c>
      <c r="H1257" s="211">
        <v>998.6</v>
      </c>
      <c r="I1257" s="17">
        <f t="shared" si="4"/>
        <v>188060263.65348399</v>
      </c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spans="1:24">
      <c r="A1258" s="151" t="s">
        <v>4889</v>
      </c>
      <c r="B1258" s="17" t="s">
        <v>4890</v>
      </c>
      <c r="C1258" s="211">
        <v>543962</v>
      </c>
      <c r="D1258" s="151" t="s">
        <v>4891</v>
      </c>
      <c r="E1258" s="211">
        <v>643.9</v>
      </c>
      <c r="F1258" s="151" t="s">
        <v>1675</v>
      </c>
      <c r="G1258" s="151" t="s">
        <v>1142</v>
      </c>
      <c r="H1258" s="211">
        <v>998.5</v>
      </c>
      <c r="I1258" s="17">
        <f t="shared" si="4"/>
        <v>15507066.314645132</v>
      </c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</row>
    <row r="1259" spans="1:24">
      <c r="A1259" s="151" t="s">
        <v>4892</v>
      </c>
      <c r="B1259" s="17" t="s">
        <v>4893</v>
      </c>
      <c r="C1259" s="211">
        <v>533470</v>
      </c>
      <c r="D1259" s="151" t="s">
        <v>4894</v>
      </c>
      <c r="E1259" s="211">
        <v>375.4</v>
      </c>
      <c r="F1259" s="151" t="s">
        <v>2215</v>
      </c>
      <c r="G1259" s="151" t="s">
        <v>2216</v>
      </c>
      <c r="H1259" s="211">
        <v>996.4</v>
      </c>
      <c r="I1259" s="17">
        <f t="shared" si="4"/>
        <v>26542354.821523711</v>
      </c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</row>
    <row r="1260" spans="1:24">
      <c r="A1260" s="151" t="s">
        <v>4895</v>
      </c>
      <c r="B1260" s="17" t="s">
        <v>4896</v>
      </c>
      <c r="C1260" s="211">
        <v>524370</v>
      </c>
      <c r="D1260" s="151" t="s">
        <v>4897</v>
      </c>
      <c r="E1260" s="211">
        <v>79.2</v>
      </c>
      <c r="F1260" s="151" t="s">
        <v>1334</v>
      </c>
      <c r="G1260" s="151" t="s">
        <v>1335</v>
      </c>
      <c r="H1260" s="211">
        <v>995.6</v>
      </c>
      <c r="I1260" s="17">
        <f t="shared" si="4"/>
        <v>125707070.70707071</v>
      </c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spans="1:24">
      <c r="A1261" s="151" t="s">
        <v>4898</v>
      </c>
      <c r="B1261" s="17" t="s">
        <v>4899</v>
      </c>
      <c r="C1261" s="17"/>
      <c r="D1261" s="151" t="s">
        <v>4900</v>
      </c>
      <c r="E1261" s="211">
        <v>685</v>
      </c>
      <c r="F1261" s="151" t="s">
        <v>1373</v>
      </c>
      <c r="G1261" s="151" t="s">
        <v>1143</v>
      </c>
      <c r="H1261" s="211">
        <v>991.5</v>
      </c>
      <c r="I1261" s="17">
        <f t="shared" si="4"/>
        <v>14474452.554744525</v>
      </c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</row>
    <row r="1262" spans="1:24">
      <c r="A1262" s="151" t="s">
        <v>4901</v>
      </c>
      <c r="B1262" s="17" t="s">
        <v>4902</v>
      </c>
      <c r="C1262" s="211">
        <v>526650</v>
      </c>
      <c r="D1262" s="151" t="s">
        <v>4903</v>
      </c>
      <c r="E1262" s="211">
        <v>109.4</v>
      </c>
      <c r="F1262" s="151" t="s">
        <v>2901</v>
      </c>
      <c r="G1262" s="151" t="s">
        <v>1137</v>
      </c>
      <c r="H1262" s="211">
        <v>988.7</v>
      </c>
      <c r="I1262" s="17">
        <f t="shared" si="4"/>
        <v>90374771.480804384</v>
      </c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</row>
    <row r="1263" spans="1:24">
      <c r="A1263" s="151" t="s">
        <v>4904</v>
      </c>
      <c r="B1263" s="17" t="s">
        <v>4905</v>
      </c>
      <c r="C1263" s="211">
        <v>543233</v>
      </c>
      <c r="D1263" s="151" t="s">
        <v>4906</v>
      </c>
      <c r="E1263" s="211">
        <v>268</v>
      </c>
      <c r="F1263" s="151" t="s">
        <v>1334</v>
      </c>
      <c r="G1263" s="151" t="s">
        <v>1335</v>
      </c>
      <c r="H1263" s="211">
        <v>981.9</v>
      </c>
      <c r="I1263" s="17">
        <f t="shared" si="4"/>
        <v>36638059.701492541</v>
      </c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spans="1:24">
      <c r="A1264" s="151" t="s">
        <v>4907</v>
      </c>
      <c r="B1264" s="17" t="s">
        <v>4908</v>
      </c>
      <c r="C1264" s="211">
        <v>539956</v>
      </c>
      <c r="D1264" s="151" t="s">
        <v>4909</v>
      </c>
      <c r="E1264" s="211">
        <v>3150</v>
      </c>
      <c r="F1264" s="151" t="s">
        <v>1358</v>
      </c>
      <c r="G1264" s="151" t="s">
        <v>1280</v>
      </c>
      <c r="H1264" s="211">
        <v>981.6</v>
      </c>
      <c r="I1264" s="17">
        <f t="shared" si="4"/>
        <v>3116190.4761904762</v>
      </c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</row>
    <row r="1265" spans="1:24">
      <c r="A1265" s="151" t="s">
        <v>4910</v>
      </c>
      <c r="B1265" s="17" t="s">
        <v>4911</v>
      </c>
      <c r="C1265" s="211">
        <v>507155</v>
      </c>
      <c r="D1265" s="151" t="s">
        <v>4912</v>
      </c>
      <c r="E1265" s="211">
        <v>211</v>
      </c>
      <c r="F1265" s="151" t="s">
        <v>1470</v>
      </c>
      <c r="G1265" s="151" t="s">
        <v>1140</v>
      </c>
      <c r="H1265" s="211">
        <v>979.3</v>
      </c>
      <c r="I1265" s="17">
        <f t="shared" si="4"/>
        <v>46412322.274881519</v>
      </c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</row>
    <row r="1266" spans="1:24">
      <c r="A1266" s="151" t="s">
        <v>4913</v>
      </c>
      <c r="B1266" s="17" t="s">
        <v>4914</v>
      </c>
      <c r="C1266" s="211">
        <v>532096</v>
      </c>
      <c r="D1266" s="151" t="s">
        <v>4915</v>
      </c>
      <c r="E1266" s="211">
        <v>166.1</v>
      </c>
      <c r="F1266" s="151" t="s">
        <v>2452</v>
      </c>
      <c r="G1266" s="151" t="s">
        <v>1335</v>
      </c>
      <c r="H1266" s="211">
        <v>977.4</v>
      </c>
      <c r="I1266" s="17">
        <f t="shared" si="4"/>
        <v>58844069.837447323</v>
      </c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spans="1:24">
      <c r="A1267" s="151" t="s">
        <v>4916</v>
      </c>
      <c r="B1267" s="17" t="s">
        <v>4917</v>
      </c>
      <c r="C1267" s="211">
        <v>500350</v>
      </c>
      <c r="D1267" s="151" t="s">
        <v>4918</v>
      </c>
      <c r="E1267" s="211">
        <v>206.6</v>
      </c>
      <c r="F1267" s="151" t="s">
        <v>1854</v>
      </c>
      <c r="G1267" s="151" t="s">
        <v>1216</v>
      </c>
      <c r="H1267" s="211">
        <v>972.9</v>
      </c>
      <c r="I1267" s="17">
        <f t="shared" si="4"/>
        <v>47090997.09583737</v>
      </c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</row>
    <row r="1268" spans="1:24">
      <c r="A1268" s="151" t="s">
        <v>4919</v>
      </c>
      <c r="B1268" s="17" t="s">
        <v>4920</v>
      </c>
      <c r="C1268" s="211">
        <v>533320</v>
      </c>
      <c r="D1268" s="151" t="s">
        <v>4921</v>
      </c>
      <c r="E1268" s="211">
        <v>645.4</v>
      </c>
      <c r="F1268" s="151" t="s">
        <v>1552</v>
      </c>
      <c r="G1268" s="151" t="s">
        <v>1335</v>
      </c>
      <c r="H1268" s="211">
        <v>972.5</v>
      </c>
      <c r="I1268" s="17">
        <f t="shared" si="4"/>
        <v>15068174.775333127</v>
      </c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</row>
    <row r="1269" spans="1:24">
      <c r="A1269" s="151" t="s">
        <v>4922</v>
      </c>
      <c r="B1269" s="17" t="s">
        <v>4923</v>
      </c>
      <c r="C1269" s="211">
        <v>532485</v>
      </c>
      <c r="D1269" s="151" t="s">
        <v>4924</v>
      </c>
      <c r="E1269" s="211">
        <v>437.5</v>
      </c>
      <c r="F1269" s="151" t="s">
        <v>1194</v>
      </c>
      <c r="G1269" s="151" t="s">
        <v>1137</v>
      </c>
      <c r="H1269" s="211">
        <v>971.1</v>
      </c>
      <c r="I1269" s="17">
        <f t="shared" si="4"/>
        <v>22196571.428571429</v>
      </c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spans="1:24">
      <c r="A1270" s="151" t="s">
        <v>4925</v>
      </c>
      <c r="B1270" s="17" t="s">
        <v>82</v>
      </c>
      <c r="C1270" s="211">
        <v>538635</v>
      </c>
      <c r="D1270" s="151" t="s">
        <v>4926</v>
      </c>
      <c r="E1270" s="211">
        <v>58.1</v>
      </c>
      <c r="F1270" s="151" t="s">
        <v>1858</v>
      </c>
      <c r="G1270" s="151" t="s">
        <v>1280</v>
      </c>
      <c r="H1270" s="211">
        <v>970.8</v>
      </c>
      <c r="I1270" s="17">
        <f t="shared" si="4"/>
        <v>167091222.03098106</v>
      </c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</row>
    <row r="1271" spans="1:24">
      <c r="A1271" s="151" t="s">
        <v>4927</v>
      </c>
      <c r="B1271" s="17" t="s">
        <v>4928</v>
      </c>
      <c r="C1271" s="211">
        <v>500439</v>
      </c>
      <c r="D1271" s="151" t="s">
        <v>4929</v>
      </c>
      <c r="E1271" s="211">
        <v>3040</v>
      </c>
      <c r="F1271" s="151" t="s">
        <v>1194</v>
      </c>
      <c r="G1271" s="151" t="s">
        <v>1137</v>
      </c>
      <c r="H1271" s="211">
        <v>970.2</v>
      </c>
      <c r="I1271" s="17">
        <f t="shared" si="4"/>
        <v>3191447.3684210526</v>
      </c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</row>
    <row r="1272" spans="1:24">
      <c r="A1272" s="151" t="s">
        <v>4930</v>
      </c>
      <c r="B1272" s="17" t="s">
        <v>4931</v>
      </c>
      <c r="C1272" s="211">
        <v>539436</v>
      </c>
      <c r="D1272" s="151" t="s">
        <v>4932</v>
      </c>
      <c r="E1272" s="211">
        <v>45.8</v>
      </c>
      <c r="F1272" s="151" t="s">
        <v>1752</v>
      </c>
      <c r="G1272" s="151" t="s">
        <v>1533</v>
      </c>
      <c r="H1272" s="211">
        <v>968.6</v>
      </c>
      <c r="I1272" s="17">
        <f t="shared" si="4"/>
        <v>211484716.15720525</v>
      </c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spans="1:24">
      <c r="A1273" s="151" t="s">
        <v>4933</v>
      </c>
      <c r="B1273" s="17" t="s">
        <v>12</v>
      </c>
      <c r="C1273" s="211">
        <v>532633</v>
      </c>
      <c r="D1273" s="151" t="s">
        <v>4934</v>
      </c>
      <c r="E1273" s="211">
        <v>635.29999999999995</v>
      </c>
      <c r="F1273" s="151" t="s">
        <v>2307</v>
      </c>
      <c r="G1273" s="151" t="s">
        <v>1143</v>
      </c>
      <c r="H1273" s="211">
        <v>968.1</v>
      </c>
      <c r="I1273" s="17">
        <f t="shared" si="4"/>
        <v>15238470.014166536</v>
      </c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</row>
    <row r="1274" spans="1:24">
      <c r="A1274" s="151" t="s">
        <v>4935</v>
      </c>
      <c r="B1274" s="17" t="s">
        <v>4936</v>
      </c>
      <c r="C1274" s="211">
        <v>530067</v>
      </c>
      <c r="D1274" s="151" t="s">
        <v>4937</v>
      </c>
      <c r="E1274" s="211">
        <v>424</v>
      </c>
      <c r="F1274" s="151" t="s">
        <v>1194</v>
      </c>
      <c r="G1274" s="151" t="s">
        <v>1137</v>
      </c>
      <c r="H1274" s="211">
        <v>966</v>
      </c>
      <c r="I1274" s="17">
        <f t="shared" si="4"/>
        <v>22783018.86792453</v>
      </c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</row>
    <row r="1275" spans="1:24">
      <c r="A1275" s="151" t="s">
        <v>4938</v>
      </c>
      <c r="B1275" s="17" t="s">
        <v>4939</v>
      </c>
      <c r="C1275" s="211">
        <v>505358</v>
      </c>
      <c r="D1275" s="151" t="s">
        <v>4940</v>
      </c>
      <c r="E1275" s="211">
        <v>281</v>
      </c>
      <c r="F1275" s="151" t="s">
        <v>1587</v>
      </c>
      <c r="G1275" s="151" t="s">
        <v>1141</v>
      </c>
      <c r="H1275" s="211">
        <v>965.7</v>
      </c>
      <c r="I1275" s="17">
        <f t="shared" si="4"/>
        <v>34366548.042704627</v>
      </c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spans="1:24">
      <c r="A1276" s="151" t="s">
        <v>4941</v>
      </c>
      <c r="B1276" s="17" t="s">
        <v>4942</v>
      </c>
      <c r="C1276" s="211">
        <v>504704</v>
      </c>
      <c r="D1276" s="151" t="s">
        <v>4943</v>
      </c>
      <c r="E1276" s="211">
        <v>1617</v>
      </c>
      <c r="F1276" s="151" t="s">
        <v>1507</v>
      </c>
      <c r="G1276" s="151" t="s">
        <v>1211</v>
      </c>
      <c r="H1276" s="211">
        <v>964.8</v>
      </c>
      <c r="I1276" s="17">
        <f t="shared" si="4"/>
        <v>5966604.8237476805</v>
      </c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</row>
    <row r="1277" spans="1:24">
      <c r="A1277" s="151" t="s">
        <v>4944</v>
      </c>
      <c r="B1277" s="17" t="s">
        <v>4945</v>
      </c>
      <c r="C1277" s="211">
        <v>532923</v>
      </c>
      <c r="D1277" s="151" t="s">
        <v>4946</v>
      </c>
      <c r="E1277" s="211">
        <v>100</v>
      </c>
      <c r="F1277" s="151" t="s">
        <v>1215</v>
      </c>
      <c r="G1277" s="151" t="s">
        <v>1216</v>
      </c>
      <c r="H1277" s="211">
        <v>961.8</v>
      </c>
      <c r="I1277" s="17">
        <f t="shared" ref="I1277:I1531" si="5">H1277*10000000/E1277</f>
        <v>96180000</v>
      </c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</row>
    <row r="1278" spans="1:24">
      <c r="A1278" s="151" t="s">
        <v>4947</v>
      </c>
      <c r="B1278" s="17" t="s">
        <v>4948</v>
      </c>
      <c r="C1278" s="211">
        <v>516030</v>
      </c>
      <c r="D1278" s="151" t="s">
        <v>4949</v>
      </c>
      <c r="E1278" s="211">
        <v>244.8</v>
      </c>
      <c r="F1278" s="151" t="s">
        <v>2222</v>
      </c>
      <c r="G1278" s="151" t="s">
        <v>1229</v>
      </c>
      <c r="H1278" s="211">
        <v>958.6</v>
      </c>
      <c r="I1278" s="17">
        <f t="shared" si="5"/>
        <v>39158496.732026145</v>
      </c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spans="1:24">
      <c r="A1279" s="151" t="s">
        <v>4950</v>
      </c>
      <c r="B1279" s="17" t="s">
        <v>4951</v>
      </c>
      <c r="C1279" s="17"/>
      <c r="D1279" s="151" t="s">
        <v>4952</v>
      </c>
      <c r="E1279" s="211">
        <v>603.20000000000005</v>
      </c>
      <c r="F1279" s="151" t="s">
        <v>1587</v>
      </c>
      <c r="G1279" s="151" t="s">
        <v>1141</v>
      </c>
      <c r="H1279" s="211">
        <v>951.8</v>
      </c>
      <c r="I1279" s="17">
        <f t="shared" si="5"/>
        <v>15779177.71883289</v>
      </c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</row>
    <row r="1280" spans="1:24">
      <c r="A1280" s="151" t="s">
        <v>4953</v>
      </c>
      <c r="B1280" s="17" t="s">
        <v>4954</v>
      </c>
      <c r="C1280" s="211">
        <v>531978</v>
      </c>
      <c r="D1280" s="151" t="s">
        <v>4955</v>
      </c>
      <c r="E1280" s="211">
        <v>1662</v>
      </c>
      <c r="F1280" s="151" t="s">
        <v>1854</v>
      </c>
      <c r="G1280" s="151" t="s">
        <v>1216</v>
      </c>
      <c r="H1280" s="211">
        <v>951.5</v>
      </c>
      <c r="I1280" s="17">
        <f t="shared" si="5"/>
        <v>5725030.08423586</v>
      </c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</row>
    <row r="1281" spans="1:24">
      <c r="A1281" s="151" t="s">
        <v>4956</v>
      </c>
      <c r="B1281" s="17" t="s">
        <v>4957</v>
      </c>
      <c r="C1281" s="211">
        <v>532794</v>
      </c>
      <c r="D1281" s="151" t="s">
        <v>4958</v>
      </c>
      <c r="E1281" s="211">
        <v>15.2</v>
      </c>
      <c r="F1281" s="151" t="s">
        <v>1907</v>
      </c>
      <c r="G1281" s="151" t="s">
        <v>1908</v>
      </c>
      <c r="H1281" s="211">
        <v>950.7</v>
      </c>
      <c r="I1281" s="17">
        <f t="shared" si="5"/>
        <v>625460526.31578946</v>
      </c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spans="1:24">
      <c r="A1282" s="151" t="s">
        <v>4959</v>
      </c>
      <c r="B1282" s="17" t="s">
        <v>4960</v>
      </c>
      <c r="C1282" s="211">
        <v>543732</v>
      </c>
      <c r="D1282" s="151" t="s">
        <v>4961</v>
      </c>
      <c r="E1282" s="211">
        <v>88.9</v>
      </c>
      <c r="F1282" s="151" t="s">
        <v>1831</v>
      </c>
      <c r="G1282" s="151" t="s">
        <v>1137</v>
      </c>
      <c r="H1282" s="211">
        <v>948.6</v>
      </c>
      <c r="I1282" s="17">
        <f t="shared" si="5"/>
        <v>106704161.97975253</v>
      </c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</row>
    <row r="1283" spans="1:24">
      <c r="A1283" s="151" t="s">
        <v>4962</v>
      </c>
      <c r="B1283" s="17" t="s">
        <v>4963</v>
      </c>
      <c r="C1283" s="211">
        <v>532888</v>
      </c>
      <c r="D1283" s="151" t="s">
        <v>4964</v>
      </c>
      <c r="E1283" s="211">
        <v>74.400000000000006</v>
      </c>
      <c r="F1283" s="151" t="s">
        <v>1220</v>
      </c>
      <c r="G1283" s="151" t="s">
        <v>1139</v>
      </c>
      <c r="H1283" s="211">
        <v>942.4</v>
      </c>
      <c r="I1283" s="17">
        <f t="shared" si="5"/>
        <v>126666666.66666666</v>
      </c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</row>
    <row r="1284" spans="1:24">
      <c r="A1284" s="151" t="s">
        <v>4965</v>
      </c>
      <c r="B1284" s="17" t="s">
        <v>4966</v>
      </c>
      <c r="C1284" s="211">
        <v>524394</v>
      </c>
      <c r="D1284" s="151" t="s">
        <v>4967</v>
      </c>
      <c r="E1284" s="211">
        <v>425</v>
      </c>
      <c r="F1284" s="151" t="s">
        <v>1977</v>
      </c>
      <c r="G1284" s="151" t="s">
        <v>1139</v>
      </c>
      <c r="H1284" s="211">
        <v>942</v>
      </c>
      <c r="I1284" s="17">
        <f t="shared" si="5"/>
        <v>22164705.882352941</v>
      </c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spans="1:24">
      <c r="A1285" s="151" t="s">
        <v>4968</v>
      </c>
      <c r="B1285" s="17" t="s">
        <v>4969</v>
      </c>
      <c r="C1285" s="211">
        <v>539561</v>
      </c>
      <c r="D1285" s="151" t="s">
        <v>4970</v>
      </c>
      <c r="E1285" s="211">
        <v>465</v>
      </c>
      <c r="F1285" s="151" t="s">
        <v>1228</v>
      </c>
      <c r="G1285" s="151" t="s">
        <v>1229</v>
      </c>
      <c r="H1285" s="211">
        <v>937.4</v>
      </c>
      <c r="I1285" s="17">
        <f t="shared" si="5"/>
        <v>20159139.784946237</v>
      </c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</row>
    <row r="1286" spans="1:24">
      <c r="A1286" s="151" t="s">
        <v>4971</v>
      </c>
      <c r="B1286" s="17" t="s">
        <v>4972</v>
      </c>
      <c r="C1286" s="211">
        <v>543638</v>
      </c>
      <c r="D1286" s="151" t="s">
        <v>4973</v>
      </c>
      <c r="E1286" s="211">
        <v>90.9</v>
      </c>
      <c r="F1286" s="151" t="s">
        <v>1161</v>
      </c>
      <c r="G1286" s="151" t="s">
        <v>1143</v>
      </c>
      <c r="H1286" s="211">
        <v>934.6</v>
      </c>
      <c r="I1286" s="17">
        <f t="shared" si="5"/>
        <v>102816281.62816282</v>
      </c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</row>
    <row r="1287" spans="1:24">
      <c r="A1287" s="151" t="s">
        <v>4974</v>
      </c>
      <c r="B1287" s="17" t="s">
        <v>4975</v>
      </c>
      <c r="C1287" s="211">
        <v>543433</v>
      </c>
      <c r="D1287" s="151" t="s">
        <v>4976</v>
      </c>
      <c r="E1287" s="211">
        <v>101.4</v>
      </c>
      <c r="F1287" s="151" t="s">
        <v>1577</v>
      </c>
      <c r="G1287" s="151" t="s">
        <v>1141</v>
      </c>
      <c r="H1287" s="211">
        <v>931.2</v>
      </c>
      <c r="I1287" s="17">
        <f t="shared" si="5"/>
        <v>91834319.526627213</v>
      </c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spans="1:24">
      <c r="A1288" s="151" t="s">
        <v>4977</v>
      </c>
      <c r="B1288" s="17" t="s">
        <v>4978</v>
      </c>
      <c r="C1288" s="211">
        <v>540795</v>
      </c>
      <c r="D1288" s="151" t="s">
        <v>4979</v>
      </c>
      <c r="E1288" s="211">
        <v>423</v>
      </c>
      <c r="F1288" s="151" t="s">
        <v>1440</v>
      </c>
      <c r="G1288" s="151" t="s">
        <v>1441</v>
      </c>
      <c r="H1288" s="211">
        <v>931.2</v>
      </c>
      <c r="I1288" s="17">
        <f t="shared" si="5"/>
        <v>22014184.397163119</v>
      </c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</row>
    <row r="1289" spans="1:24">
      <c r="A1289" s="151" t="s">
        <v>4980</v>
      </c>
      <c r="B1289" s="17" t="s">
        <v>1103</v>
      </c>
      <c r="C1289" s="211">
        <v>507552</v>
      </c>
      <c r="D1289" s="151" t="s">
        <v>4981</v>
      </c>
      <c r="E1289" s="211">
        <v>173</v>
      </c>
      <c r="F1289" s="151" t="s">
        <v>2576</v>
      </c>
      <c r="G1289" s="151" t="s">
        <v>1140</v>
      </c>
      <c r="H1289" s="211">
        <v>929</v>
      </c>
      <c r="I1289" s="17">
        <f t="shared" si="5"/>
        <v>53699421.96531792</v>
      </c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</row>
    <row r="1290" spans="1:24">
      <c r="A1290" s="151" t="s">
        <v>4982</v>
      </c>
      <c r="B1290" s="17" t="s">
        <v>4983</v>
      </c>
      <c r="C1290" s="211">
        <v>523160</v>
      </c>
      <c r="D1290" s="151" t="s">
        <v>4984</v>
      </c>
      <c r="E1290" s="211">
        <v>1647.8</v>
      </c>
      <c r="F1290" s="151" t="s">
        <v>1783</v>
      </c>
      <c r="G1290" s="151" t="s">
        <v>1141</v>
      </c>
      <c r="H1290" s="211">
        <v>922.8</v>
      </c>
      <c r="I1290" s="17">
        <f t="shared" si="5"/>
        <v>5600194.1983250398</v>
      </c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spans="1:24">
      <c r="A1291" s="151" t="s">
        <v>4985</v>
      </c>
      <c r="B1291" s="17" t="s">
        <v>4986</v>
      </c>
      <c r="C1291" s="211">
        <v>539042</v>
      </c>
      <c r="D1291" s="151" t="s">
        <v>4987</v>
      </c>
      <c r="E1291" s="211">
        <v>755</v>
      </c>
      <c r="F1291" s="151" t="s">
        <v>1307</v>
      </c>
      <c r="G1291" s="151" t="s">
        <v>1307</v>
      </c>
      <c r="H1291" s="211">
        <v>922.3</v>
      </c>
      <c r="I1291" s="17">
        <f t="shared" si="5"/>
        <v>12215894.039735099</v>
      </c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</row>
    <row r="1292" spans="1:24">
      <c r="A1292" s="151" t="s">
        <v>4988</v>
      </c>
      <c r="B1292" s="17" t="s">
        <v>4989</v>
      </c>
      <c r="C1292" s="211">
        <v>506248</v>
      </c>
      <c r="D1292" s="151" t="s">
        <v>4990</v>
      </c>
      <c r="E1292" s="211">
        <v>167.5</v>
      </c>
      <c r="F1292" s="151" t="s">
        <v>1840</v>
      </c>
      <c r="G1292" s="151" t="s">
        <v>1335</v>
      </c>
      <c r="H1292" s="211">
        <v>921.6</v>
      </c>
      <c r="I1292" s="17">
        <f t="shared" si="5"/>
        <v>55020895.522388063</v>
      </c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</row>
    <row r="1293" spans="1:24">
      <c r="A1293" s="151" t="s">
        <v>4991</v>
      </c>
      <c r="B1293" s="17" t="s">
        <v>4992</v>
      </c>
      <c r="C1293" s="211">
        <v>534425</v>
      </c>
      <c r="D1293" s="151" t="s">
        <v>4993</v>
      </c>
      <c r="E1293" s="211">
        <v>191.6</v>
      </c>
      <c r="F1293" s="151" t="s">
        <v>1752</v>
      </c>
      <c r="G1293" s="151" t="s">
        <v>1533</v>
      </c>
      <c r="H1293" s="211">
        <v>921.3</v>
      </c>
      <c r="I1293" s="17">
        <f t="shared" si="5"/>
        <v>48084551.148225471</v>
      </c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spans="1:24">
      <c r="A1294" s="151" t="s">
        <v>4994</v>
      </c>
      <c r="B1294" s="17" t="s">
        <v>4995</v>
      </c>
      <c r="C1294" s="211">
        <v>500280</v>
      </c>
      <c r="D1294" s="151" t="s">
        <v>4996</v>
      </c>
      <c r="E1294" s="211">
        <v>420.8</v>
      </c>
      <c r="F1294" s="151" t="s">
        <v>1854</v>
      </c>
      <c r="G1294" s="151" t="s">
        <v>1216</v>
      </c>
      <c r="H1294" s="211">
        <v>919.5</v>
      </c>
      <c r="I1294" s="17">
        <f t="shared" si="5"/>
        <v>21851235.741444867</v>
      </c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</row>
    <row r="1295" spans="1:24">
      <c r="A1295" s="151" t="s">
        <v>4997</v>
      </c>
      <c r="B1295" s="17" t="s">
        <v>4998</v>
      </c>
      <c r="C1295" s="211">
        <v>543218</v>
      </c>
      <c r="D1295" s="151" t="s">
        <v>4999</v>
      </c>
      <c r="E1295" s="211">
        <v>528.29999999999995</v>
      </c>
      <c r="F1295" s="151" t="s">
        <v>1307</v>
      </c>
      <c r="G1295" s="151" t="s">
        <v>1307</v>
      </c>
      <c r="H1295" s="211">
        <v>916.2</v>
      </c>
      <c r="I1295" s="17">
        <f t="shared" si="5"/>
        <v>17342419.080068145</v>
      </c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</row>
    <row r="1296" spans="1:24">
      <c r="A1296" s="151" t="s">
        <v>5000</v>
      </c>
      <c r="B1296" s="17" t="s">
        <v>5001</v>
      </c>
      <c r="C1296" s="211">
        <v>532842</v>
      </c>
      <c r="D1296" s="151" t="s">
        <v>5002</v>
      </c>
      <c r="E1296" s="211">
        <v>532</v>
      </c>
      <c r="F1296" s="151" t="s">
        <v>1840</v>
      </c>
      <c r="G1296" s="151" t="s">
        <v>1335</v>
      </c>
      <c r="H1296" s="211">
        <v>913.1</v>
      </c>
      <c r="I1296" s="17">
        <f t="shared" si="5"/>
        <v>17163533.834586468</v>
      </c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spans="1:24">
      <c r="A1297" s="151" t="s">
        <v>5003</v>
      </c>
      <c r="B1297" s="17" t="s">
        <v>5004</v>
      </c>
      <c r="C1297" s="211">
        <v>540497</v>
      </c>
      <c r="D1297" s="151" t="s">
        <v>5005</v>
      </c>
      <c r="E1297" s="211">
        <v>259.2</v>
      </c>
      <c r="F1297" s="151" t="s">
        <v>3195</v>
      </c>
      <c r="G1297" s="151" t="s">
        <v>1229</v>
      </c>
      <c r="H1297" s="211">
        <v>912.8</v>
      </c>
      <c r="I1297" s="17">
        <f t="shared" si="5"/>
        <v>35216049.382716052</v>
      </c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</row>
    <row r="1298" spans="1:24">
      <c r="A1298" s="151" t="s">
        <v>5006</v>
      </c>
      <c r="B1298" s="17" t="s">
        <v>5007</v>
      </c>
      <c r="C1298" s="211">
        <v>509438</v>
      </c>
      <c r="D1298" s="151" t="s">
        <v>5008</v>
      </c>
      <c r="E1298" s="211">
        <v>7007</v>
      </c>
      <c r="F1298" s="151" t="s">
        <v>1532</v>
      </c>
      <c r="G1298" s="151" t="s">
        <v>1533</v>
      </c>
      <c r="H1298" s="211">
        <v>910.9</v>
      </c>
      <c r="I1298" s="17">
        <f t="shared" si="5"/>
        <v>1299985.7285571571</v>
      </c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</row>
    <row r="1299" spans="1:24">
      <c r="A1299" s="151" t="s">
        <v>5009</v>
      </c>
      <c r="B1299" s="17" t="s">
        <v>5010</v>
      </c>
      <c r="C1299" s="211">
        <v>504341</v>
      </c>
      <c r="D1299" s="151" t="s">
        <v>5011</v>
      </c>
      <c r="E1299" s="211">
        <v>59</v>
      </c>
      <c r="F1299" s="151" t="s">
        <v>1242</v>
      </c>
      <c r="G1299" s="151" t="s">
        <v>1144</v>
      </c>
      <c r="H1299" s="211">
        <v>910</v>
      </c>
      <c r="I1299" s="17">
        <f t="shared" si="5"/>
        <v>154237288.13559321</v>
      </c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spans="1:24">
      <c r="A1300" s="151" t="s">
        <v>5012</v>
      </c>
      <c r="B1300" s="17" t="s">
        <v>5013</v>
      </c>
      <c r="C1300" s="211">
        <v>542351</v>
      </c>
      <c r="D1300" s="151" t="s">
        <v>5014</v>
      </c>
      <c r="E1300" s="211">
        <v>831</v>
      </c>
      <c r="F1300" s="151" t="s">
        <v>5015</v>
      </c>
      <c r="G1300" s="151" t="s">
        <v>1216</v>
      </c>
      <c r="H1300" s="211">
        <v>909.4</v>
      </c>
      <c r="I1300" s="17">
        <f t="shared" si="5"/>
        <v>10943441.63658243</v>
      </c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</row>
    <row r="1301" spans="1:24">
      <c r="A1301" s="151" t="s">
        <v>5016</v>
      </c>
      <c r="B1301" s="17" t="s">
        <v>5017</v>
      </c>
      <c r="C1301" s="211">
        <v>532686</v>
      </c>
      <c r="D1301" s="151" t="s">
        <v>5018</v>
      </c>
      <c r="E1301" s="211">
        <v>556.20000000000005</v>
      </c>
      <c r="F1301" s="151" t="s">
        <v>2616</v>
      </c>
      <c r="G1301" s="151" t="s">
        <v>1280</v>
      </c>
      <c r="H1301" s="211">
        <v>904.3</v>
      </c>
      <c r="I1301" s="17">
        <f t="shared" si="5"/>
        <v>16258540.093491549</v>
      </c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</row>
    <row r="1302" spans="1:24">
      <c r="A1302" s="151" t="s">
        <v>5019</v>
      </c>
      <c r="B1302" s="17" t="s">
        <v>5020</v>
      </c>
      <c r="C1302" s="211">
        <v>500226</v>
      </c>
      <c r="D1302" s="151" t="s">
        <v>5021</v>
      </c>
      <c r="E1302" s="211">
        <v>279.5</v>
      </c>
      <c r="F1302" s="151" t="s">
        <v>1194</v>
      </c>
      <c r="G1302" s="151" t="s">
        <v>1137</v>
      </c>
      <c r="H1302" s="211">
        <v>903.5</v>
      </c>
      <c r="I1302" s="17">
        <f t="shared" si="5"/>
        <v>32325581.395348836</v>
      </c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spans="1:24">
      <c r="A1303" s="151" t="s">
        <v>5022</v>
      </c>
      <c r="B1303" s="17" t="s">
        <v>162</v>
      </c>
      <c r="C1303" s="211">
        <v>522073</v>
      </c>
      <c r="D1303" s="151" t="s">
        <v>5023</v>
      </c>
      <c r="E1303" s="211">
        <v>480</v>
      </c>
      <c r="F1303" s="151" t="s">
        <v>1507</v>
      </c>
      <c r="G1303" s="151" t="s">
        <v>1211</v>
      </c>
      <c r="H1303" s="211">
        <v>901</v>
      </c>
      <c r="I1303" s="17">
        <f t="shared" si="5"/>
        <v>18770833.333333332</v>
      </c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</row>
    <row r="1304" spans="1:24">
      <c r="A1304" s="151" t="s">
        <v>5024</v>
      </c>
      <c r="B1304" s="17" t="s">
        <v>5025</v>
      </c>
      <c r="C1304" s="211">
        <v>543971</v>
      </c>
      <c r="D1304" s="151" t="s">
        <v>5026</v>
      </c>
      <c r="E1304" s="211">
        <v>413.9</v>
      </c>
      <c r="F1304" s="151" t="s">
        <v>1190</v>
      </c>
      <c r="G1304" s="151" t="s">
        <v>1138</v>
      </c>
      <c r="H1304" s="211">
        <v>894.1</v>
      </c>
      <c r="I1304" s="17">
        <f t="shared" si="5"/>
        <v>21601836.192316987</v>
      </c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</row>
    <row r="1305" spans="1:24">
      <c r="A1305" s="151" t="s">
        <v>5027</v>
      </c>
      <c r="B1305" s="17" t="s">
        <v>5028</v>
      </c>
      <c r="C1305" s="211">
        <v>543920</v>
      </c>
      <c r="D1305" s="151" t="s">
        <v>5029</v>
      </c>
      <c r="E1305" s="211">
        <v>459</v>
      </c>
      <c r="F1305" s="151" t="s">
        <v>1293</v>
      </c>
      <c r="G1305" s="151" t="s">
        <v>1141</v>
      </c>
      <c r="H1305" s="211">
        <v>893.9</v>
      </c>
      <c r="I1305" s="17">
        <f t="shared" si="5"/>
        <v>19474945.533769064</v>
      </c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spans="1:24">
      <c r="A1306" s="151" t="s">
        <v>5030</v>
      </c>
      <c r="B1306" s="17" t="s">
        <v>241</v>
      </c>
      <c r="C1306" s="211">
        <v>511413</v>
      </c>
      <c r="D1306" s="151" t="s">
        <v>5031</v>
      </c>
      <c r="E1306" s="211">
        <v>313.8</v>
      </c>
      <c r="F1306" s="151" t="s">
        <v>1194</v>
      </c>
      <c r="G1306" s="151" t="s">
        <v>1137</v>
      </c>
      <c r="H1306" s="211">
        <v>892.6</v>
      </c>
      <c r="I1306" s="17">
        <f t="shared" si="5"/>
        <v>28444869.343530912</v>
      </c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</row>
    <row r="1307" spans="1:24">
      <c r="A1307" s="151" t="s">
        <v>5032</v>
      </c>
      <c r="B1307" s="17" t="s">
        <v>5033</v>
      </c>
      <c r="C1307" s="211">
        <v>505036</v>
      </c>
      <c r="D1307" s="151" t="s">
        <v>5034</v>
      </c>
      <c r="E1307" s="211">
        <v>1465</v>
      </c>
      <c r="F1307" s="151" t="s">
        <v>1507</v>
      </c>
      <c r="G1307" s="151" t="s">
        <v>1211</v>
      </c>
      <c r="H1307" s="211">
        <v>892</v>
      </c>
      <c r="I1307" s="17">
        <f t="shared" si="5"/>
        <v>6088737.2013651878</v>
      </c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</row>
    <row r="1308" spans="1:24">
      <c r="A1308" s="151" t="s">
        <v>5035</v>
      </c>
      <c r="B1308" s="17" t="s">
        <v>5036</v>
      </c>
      <c r="C1308" s="211">
        <v>590031</v>
      </c>
      <c r="D1308" s="151" t="s">
        <v>5037</v>
      </c>
      <c r="E1308" s="211">
        <v>1677.5</v>
      </c>
      <c r="F1308" s="151" t="s">
        <v>1675</v>
      </c>
      <c r="G1308" s="151" t="s">
        <v>1142</v>
      </c>
      <c r="H1308" s="211">
        <v>890.5</v>
      </c>
      <c r="I1308" s="17">
        <f t="shared" si="5"/>
        <v>5308494.7839046195</v>
      </c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spans="1:24">
      <c r="A1309" s="151" t="s">
        <v>5038</v>
      </c>
      <c r="B1309" s="17" t="s">
        <v>5039</v>
      </c>
      <c r="C1309" s="211">
        <v>522108</v>
      </c>
      <c r="D1309" s="151" t="s">
        <v>5040</v>
      </c>
      <c r="E1309" s="211">
        <v>682.7</v>
      </c>
      <c r="F1309" s="151" t="s">
        <v>1507</v>
      </c>
      <c r="G1309" s="151" t="s">
        <v>1211</v>
      </c>
      <c r="H1309" s="211">
        <v>887.5</v>
      </c>
      <c r="I1309" s="17">
        <f t="shared" si="5"/>
        <v>12999853.522777207</v>
      </c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</row>
    <row r="1310" spans="1:24">
      <c r="A1310" s="151" t="s">
        <v>5041</v>
      </c>
      <c r="B1310" s="17" t="s">
        <v>5042</v>
      </c>
      <c r="C1310" s="211">
        <v>543687</v>
      </c>
      <c r="D1310" s="151" t="s">
        <v>5043</v>
      </c>
      <c r="E1310" s="211">
        <v>261.60000000000002</v>
      </c>
      <c r="F1310" s="151" t="s">
        <v>1552</v>
      </c>
      <c r="G1310" s="151" t="s">
        <v>1335</v>
      </c>
      <c r="H1310" s="211">
        <v>884.1</v>
      </c>
      <c r="I1310" s="17">
        <f t="shared" si="5"/>
        <v>33795871.559633024</v>
      </c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</row>
    <row r="1311" spans="1:24">
      <c r="A1311" s="151" t="s">
        <v>5044</v>
      </c>
      <c r="B1311" s="17" t="s">
        <v>5045</v>
      </c>
      <c r="C1311" s="211">
        <v>532700</v>
      </c>
      <c r="D1311" s="151" t="s">
        <v>5046</v>
      </c>
      <c r="E1311" s="211">
        <v>185.4</v>
      </c>
      <c r="F1311" s="151" t="s">
        <v>1907</v>
      </c>
      <c r="G1311" s="151" t="s">
        <v>1908</v>
      </c>
      <c r="H1311" s="211">
        <v>884</v>
      </c>
      <c r="I1311" s="17">
        <f t="shared" si="5"/>
        <v>47680690.399136998</v>
      </c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spans="1:24">
      <c r="A1312" s="151" t="s">
        <v>5047</v>
      </c>
      <c r="B1312" s="17" t="s">
        <v>5048</v>
      </c>
      <c r="C1312" s="211">
        <v>543267</v>
      </c>
      <c r="D1312" s="151" t="s">
        <v>5049</v>
      </c>
      <c r="E1312" s="211">
        <v>93.9</v>
      </c>
      <c r="F1312" s="151" t="s">
        <v>2449</v>
      </c>
      <c r="G1312" s="151" t="s">
        <v>1140</v>
      </c>
      <c r="H1312" s="211">
        <v>883.5</v>
      </c>
      <c r="I1312" s="17">
        <f t="shared" si="5"/>
        <v>94089456.869009584</v>
      </c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</row>
    <row r="1313" spans="1:24">
      <c r="A1313" s="151" t="s">
        <v>5050</v>
      </c>
      <c r="B1313" s="17" t="s">
        <v>5051</v>
      </c>
      <c r="C1313" s="211">
        <v>532932</v>
      </c>
      <c r="D1313" s="151" t="s">
        <v>5052</v>
      </c>
      <c r="E1313" s="211">
        <v>134.30000000000001</v>
      </c>
      <c r="F1313" s="151" t="s">
        <v>1675</v>
      </c>
      <c r="G1313" s="151" t="s">
        <v>1142</v>
      </c>
      <c r="H1313" s="211">
        <v>880.1</v>
      </c>
      <c r="I1313" s="17">
        <f t="shared" si="5"/>
        <v>65532390.171258368</v>
      </c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</row>
    <row r="1314" spans="1:24">
      <c r="A1314" s="151" t="s">
        <v>5053</v>
      </c>
      <c r="B1314" s="17" t="s">
        <v>5054</v>
      </c>
      <c r="C1314" s="211">
        <v>535136</v>
      </c>
      <c r="D1314" s="151" t="s">
        <v>5055</v>
      </c>
      <c r="E1314" s="211">
        <v>741.5</v>
      </c>
      <c r="F1314" s="151" t="s">
        <v>1293</v>
      </c>
      <c r="G1314" s="151" t="s">
        <v>1141</v>
      </c>
      <c r="H1314" s="211">
        <v>879.4</v>
      </c>
      <c r="I1314" s="17">
        <f t="shared" si="5"/>
        <v>11859743.762643291</v>
      </c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spans="1:24">
      <c r="A1315" s="151" t="s">
        <v>5056</v>
      </c>
      <c r="B1315" s="17" t="s">
        <v>5057</v>
      </c>
      <c r="C1315" s="211">
        <v>520059</v>
      </c>
      <c r="D1315" s="151" t="s">
        <v>5058</v>
      </c>
      <c r="E1315" s="211">
        <v>87.4</v>
      </c>
      <c r="F1315" s="151" t="s">
        <v>1507</v>
      </c>
      <c r="G1315" s="151" t="s">
        <v>1211</v>
      </c>
      <c r="H1315" s="211">
        <v>873.5</v>
      </c>
      <c r="I1315" s="17">
        <f t="shared" si="5"/>
        <v>99942791.762013718</v>
      </c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</row>
    <row r="1316" spans="1:24">
      <c r="A1316" s="151" t="s">
        <v>5059</v>
      </c>
      <c r="B1316" s="17" t="s">
        <v>5060</v>
      </c>
      <c r="C1316" s="211">
        <v>530355</v>
      </c>
      <c r="D1316" s="151" t="s">
        <v>5061</v>
      </c>
      <c r="E1316" s="211">
        <v>229.2</v>
      </c>
      <c r="F1316" s="151" t="s">
        <v>4239</v>
      </c>
      <c r="G1316" s="151" t="s">
        <v>1158</v>
      </c>
      <c r="H1316" s="211">
        <v>872.7</v>
      </c>
      <c r="I1316" s="17">
        <f t="shared" si="5"/>
        <v>38075916.230366491</v>
      </c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</row>
    <row r="1317" spans="1:24">
      <c r="A1317" s="151" t="s">
        <v>5062</v>
      </c>
      <c r="B1317" s="17" t="s">
        <v>56</v>
      </c>
      <c r="C1317" s="211">
        <v>532699</v>
      </c>
      <c r="D1317" s="151" t="s">
        <v>5063</v>
      </c>
      <c r="E1317" s="211">
        <v>317.89999999999998</v>
      </c>
      <c r="F1317" s="151" t="s">
        <v>1532</v>
      </c>
      <c r="G1317" s="151" t="s">
        <v>1533</v>
      </c>
      <c r="H1317" s="211">
        <v>871.8</v>
      </c>
      <c r="I1317" s="17">
        <f t="shared" si="5"/>
        <v>27423718.15036175</v>
      </c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spans="1:24">
      <c r="A1318" s="151" t="s">
        <v>5064</v>
      </c>
      <c r="B1318" s="17" t="s">
        <v>5065</v>
      </c>
      <c r="C1318" s="211">
        <v>532141</v>
      </c>
      <c r="D1318" s="151" t="s">
        <v>5066</v>
      </c>
      <c r="E1318" s="211">
        <v>94.5</v>
      </c>
      <c r="F1318" s="151" t="s">
        <v>1238</v>
      </c>
      <c r="G1318" s="151" t="s">
        <v>1138</v>
      </c>
      <c r="H1318" s="211">
        <v>871</v>
      </c>
      <c r="I1318" s="17">
        <f t="shared" si="5"/>
        <v>92169312.169312164</v>
      </c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</row>
    <row r="1319" spans="1:24">
      <c r="A1319" s="151" t="s">
        <v>5067</v>
      </c>
      <c r="B1319" s="17" t="s">
        <v>5068</v>
      </c>
      <c r="C1319" s="211">
        <v>543525</v>
      </c>
      <c r="D1319" s="151" t="s">
        <v>5069</v>
      </c>
      <c r="E1319" s="211">
        <v>684</v>
      </c>
      <c r="F1319" s="151" t="s">
        <v>1161</v>
      </c>
      <c r="G1319" s="151" t="s">
        <v>1143</v>
      </c>
      <c r="H1319" s="211">
        <v>867.3</v>
      </c>
      <c r="I1319" s="17">
        <f t="shared" si="5"/>
        <v>12679824.561403509</v>
      </c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</row>
    <row r="1320" spans="1:24">
      <c r="A1320" s="151" t="s">
        <v>5070</v>
      </c>
      <c r="B1320" s="17" t="s">
        <v>5071</v>
      </c>
      <c r="C1320" s="211">
        <v>532650</v>
      </c>
      <c r="D1320" s="151" t="s">
        <v>5072</v>
      </c>
      <c r="E1320" s="211">
        <v>22.5</v>
      </c>
      <c r="F1320" s="151" t="s">
        <v>1272</v>
      </c>
      <c r="G1320" s="151" t="s">
        <v>1142</v>
      </c>
      <c r="H1320" s="211">
        <v>867.2</v>
      </c>
      <c r="I1320" s="17">
        <f t="shared" si="5"/>
        <v>385422222.22222221</v>
      </c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spans="1:24">
      <c r="A1321" s="151" t="s">
        <v>5073</v>
      </c>
      <c r="B1321" s="17" t="s">
        <v>75</v>
      </c>
      <c r="C1321" s="211">
        <v>543329</v>
      </c>
      <c r="D1321" s="151" t="s">
        <v>5074</v>
      </c>
      <c r="E1321" s="211">
        <v>415.7</v>
      </c>
      <c r="F1321" s="151" t="s">
        <v>694</v>
      </c>
      <c r="G1321" s="151" t="s">
        <v>1224</v>
      </c>
      <c r="H1321" s="211">
        <v>864.6</v>
      </c>
      <c r="I1321" s="17">
        <f t="shared" si="5"/>
        <v>20798652.874669231</v>
      </c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</row>
    <row r="1322" spans="1:24">
      <c r="A1322" s="151" t="s">
        <v>5075</v>
      </c>
      <c r="B1322" s="17" t="s">
        <v>5076</v>
      </c>
      <c r="C1322" s="211">
        <v>517498</v>
      </c>
      <c r="D1322" s="151" t="s">
        <v>5077</v>
      </c>
      <c r="E1322" s="211">
        <v>204.6</v>
      </c>
      <c r="F1322" s="151" t="s">
        <v>1440</v>
      </c>
      <c r="G1322" s="151" t="s">
        <v>1441</v>
      </c>
      <c r="H1322" s="211">
        <v>863.8</v>
      </c>
      <c r="I1322" s="17">
        <f t="shared" si="5"/>
        <v>42218963.831867062</v>
      </c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</row>
    <row r="1323" spans="1:24">
      <c r="A1323" s="151" t="s">
        <v>5078</v>
      </c>
      <c r="B1323" s="17" t="s">
        <v>5079</v>
      </c>
      <c r="C1323" s="211">
        <v>543829</v>
      </c>
      <c r="D1323" s="151" t="s">
        <v>5080</v>
      </c>
      <c r="E1323" s="211">
        <v>203.7</v>
      </c>
      <c r="F1323" s="151" t="s">
        <v>1220</v>
      </c>
      <c r="G1323" s="151" t="s">
        <v>1139</v>
      </c>
      <c r="H1323" s="211">
        <v>863.3</v>
      </c>
      <c r="I1323" s="17">
        <f t="shared" si="5"/>
        <v>42380952.380952381</v>
      </c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spans="1:24">
      <c r="A1324" s="151" t="s">
        <v>5081</v>
      </c>
      <c r="B1324" s="17" t="s">
        <v>5082</v>
      </c>
      <c r="C1324" s="211">
        <v>522122</v>
      </c>
      <c r="D1324" s="151" t="s">
        <v>5083</v>
      </c>
      <c r="E1324" s="211">
        <v>1963.2</v>
      </c>
      <c r="F1324" s="151" t="s">
        <v>1854</v>
      </c>
      <c r="G1324" s="151" t="s">
        <v>1216</v>
      </c>
      <c r="H1324" s="211">
        <v>862.4</v>
      </c>
      <c r="I1324" s="17">
        <f t="shared" si="5"/>
        <v>4392828.0358598204</v>
      </c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</row>
    <row r="1325" spans="1:24">
      <c r="A1325" s="151" t="s">
        <v>5084</v>
      </c>
      <c r="B1325" s="17" t="s">
        <v>5085</v>
      </c>
      <c r="C1325" s="211">
        <v>502420</v>
      </c>
      <c r="D1325" s="151" t="s">
        <v>5086</v>
      </c>
      <c r="E1325" s="211">
        <v>40.6</v>
      </c>
      <c r="F1325" s="151" t="s">
        <v>2222</v>
      </c>
      <c r="G1325" s="151" t="s">
        <v>1229</v>
      </c>
      <c r="H1325" s="211">
        <v>861.5</v>
      </c>
      <c r="I1325" s="17">
        <f t="shared" si="5"/>
        <v>212192118.22660097</v>
      </c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</row>
    <row r="1326" spans="1:24">
      <c r="A1326" s="151" t="s">
        <v>5087</v>
      </c>
      <c r="B1326" s="17" t="s">
        <v>5088</v>
      </c>
      <c r="C1326" s="211">
        <v>541228</v>
      </c>
      <c r="D1326" s="151" t="s">
        <v>5089</v>
      </c>
      <c r="E1326" s="211">
        <v>783</v>
      </c>
      <c r="F1326" s="151" t="s">
        <v>1587</v>
      </c>
      <c r="G1326" s="151" t="s">
        <v>1141</v>
      </c>
      <c r="H1326" s="211">
        <v>860.3</v>
      </c>
      <c r="I1326" s="17">
        <f t="shared" si="5"/>
        <v>10987228.607918262</v>
      </c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spans="1:24">
      <c r="A1327" s="151" t="s">
        <v>5090</v>
      </c>
      <c r="B1327" s="17" t="s">
        <v>5091</v>
      </c>
      <c r="C1327" s="211">
        <v>543214</v>
      </c>
      <c r="D1327" s="151" t="s">
        <v>5092</v>
      </c>
      <c r="E1327" s="211">
        <v>718.7</v>
      </c>
      <c r="F1327" s="151" t="s">
        <v>1507</v>
      </c>
      <c r="G1327" s="151" t="s">
        <v>1211</v>
      </c>
      <c r="H1327" s="211">
        <v>854.7</v>
      </c>
      <c r="I1327" s="17">
        <f t="shared" si="5"/>
        <v>11892305.551690552</v>
      </c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</row>
    <row r="1328" spans="1:24">
      <c r="A1328" s="151" t="s">
        <v>5093</v>
      </c>
      <c r="B1328" s="17" t="s">
        <v>5094</v>
      </c>
      <c r="C1328" s="211">
        <v>508807</v>
      </c>
      <c r="D1328" s="151" t="s">
        <v>5095</v>
      </c>
      <c r="E1328" s="211">
        <v>732.7</v>
      </c>
      <c r="F1328" s="151" t="s">
        <v>1507</v>
      </c>
      <c r="G1328" s="151" t="s">
        <v>1211</v>
      </c>
      <c r="H1328" s="211">
        <v>854.6</v>
      </c>
      <c r="I1328" s="17">
        <f t="shared" si="5"/>
        <v>11663709.567353623</v>
      </c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</row>
    <row r="1329" spans="1:24">
      <c r="A1329" s="151" t="s">
        <v>5096</v>
      </c>
      <c r="B1329" s="17" t="s">
        <v>5097</v>
      </c>
      <c r="C1329" s="211">
        <v>541601</v>
      </c>
      <c r="D1329" s="151" t="s">
        <v>5098</v>
      </c>
      <c r="E1329" s="211">
        <v>11.1</v>
      </c>
      <c r="F1329" s="151" t="s">
        <v>694</v>
      </c>
      <c r="G1329" s="151" t="s">
        <v>1224</v>
      </c>
      <c r="H1329" s="211">
        <v>852.2</v>
      </c>
      <c r="I1329" s="17">
        <f t="shared" si="5"/>
        <v>767747747.74774778</v>
      </c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spans="1:24">
      <c r="A1330" s="151" t="s">
        <v>5099</v>
      </c>
      <c r="B1330" s="17" t="s">
        <v>5100</v>
      </c>
      <c r="C1330" s="211">
        <v>534328</v>
      </c>
      <c r="D1330" s="151" t="s">
        <v>5101</v>
      </c>
      <c r="E1330" s="211">
        <v>152.69999999999999</v>
      </c>
      <c r="F1330" s="151" t="s">
        <v>1831</v>
      </c>
      <c r="G1330" s="151" t="s">
        <v>1137</v>
      </c>
      <c r="H1330" s="211">
        <v>843.6</v>
      </c>
      <c r="I1330" s="17">
        <f t="shared" si="5"/>
        <v>55245579.567779966</v>
      </c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</row>
    <row r="1331" spans="1:24">
      <c r="A1331" s="151" t="s">
        <v>5102</v>
      </c>
      <c r="B1331" s="17" t="s">
        <v>5103</v>
      </c>
      <c r="C1331" s="211">
        <v>532365</v>
      </c>
      <c r="D1331" s="151" t="s">
        <v>5104</v>
      </c>
      <c r="E1331" s="211">
        <v>664.4</v>
      </c>
      <c r="F1331" s="151" t="s">
        <v>1161</v>
      </c>
      <c r="G1331" s="151" t="s">
        <v>1143</v>
      </c>
      <c r="H1331" s="211">
        <v>843.3</v>
      </c>
      <c r="I1331" s="17">
        <f t="shared" si="5"/>
        <v>12692655.027092114</v>
      </c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</row>
    <row r="1332" spans="1:24">
      <c r="A1332" s="151" t="s">
        <v>5105</v>
      </c>
      <c r="B1332" s="17" t="s">
        <v>500</v>
      </c>
      <c r="C1332" s="211">
        <v>534369</v>
      </c>
      <c r="D1332" s="151" t="s">
        <v>5106</v>
      </c>
      <c r="E1332" s="211">
        <v>126</v>
      </c>
      <c r="F1332" s="151" t="s">
        <v>1215</v>
      </c>
      <c r="G1332" s="151" t="s">
        <v>1216</v>
      </c>
      <c r="H1332" s="211">
        <v>840.8</v>
      </c>
      <c r="I1332" s="17">
        <f t="shared" si="5"/>
        <v>66730158.730158731</v>
      </c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spans="1:24">
      <c r="A1333" s="151" t="s">
        <v>5107</v>
      </c>
      <c r="B1333" s="17" t="s">
        <v>5108</v>
      </c>
      <c r="C1333" s="211">
        <v>540268</v>
      </c>
      <c r="D1333" s="151" t="s">
        <v>5109</v>
      </c>
      <c r="E1333" s="211">
        <v>71.2</v>
      </c>
      <c r="F1333" s="151" t="s">
        <v>1194</v>
      </c>
      <c r="G1333" s="151" t="s">
        <v>1137</v>
      </c>
      <c r="H1333" s="211">
        <v>832.9</v>
      </c>
      <c r="I1333" s="17">
        <f t="shared" si="5"/>
        <v>116980337.07865168</v>
      </c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</row>
    <row r="1334" spans="1:24">
      <c r="A1334" s="151" t="s">
        <v>5110</v>
      </c>
      <c r="B1334" s="17" t="s">
        <v>5111</v>
      </c>
      <c r="C1334" s="211">
        <v>519602</v>
      </c>
      <c r="D1334" s="151" t="s">
        <v>5112</v>
      </c>
      <c r="E1334" s="211">
        <v>86</v>
      </c>
      <c r="F1334" s="151" t="s">
        <v>1161</v>
      </c>
      <c r="G1334" s="151" t="s">
        <v>1143</v>
      </c>
      <c r="H1334" s="211">
        <v>830.8</v>
      </c>
      <c r="I1334" s="17">
        <f t="shared" si="5"/>
        <v>96604651.162790701</v>
      </c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</row>
    <row r="1335" spans="1:24">
      <c r="A1335" s="151" t="s">
        <v>5113</v>
      </c>
      <c r="B1335" s="17" t="s">
        <v>5114</v>
      </c>
      <c r="C1335" s="211">
        <v>523648</v>
      </c>
      <c r="D1335" s="151" t="s">
        <v>5115</v>
      </c>
      <c r="E1335" s="211">
        <v>319.39999999999998</v>
      </c>
      <c r="F1335" s="151" t="s">
        <v>1334</v>
      </c>
      <c r="G1335" s="151" t="s">
        <v>1335</v>
      </c>
      <c r="H1335" s="211">
        <v>830</v>
      </c>
      <c r="I1335" s="17">
        <f t="shared" si="5"/>
        <v>25986224.170319352</v>
      </c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spans="1:24">
      <c r="A1336" s="151" t="s">
        <v>5116</v>
      </c>
      <c r="B1336" s="17" t="s">
        <v>5117</v>
      </c>
      <c r="C1336" s="211">
        <v>540980</v>
      </c>
      <c r="D1336" s="151" t="s">
        <v>5118</v>
      </c>
      <c r="E1336" s="211">
        <v>26937</v>
      </c>
      <c r="F1336" s="151" t="s">
        <v>1228</v>
      </c>
      <c r="G1336" s="151" t="s">
        <v>1229</v>
      </c>
      <c r="H1336" s="211">
        <v>828</v>
      </c>
      <c r="I1336" s="17">
        <f t="shared" si="5"/>
        <v>307383.89575676579</v>
      </c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</row>
    <row r="1337" spans="1:24">
      <c r="A1337" s="151" t="s">
        <v>5119</v>
      </c>
      <c r="B1337" s="17" t="s">
        <v>5120</v>
      </c>
      <c r="C1337" s="211">
        <v>507410</v>
      </c>
      <c r="D1337" s="151" t="s">
        <v>5121</v>
      </c>
      <c r="E1337" s="211">
        <v>178.9</v>
      </c>
      <c r="F1337" s="151" t="s">
        <v>1587</v>
      </c>
      <c r="G1337" s="151" t="s">
        <v>1141</v>
      </c>
      <c r="H1337" s="211">
        <v>822.3</v>
      </c>
      <c r="I1337" s="17">
        <f t="shared" si="5"/>
        <v>45964225.824482948</v>
      </c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</row>
    <row r="1338" spans="1:24">
      <c r="A1338" s="151" t="s">
        <v>5122</v>
      </c>
      <c r="B1338" s="17" t="s">
        <v>5123</v>
      </c>
      <c r="C1338" s="211">
        <v>507526</v>
      </c>
      <c r="D1338" s="151" t="s">
        <v>5124</v>
      </c>
      <c r="E1338" s="211">
        <v>454.7</v>
      </c>
      <c r="F1338" s="151" t="s">
        <v>1470</v>
      </c>
      <c r="G1338" s="151" t="s">
        <v>1140</v>
      </c>
      <c r="H1338" s="211">
        <v>822.1</v>
      </c>
      <c r="I1338" s="17">
        <f t="shared" si="5"/>
        <v>18080052.782054104</v>
      </c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spans="1:24">
      <c r="A1339" s="151" t="s">
        <v>5125</v>
      </c>
      <c r="B1339" s="17" t="s">
        <v>5126</v>
      </c>
      <c r="C1339" s="211">
        <v>513108</v>
      </c>
      <c r="D1339" s="151" t="s">
        <v>5127</v>
      </c>
      <c r="E1339" s="211">
        <v>675</v>
      </c>
      <c r="F1339" s="151" t="s">
        <v>1675</v>
      </c>
      <c r="G1339" s="151" t="s">
        <v>1142</v>
      </c>
      <c r="H1339" s="211">
        <v>820.3</v>
      </c>
      <c r="I1339" s="17">
        <f t="shared" si="5"/>
        <v>12152592.592592593</v>
      </c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</row>
    <row r="1340" spans="1:24">
      <c r="A1340" s="151" t="s">
        <v>5128</v>
      </c>
      <c r="B1340" s="17" t="s">
        <v>5129</v>
      </c>
      <c r="C1340" s="211">
        <v>539843</v>
      </c>
      <c r="D1340" s="151" t="s">
        <v>5130</v>
      </c>
      <c r="E1340" s="211">
        <v>440.2</v>
      </c>
      <c r="F1340" s="151" t="s">
        <v>1161</v>
      </c>
      <c r="G1340" s="151" t="s">
        <v>1143</v>
      </c>
      <c r="H1340" s="211">
        <v>817.7</v>
      </c>
      <c r="I1340" s="17">
        <f t="shared" si="5"/>
        <v>18575647.432985008</v>
      </c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</row>
    <row r="1341" spans="1:24">
      <c r="A1341" s="151" t="s">
        <v>5131</v>
      </c>
      <c r="B1341" s="17" t="s">
        <v>5132</v>
      </c>
      <c r="C1341" s="17"/>
      <c r="D1341" s="151" t="s">
        <v>5133</v>
      </c>
      <c r="E1341" s="211">
        <v>383</v>
      </c>
      <c r="F1341" s="151" t="s">
        <v>694</v>
      </c>
      <c r="G1341" s="151" t="s">
        <v>1224</v>
      </c>
      <c r="H1341" s="211">
        <v>817.7</v>
      </c>
      <c r="I1341" s="17">
        <f t="shared" si="5"/>
        <v>21349869.45169713</v>
      </c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spans="1:24">
      <c r="A1342" s="151" t="s">
        <v>5134</v>
      </c>
      <c r="B1342" s="17" t="s">
        <v>5135</v>
      </c>
      <c r="C1342" s="211">
        <v>515147</v>
      </c>
      <c r="D1342" s="151" t="s">
        <v>5136</v>
      </c>
      <c r="E1342" s="211">
        <v>152</v>
      </c>
      <c r="F1342" s="151" t="s">
        <v>2950</v>
      </c>
      <c r="G1342" s="151" t="s">
        <v>1229</v>
      </c>
      <c r="H1342" s="211">
        <v>817</v>
      </c>
      <c r="I1342" s="17">
        <f t="shared" si="5"/>
        <v>53750000</v>
      </c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</row>
    <row r="1343" spans="1:24">
      <c r="A1343" s="151" t="s">
        <v>5137</v>
      </c>
      <c r="B1343" s="17" t="s">
        <v>5138</v>
      </c>
      <c r="C1343" s="211">
        <v>533761</v>
      </c>
      <c r="D1343" s="151" t="s">
        <v>5139</v>
      </c>
      <c r="E1343" s="211">
        <v>140</v>
      </c>
      <c r="F1343" s="151" t="s">
        <v>1190</v>
      </c>
      <c r="G1343" s="151" t="s">
        <v>1138</v>
      </c>
      <c r="H1343" s="211">
        <v>814.4</v>
      </c>
      <c r="I1343" s="17">
        <f t="shared" si="5"/>
        <v>58171428.571428575</v>
      </c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spans="1:24">
      <c r="A1344" s="151" t="s">
        <v>5140</v>
      </c>
      <c r="B1344" s="17" t="s">
        <v>5141</v>
      </c>
      <c r="C1344" s="211">
        <v>532503</v>
      </c>
      <c r="D1344" s="151" t="s">
        <v>5142</v>
      </c>
      <c r="E1344" s="211">
        <v>880</v>
      </c>
      <c r="F1344" s="151" t="s">
        <v>1854</v>
      </c>
      <c r="G1344" s="151" t="s">
        <v>1216</v>
      </c>
      <c r="H1344" s="211">
        <v>811.4</v>
      </c>
      <c r="I1344" s="17">
        <f t="shared" si="5"/>
        <v>9220454.5454545449</v>
      </c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spans="1:24">
      <c r="A1345" s="151" t="s">
        <v>5143</v>
      </c>
      <c r="B1345" s="17" t="s">
        <v>5144</v>
      </c>
      <c r="C1345" s="211">
        <v>505725</v>
      </c>
      <c r="D1345" s="151" t="s">
        <v>5145</v>
      </c>
      <c r="E1345" s="211">
        <v>1006</v>
      </c>
      <c r="F1345" s="151" t="s">
        <v>1831</v>
      </c>
      <c r="G1345" s="151" t="s">
        <v>1137</v>
      </c>
      <c r="H1345" s="211">
        <v>808.5</v>
      </c>
      <c r="I1345" s="17">
        <f t="shared" si="5"/>
        <v>8036779.3240556661</v>
      </c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</row>
    <row r="1346" spans="1:24">
      <c r="A1346" s="151" t="s">
        <v>5146</v>
      </c>
      <c r="B1346" s="17" t="s">
        <v>5147</v>
      </c>
      <c r="C1346" s="17"/>
      <c r="D1346" s="151" t="s">
        <v>5148</v>
      </c>
      <c r="E1346" s="211">
        <v>327.3</v>
      </c>
      <c r="F1346" s="151" t="s">
        <v>1190</v>
      </c>
      <c r="G1346" s="151" t="s">
        <v>1138</v>
      </c>
      <c r="H1346" s="211">
        <v>805.5</v>
      </c>
      <c r="I1346" s="17">
        <f t="shared" si="5"/>
        <v>24610449.129239228</v>
      </c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</row>
    <row r="1347" spans="1:24">
      <c r="A1347" s="151" t="s">
        <v>5149</v>
      </c>
      <c r="B1347" s="17" t="s">
        <v>5150</v>
      </c>
      <c r="C1347" s="17"/>
      <c r="D1347" s="151" t="s">
        <v>5151</v>
      </c>
      <c r="E1347" s="211">
        <v>5455</v>
      </c>
      <c r="F1347" s="151" t="s">
        <v>694</v>
      </c>
      <c r="G1347" s="151" t="s">
        <v>1224</v>
      </c>
      <c r="H1347" s="211">
        <v>803.5</v>
      </c>
      <c r="I1347" s="17">
        <f t="shared" si="5"/>
        <v>1472960.5866177818</v>
      </c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spans="1:24">
      <c r="A1348" s="151" t="s">
        <v>5152</v>
      </c>
      <c r="B1348" s="17" t="s">
        <v>5153</v>
      </c>
      <c r="C1348" s="211">
        <v>500777</v>
      </c>
      <c r="D1348" s="151" t="s">
        <v>5154</v>
      </c>
      <c r="E1348" s="211">
        <v>89.3</v>
      </c>
      <c r="F1348" s="151" t="s">
        <v>1840</v>
      </c>
      <c r="G1348" s="151" t="s">
        <v>1335</v>
      </c>
      <c r="H1348" s="211">
        <v>803.4</v>
      </c>
      <c r="I1348" s="17">
        <f t="shared" si="5"/>
        <v>89966405.375139982</v>
      </c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</row>
    <row r="1349" spans="1:24">
      <c r="A1349" s="151" t="s">
        <v>5155</v>
      </c>
      <c r="B1349" s="17" t="s">
        <v>5156</v>
      </c>
      <c r="C1349" s="211">
        <v>533336</v>
      </c>
      <c r="D1349" s="151" t="s">
        <v>5157</v>
      </c>
      <c r="E1349" s="211">
        <v>1312.2</v>
      </c>
      <c r="F1349" s="151" t="s">
        <v>1831</v>
      </c>
      <c r="G1349" s="151" t="s">
        <v>1137</v>
      </c>
      <c r="H1349" s="211">
        <v>800.1</v>
      </c>
      <c r="I1349" s="17">
        <f t="shared" si="5"/>
        <v>6097393.689986282</v>
      </c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</row>
    <row r="1350" spans="1:24">
      <c r="A1350" s="151" t="s">
        <v>5158</v>
      </c>
      <c r="B1350" s="17" t="s">
        <v>5159</v>
      </c>
      <c r="C1350" s="211">
        <v>531146</v>
      </c>
      <c r="D1350" s="151" t="s">
        <v>5160</v>
      </c>
      <c r="E1350" s="211">
        <v>631</v>
      </c>
      <c r="F1350" s="151" t="s">
        <v>694</v>
      </c>
      <c r="G1350" s="151" t="s">
        <v>1224</v>
      </c>
      <c r="H1350" s="211">
        <v>798.3</v>
      </c>
      <c r="I1350" s="17">
        <f t="shared" si="5"/>
        <v>12651347.0681458</v>
      </c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spans="1:24">
      <c r="A1351" s="151" t="s">
        <v>5161</v>
      </c>
      <c r="B1351" s="17" t="s">
        <v>5162</v>
      </c>
      <c r="C1351" s="211">
        <v>524648</v>
      </c>
      <c r="D1351" s="151" t="s">
        <v>5163</v>
      </c>
      <c r="E1351" s="211">
        <v>112.8</v>
      </c>
      <c r="F1351" s="151" t="s">
        <v>1840</v>
      </c>
      <c r="G1351" s="151" t="s">
        <v>1335</v>
      </c>
      <c r="H1351" s="211">
        <v>797.1</v>
      </c>
      <c r="I1351" s="17">
        <f t="shared" si="5"/>
        <v>70664893.617021278</v>
      </c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</row>
    <row r="1352" spans="1:24">
      <c r="A1352" s="151" t="s">
        <v>5164</v>
      </c>
      <c r="B1352" s="17" t="s">
        <v>5165</v>
      </c>
      <c r="C1352" s="211">
        <v>506260</v>
      </c>
      <c r="D1352" s="151" t="s">
        <v>5166</v>
      </c>
      <c r="E1352" s="211">
        <v>158.6</v>
      </c>
      <c r="F1352" s="151" t="s">
        <v>694</v>
      </c>
      <c r="G1352" s="151" t="s">
        <v>1224</v>
      </c>
      <c r="H1352" s="211">
        <v>794.5</v>
      </c>
      <c r="I1352" s="17">
        <f t="shared" si="5"/>
        <v>50094577.553593948</v>
      </c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</row>
    <row r="1353" spans="1:24">
      <c r="A1353" s="151" t="s">
        <v>5167</v>
      </c>
      <c r="B1353" s="17" t="s">
        <v>5168</v>
      </c>
      <c r="C1353" s="211">
        <v>500060</v>
      </c>
      <c r="D1353" s="151" t="s">
        <v>5169</v>
      </c>
      <c r="E1353" s="211">
        <v>263.5</v>
      </c>
      <c r="F1353" s="151" t="s">
        <v>2556</v>
      </c>
      <c r="G1353" s="151" t="s">
        <v>1913</v>
      </c>
      <c r="H1353" s="211">
        <v>790.5</v>
      </c>
      <c r="I1353" s="17">
        <f t="shared" si="5"/>
        <v>30000000</v>
      </c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spans="1:24">
      <c r="A1354" s="151" t="s">
        <v>5170</v>
      </c>
      <c r="B1354" s="17" t="s">
        <v>5171</v>
      </c>
      <c r="C1354" s="211">
        <v>532867</v>
      </c>
      <c r="D1354" s="151" t="s">
        <v>5172</v>
      </c>
      <c r="E1354" s="211">
        <v>228.5</v>
      </c>
      <c r="F1354" s="151" t="s">
        <v>1246</v>
      </c>
      <c r="G1354" s="151" t="s">
        <v>1247</v>
      </c>
      <c r="H1354" s="211">
        <v>790.4</v>
      </c>
      <c r="I1354" s="17">
        <f t="shared" si="5"/>
        <v>34590809.628008753</v>
      </c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</row>
    <row r="1355" spans="1:24">
      <c r="A1355" s="151" t="s">
        <v>5173</v>
      </c>
      <c r="B1355" s="17" t="s">
        <v>5174</v>
      </c>
      <c r="C1355" s="211">
        <v>533208</v>
      </c>
      <c r="D1355" s="151" t="s">
        <v>5175</v>
      </c>
      <c r="E1355" s="211">
        <v>129.9</v>
      </c>
      <c r="F1355" s="151" t="s">
        <v>2222</v>
      </c>
      <c r="G1355" s="151" t="s">
        <v>1229</v>
      </c>
      <c r="H1355" s="211">
        <v>785.9</v>
      </c>
      <c r="I1355" s="17">
        <f t="shared" si="5"/>
        <v>60500384.911470361</v>
      </c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</row>
    <row r="1356" spans="1:24">
      <c r="A1356" s="151" t="s">
        <v>5176</v>
      </c>
      <c r="B1356" s="17" t="s">
        <v>203</v>
      </c>
      <c r="C1356" s="211">
        <v>533193</v>
      </c>
      <c r="D1356" s="151" t="s">
        <v>5177</v>
      </c>
      <c r="E1356" s="211">
        <v>117.6</v>
      </c>
      <c r="F1356" s="151" t="s">
        <v>1440</v>
      </c>
      <c r="G1356" s="151" t="s">
        <v>1441</v>
      </c>
      <c r="H1356" s="211">
        <v>781.4</v>
      </c>
      <c r="I1356" s="17">
        <f t="shared" si="5"/>
        <v>66445578.231292523</v>
      </c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spans="1:24">
      <c r="A1357" s="151" t="s">
        <v>5178</v>
      </c>
      <c r="B1357" s="17" t="s">
        <v>74</v>
      </c>
      <c r="C1357" s="211">
        <v>532741</v>
      </c>
      <c r="D1357" s="151" t="s">
        <v>5179</v>
      </c>
      <c r="E1357" s="211">
        <v>288.8</v>
      </c>
      <c r="F1357" s="151" t="s">
        <v>1272</v>
      </c>
      <c r="G1357" s="151" t="s">
        <v>1142</v>
      </c>
      <c r="H1357" s="211">
        <v>777.9</v>
      </c>
      <c r="I1357" s="17">
        <f t="shared" si="5"/>
        <v>26935595.567867033</v>
      </c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</row>
    <row r="1358" spans="1:24">
      <c r="A1358" s="151" t="s">
        <v>5180</v>
      </c>
      <c r="B1358" s="17" t="s">
        <v>515</v>
      </c>
      <c r="C1358" s="211">
        <v>530075</v>
      </c>
      <c r="D1358" s="151" t="s">
        <v>5181</v>
      </c>
      <c r="E1358" s="211">
        <v>511.5</v>
      </c>
      <c r="F1358" s="151" t="s">
        <v>1251</v>
      </c>
      <c r="G1358" s="151" t="s">
        <v>1158</v>
      </c>
      <c r="H1358" s="211">
        <v>777.5</v>
      </c>
      <c r="I1358" s="17">
        <f t="shared" si="5"/>
        <v>15200391.006842621</v>
      </c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</row>
    <row r="1359" spans="1:24">
      <c r="A1359" s="151" t="s">
        <v>5182</v>
      </c>
      <c r="B1359" s="17" t="s">
        <v>5183</v>
      </c>
      <c r="C1359" s="211">
        <v>506405</v>
      </c>
      <c r="D1359" s="151" t="s">
        <v>5184</v>
      </c>
      <c r="E1359" s="211">
        <v>311.5</v>
      </c>
      <c r="F1359" s="151" t="s">
        <v>1840</v>
      </c>
      <c r="G1359" s="151" t="s">
        <v>1335</v>
      </c>
      <c r="H1359" s="211">
        <v>776.9</v>
      </c>
      <c r="I1359" s="17">
        <f t="shared" si="5"/>
        <v>24940609.951845907</v>
      </c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spans="1:24">
      <c r="A1360" s="151" t="s">
        <v>5185</v>
      </c>
      <c r="B1360" s="17" t="s">
        <v>5186</v>
      </c>
      <c r="C1360" s="211">
        <v>532850</v>
      </c>
      <c r="D1360" s="151" t="s">
        <v>5187</v>
      </c>
      <c r="E1360" s="211">
        <v>35</v>
      </c>
      <c r="F1360" s="151" t="s">
        <v>3114</v>
      </c>
      <c r="G1360" s="151" t="s">
        <v>1229</v>
      </c>
      <c r="H1360" s="211">
        <v>776.2</v>
      </c>
      <c r="I1360" s="17">
        <f t="shared" si="5"/>
        <v>221771428.57142857</v>
      </c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</row>
    <row r="1361" spans="1:24">
      <c r="A1361" s="151" t="s">
        <v>5188</v>
      </c>
      <c r="B1361" s="17" t="s">
        <v>5189</v>
      </c>
      <c r="C1361" s="211">
        <v>543998</v>
      </c>
      <c r="D1361" s="151" t="s">
        <v>5190</v>
      </c>
      <c r="E1361" s="211">
        <v>178</v>
      </c>
      <c r="F1361" s="151" t="s">
        <v>694</v>
      </c>
      <c r="G1361" s="151" t="s">
        <v>1224</v>
      </c>
      <c r="H1361" s="211">
        <v>773.6</v>
      </c>
      <c r="I1361" s="17">
        <f t="shared" si="5"/>
        <v>43460674.157303371</v>
      </c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</row>
    <row r="1362" spans="1:24">
      <c r="A1362" s="151" t="s">
        <v>5191</v>
      </c>
      <c r="B1362" s="17" t="s">
        <v>5192</v>
      </c>
      <c r="C1362" s="211">
        <v>509055</v>
      </c>
      <c r="D1362" s="151" t="s">
        <v>5193</v>
      </c>
      <c r="E1362" s="211">
        <v>89.4</v>
      </c>
      <c r="F1362" s="151" t="s">
        <v>1238</v>
      </c>
      <c r="G1362" s="151" t="s">
        <v>1138</v>
      </c>
      <c r="H1362" s="211">
        <v>772</v>
      </c>
      <c r="I1362" s="17">
        <f t="shared" si="5"/>
        <v>86353467.561521247</v>
      </c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spans="1:24">
      <c r="A1363" s="151" t="s">
        <v>5194</v>
      </c>
      <c r="B1363" s="17" t="s">
        <v>5195</v>
      </c>
      <c r="C1363" s="211">
        <v>524129</v>
      </c>
      <c r="D1363" s="151" t="s">
        <v>5196</v>
      </c>
      <c r="E1363" s="211">
        <v>421</v>
      </c>
      <c r="F1363" s="151" t="s">
        <v>1228</v>
      </c>
      <c r="G1363" s="151" t="s">
        <v>1229</v>
      </c>
      <c r="H1363" s="211">
        <v>771.9</v>
      </c>
      <c r="I1363" s="17">
        <f t="shared" si="5"/>
        <v>18334916.864608075</v>
      </c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</row>
    <row r="1364" spans="1:24">
      <c r="A1364" s="151" t="s">
        <v>5197</v>
      </c>
      <c r="B1364" s="17" t="s">
        <v>5198</v>
      </c>
      <c r="C1364" s="211">
        <v>526725</v>
      </c>
      <c r="D1364" s="151" t="s">
        <v>5199</v>
      </c>
      <c r="E1364" s="211">
        <v>1018</v>
      </c>
      <c r="F1364" s="151" t="s">
        <v>3195</v>
      </c>
      <c r="G1364" s="151" t="s">
        <v>1229</v>
      </c>
      <c r="H1364" s="211">
        <v>770.6</v>
      </c>
      <c r="I1364" s="17">
        <f t="shared" si="5"/>
        <v>7569744.5972495088</v>
      </c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</row>
    <row r="1365" spans="1:24">
      <c r="A1365" s="151" t="s">
        <v>5200</v>
      </c>
      <c r="B1365" s="17" t="s">
        <v>5201</v>
      </c>
      <c r="C1365" s="211">
        <v>539132</v>
      </c>
      <c r="D1365" s="151" t="s">
        <v>5202</v>
      </c>
      <c r="E1365" s="211">
        <v>31</v>
      </c>
      <c r="F1365" s="151" t="s">
        <v>1616</v>
      </c>
      <c r="G1365" s="151" t="s">
        <v>1173</v>
      </c>
      <c r="H1365" s="211">
        <v>770</v>
      </c>
      <c r="I1365" s="17">
        <f t="shared" si="5"/>
        <v>248387096.77419356</v>
      </c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spans="1:24">
      <c r="A1366" s="151" t="s">
        <v>5203</v>
      </c>
      <c r="B1366" s="17" t="s">
        <v>5204</v>
      </c>
      <c r="C1366" s="211">
        <v>530643</v>
      </c>
      <c r="D1366" s="151" t="s">
        <v>5205</v>
      </c>
      <c r="E1366" s="211">
        <v>399</v>
      </c>
      <c r="F1366" s="151" t="s">
        <v>3114</v>
      </c>
      <c r="G1366" s="151" t="s">
        <v>1229</v>
      </c>
      <c r="H1366" s="211">
        <v>769.9</v>
      </c>
      <c r="I1366" s="17">
        <f t="shared" si="5"/>
        <v>19295739.348370928</v>
      </c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</row>
    <row r="1367" spans="1:24">
      <c r="A1367" s="151" t="s">
        <v>5206</v>
      </c>
      <c r="B1367" s="17" t="s">
        <v>5207</v>
      </c>
      <c r="C1367" s="211">
        <v>540737</v>
      </c>
      <c r="D1367" s="151" t="s">
        <v>5208</v>
      </c>
      <c r="E1367" s="211">
        <v>614.79999999999995</v>
      </c>
      <c r="F1367" s="151" t="s">
        <v>694</v>
      </c>
      <c r="G1367" s="151" t="s">
        <v>1224</v>
      </c>
      <c r="H1367" s="211">
        <v>769.2</v>
      </c>
      <c r="I1367" s="17">
        <f t="shared" si="5"/>
        <v>12511385.8165257</v>
      </c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</row>
    <row r="1368" spans="1:24">
      <c r="A1368" s="151" t="s">
        <v>5209</v>
      </c>
      <c r="B1368" s="17" t="s">
        <v>5210</v>
      </c>
      <c r="C1368" s="211">
        <v>526721</v>
      </c>
      <c r="D1368" s="151" t="s">
        <v>5211</v>
      </c>
      <c r="E1368" s="211">
        <v>163.9</v>
      </c>
      <c r="F1368" s="151" t="s">
        <v>3067</v>
      </c>
      <c r="G1368" s="151" t="s">
        <v>1139</v>
      </c>
      <c r="H1368" s="211">
        <v>767.1</v>
      </c>
      <c r="I1368" s="17">
        <f t="shared" si="5"/>
        <v>46802928.615009151</v>
      </c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spans="1:24">
      <c r="A1369" s="151" t="s">
        <v>5212</v>
      </c>
      <c r="B1369" s="17" t="s">
        <v>5213</v>
      </c>
      <c r="C1369" s="211">
        <v>532051</v>
      </c>
      <c r="D1369" s="151" t="s">
        <v>5214</v>
      </c>
      <c r="E1369" s="211">
        <v>504.1</v>
      </c>
      <c r="F1369" s="151" t="s">
        <v>1323</v>
      </c>
      <c r="G1369" s="151" t="s">
        <v>1141</v>
      </c>
      <c r="H1369" s="211">
        <v>764.2</v>
      </c>
      <c r="I1369" s="17">
        <f t="shared" si="5"/>
        <v>15159690.537591746</v>
      </c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</row>
    <row r="1370" spans="1:24">
      <c r="A1370" s="151" t="s">
        <v>5215</v>
      </c>
      <c r="B1370" s="17" t="s">
        <v>471</v>
      </c>
      <c r="C1370" s="211">
        <v>523828</v>
      </c>
      <c r="D1370" s="151" t="s">
        <v>5216</v>
      </c>
      <c r="E1370" s="211">
        <v>136.19999999999999</v>
      </c>
      <c r="F1370" s="151" t="s">
        <v>1507</v>
      </c>
      <c r="G1370" s="151" t="s">
        <v>1211</v>
      </c>
      <c r="H1370" s="211">
        <v>763.3</v>
      </c>
      <c r="I1370" s="17">
        <f t="shared" si="5"/>
        <v>56042584.434654921</v>
      </c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</row>
    <row r="1371" spans="1:24">
      <c r="A1371" s="151" t="s">
        <v>5217</v>
      </c>
      <c r="B1371" s="17" t="s">
        <v>5218</v>
      </c>
      <c r="C1371" s="211">
        <v>534742</v>
      </c>
      <c r="D1371" s="151" t="s">
        <v>5219</v>
      </c>
      <c r="E1371" s="211">
        <v>181.2</v>
      </c>
      <c r="F1371" s="151" t="s">
        <v>1552</v>
      </c>
      <c r="G1371" s="151" t="s">
        <v>1335</v>
      </c>
      <c r="H1371" s="211">
        <v>762.1</v>
      </c>
      <c r="I1371" s="17">
        <f t="shared" si="5"/>
        <v>42058498.896247245</v>
      </c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spans="1:24">
      <c r="A1372" s="151" t="s">
        <v>5220</v>
      </c>
      <c r="B1372" s="17" t="s">
        <v>5221</v>
      </c>
      <c r="C1372" s="211">
        <v>543725</v>
      </c>
      <c r="D1372" s="151" t="s">
        <v>5222</v>
      </c>
      <c r="E1372" s="211">
        <v>153.4</v>
      </c>
      <c r="F1372" s="151" t="s">
        <v>2094</v>
      </c>
      <c r="G1372" s="151" t="s">
        <v>1441</v>
      </c>
      <c r="H1372" s="211">
        <v>761.8</v>
      </c>
      <c r="I1372" s="17">
        <f t="shared" si="5"/>
        <v>49661016.949152544</v>
      </c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</row>
    <row r="1373" spans="1:24">
      <c r="A1373" s="151" t="s">
        <v>5223</v>
      </c>
      <c r="B1373" s="17" t="s">
        <v>5224</v>
      </c>
      <c r="C1373" s="211">
        <v>532628</v>
      </c>
      <c r="D1373" s="151" t="s">
        <v>5225</v>
      </c>
      <c r="E1373" s="211">
        <v>45.1</v>
      </c>
      <c r="F1373" s="151" t="s">
        <v>1161</v>
      </c>
      <c r="G1373" s="151" t="s">
        <v>1143</v>
      </c>
      <c r="H1373" s="211">
        <v>761.1</v>
      </c>
      <c r="I1373" s="17">
        <f t="shared" si="5"/>
        <v>168758314.85587582</v>
      </c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</row>
    <row r="1374" spans="1:24">
      <c r="A1374" s="151" t="s">
        <v>5226</v>
      </c>
      <c r="B1374" s="17" t="s">
        <v>5227</v>
      </c>
      <c r="C1374" s="211">
        <v>532180</v>
      </c>
      <c r="D1374" s="151" t="s">
        <v>5228</v>
      </c>
      <c r="E1374" s="211">
        <v>30</v>
      </c>
      <c r="F1374" s="151" t="s">
        <v>1165</v>
      </c>
      <c r="G1374" s="151" t="s">
        <v>1137</v>
      </c>
      <c r="H1374" s="211">
        <v>760.3</v>
      </c>
      <c r="I1374" s="17">
        <f t="shared" si="5"/>
        <v>253433333.33333334</v>
      </c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spans="1:24">
      <c r="A1375" s="151" t="s">
        <v>5229</v>
      </c>
      <c r="B1375" s="17" t="s">
        <v>5230</v>
      </c>
      <c r="C1375" s="211">
        <v>506579</v>
      </c>
      <c r="D1375" s="151" t="s">
        <v>5231</v>
      </c>
      <c r="E1375" s="211">
        <v>760</v>
      </c>
      <c r="F1375" s="151" t="s">
        <v>1840</v>
      </c>
      <c r="G1375" s="151" t="s">
        <v>1335</v>
      </c>
      <c r="H1375" s="211">
        <v>759.2</v>
      </c>
      <c r="I1375" s="17">
        <f t="shared" si="5"/>
        <v>9989473.6842105258</v>
      </c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</row>
    <row r="1376" spans="1:24">
      <c r="A1376" s="151" t="s">
        <v>5232</v>
      </c>
      <c r="B1376" s="17" t="s">
        <v>5233</v>
      </c>
      <c r="C1376" s="211">
        <v>500136</v>
      </c>
      <c r="D1376" s="151" t="s">
        <v>5234</v>
      </c>
      <c r="E1376" s="211">
        <v>91</v>
      </c>
      <c r="F1376" s="151" t="s">
        <v>2950</v>
      </c>
      <c r="G1376" s="151" t="s">
        <v>1229</v>
      </c>
      <c r="H1376" s="211">
        <v>758.9</v>
      </c>
      <c r="I1376" s="17">
        <f t="shared" si="5"/>
        <v>83395604.395604402</v>
      </c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</row>
    <row r="1377" spans="1:24">
      <c r="A1377" s="151" t="s">
        <v>5235</v>
      </c>
      <c r="B1377" s="17" t="s">
        <v>5236</v>
      </c>
      <c r="C1377" s="211">
        <v>543590</v>
      </c>
      <c r="D1377" s="151" t="s">
        <v>5237</v>
      </c>
      <c r="E1377" s="211">
        <v>9.5</v>
      </c>
      <c r="F1377" s="151" t="s">
        <v>1675</v>
      </c>
      <c r="G1377" s="151" t="s">
        <v>1142</v>
      </c>
      <c r="H1377" s="211">
        <v>757</v>
      </c>
      <c r="I1377" s="17">
        <f t="shared" si="5"/>
        <v>796842105.26315784</v>
      </c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spans="1:24">
      <c r="A1378" s="151" t="s">
        <v>5238</v>
      </c>
      <c r="B1378" s="17" t="s">
        <v>5239</v>
      </c>
      <c r="C1378" s="211">
        <v>538992</v>
      </c>
      <c r="D1378" s="151" t="s">
        <v>5240</v>
      </c>
      <c r="E1378" s="211">
        <v>1585.5</v>
      </c>
      <c r="F1378" s="151" t="s">
        <v>1507</v>
      </c>
      <c r="G1378" s="151" t="s">
        <v>1211</v>
      </c>
      <c r="H1378" s="211">
        <v>755.4</v>
      </c>
      <c r="I1378" s="17">
        <f t="shared" si="5"/>
        <v>4764427.625354778</v>
      </c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</row>
    <row r="1379" spans="1:24">
      <c r="A1379" s="151" t="s">
        <v>5241</v>
      </c>
      <c r="B1379" s="17" t="s">
        <v>171</v>
      </c>
      <c r="C1379" s="211">
        <v>524330</v>
      </c>
      <c r="D1379" s="151" t="s">
        <v>5242</v>
      </c>
      <c r="E1379" s="211">
        <v>251.2</v>
      </c>
      <c r="F1379" s="151" t="s">
        <v>1334</v>
      </c>
      <c r="G1379" s="151" t="s">
        <v>1335</v>
      </c>
      <c r="H1379" s="211">
        <v>753.8</v>
      </c>
      <c r="I1379" s="17">
        <f t="shared" si="5"/>
        <v>30007961.783439491</v>
      </c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</row>
    <row r="1380" spans="1:24">
      <c r="A1380" s="151" t="s">
        <v>5243</v>
      </c>
      <c r="B1380" s="17" t="s">
        <v>5244</v>
      </c>
      <c r="C1380" s="211">
        <v>512531</v>
      </c>
      <c r="D1380" s="151" t="s">
        <v>5245</v>
      </c>
      <c r="E1380" s="211">
        <v>124.7</v>
      </c>
      <c r="F1380" s="151" t="s">
        <v>1228</v>
      </c>
      <c r="G1380" s="151" t="s">
        <v>1229</v>
      </c>
      <c r="H1380" s="211">
        <v>748.2</v>
      </c>
      <c r="I1380" s="17">
        <f t="shared" si="5"/>
        <v>60000000</v>
      </c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spans="1:24">
      <c r="A1381" s="151" t="s">
        <v>5246</v>
      </c>
      <c r="B1381" s="17" t="s">
        <v>5247</v>
      </c>
      <c r="C1381" s="211">
        <v>503169</v>
      </c>
      <c r="D1381" s="151" t="s">
        <v>5248</v>
      </c>
      <c r="E1381" s="211">
        <v>223.4</v>
      </c>
      <c r="F1381" s="151" t="s">
        <v>1854</v>
      </c>
      <c r="G1381" s="151" t="s">
        <v>1216</v>
      </c>
      <c r="H1381" s="211">
        <v>747.2</v>
      </c>
      <c r="I1381" s="17">
        <f t="shared" si="5"/>
        <v>33446732.31871083</v>
      </c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</row>
    <row r="1382" spans="1:24">
      <c r="A1382" s="151" t="s">
        <v>5249</v>
      </c>
      <c r="B1382" s="17" t="s">
        <v>5250</v>
      </c>
      <c r="C1382" s="211">
        <v>526817</v>
      </c>
      <c r="D1382" s="151" t="s">
        <v>5251</v>
      </c>
      <c r="E1382" s="211">
        <v>1235.5999999999999</v>
      </c>
      <c r="F1382" s="151" t="s">
        <v>5015</v>
      </c>
      <c r="G1382" s="151" t="s">
        <v>1216</v>
      </c>
      <c r="H1382" s="211">
        <v>743.4</v>
      </c>
      <c r="I1382" s="17">
        <f t="shared" si="5"/>
        <v>6016510.1974749118</v>
      </c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</row>
    <row r="1383" spans="1:24">
      <c r="A1383" s="151" t="s">
        <v>5252</v>
      </c>
      <c r="B1383" s="17" t="s">
        <v>5253</v>
      </c>
      <c r="C1383" s="211">
        <v>514183</v>
      </c>
      <c r="D1383" s="151" t="s">
        <v>5254</v>
      </c>
      <c r="E1383" s="211">
        <v>145</v>
      </c>
      <c r="F1383" s="151" t="s">
        <v>1228</v>
      </c>
      <c r="G1383" s="151" t="s">
        <v>1229</v>
      </c>
      <c r="H1383" s="211">
        <v>739.8</v>
      </c>
      <c r="I1383" s="17">
        <f t="shared" si="5"/>
        <v>51020689.655172415</v>
      </c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spans="1:24">
      <c r="A1384" s="151" t="s">
        <v>5255</v>
      </c>
      <c r="B1384" s="17" t="s">
        <v>5256</v>
      </c>
      <c r="C1384" s="211">
        <v>531859</v>
      </c>
      <c r="D1384" s="151" t="s">
        <v>5257</v>
      </c>
      <c r="E1384" s="211">
        <v>136</v>
      </c>
      <c r="F1384" s="151" t="s">
        <v>1577</v>
      </c>
      <c r="G1384" s="151" t="s">
        <v>1141</v>
      </c>
      <c r="H1384" s="211">
        <v>733.1</v>
      </c>
      <c r="I1384" s="17">
        <f t="shared" si="5"/>
        <v>53904411.764705881</v>
      </c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</row>
    <row r="1385" spans="1:24">
      <c r="A1385" s="151" t="s">
        <v>5258</v>
      </c>
      <c r="B1385" s="17" t="s">
        <v>5259</v>
      </c>
      <c r="C1385" s="211">
        <v>502137</v>
      </c>
      <c r="D1385" s="151" t="s">
        <v>5260</v>
      </c>
      <c r="E1385" s="211">
        <v>523.4</v>
      </c>
      <c r="F1385" s="151" t="s">
        <v>1238</v>
      </c>
      <c r="G1385" s="151" t="s">
        <v>1138</v>
      </c>
      <c r="H1385" s="211">
        <v>733.1</v>
      </c>
      <c r="I1385" s="17">
        <f t="shared" si="5"/>
        <v>14006495.987772258</v>
      </c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</row>
    <row r="1386" spans="1:24">
      <c r="A1386" s="151" t="s">
        <v>5261</v>
      </c>
      <c r="B1386" s="17" t="s">
        <v>5262</v>
      </c>
      <c r="C1386" s="211">
        <v>542655</v>
      </c>
      <c r="D1386" s="151" t="s">
        <v>5263</v>
      </c>
      <c r="E1386" s="211">
        <v>5.0999999999999996</v>
      </c>
      <c r="F1386" s="151" t="s">
        <v>1228</v>
      </c>
      <c r="G1386" s="151" t="s">
        <v>1229</v>
      </c>
      <c r="H1386" s="211">
        <v>732.8</v>
      </c>
      <c r="I1386" s="17">
        <f t="shared" si="5"/>
        <v>1436862745.0980394</v>
      </c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spans="1:24">
      <c r="A1387" s="151" t="s">
        <v>5264</v>
      </c>
      <c r="B1387" s="17" t="s">
        <v>5265</v>
      </c>
      <c r="C1387" s="211">
        <v>524542</v>
      </c>
      <c r="D1387" s="151" t="s">
        <v>5266</v>
      </c>
      <c r="E1387" s="211">
        <v>468</v>
      </c>
      <c r="F1387" s="151" t="s">
        <v>2563</v>
      </c>
      <c r="G1387" s="151" t="s">
        <v>1140</v>
      </c>
      <c r="H1387" s="211">
        <v>731.1</v>
      </c>
      <c r="I1387" s="17">
        <f t="shared" si="5"/>
        <v>15621794.871794872</v>
      </c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</row>
    <row r="1388" spans="1:24">
      <c r="A1388" s="151" t="s">
        <v>5267</v>
      </c>
      <c r="B1388" s="17" t="s">
        <v>5268</v>
      </c>
      <c r="C1388" s="211">
        <v>543969</v>
      </c>
      <c r="D1388" s="151" t="s">
        <v>5269</v>
      </c>
      <c r="E1388" s="211">
        <v>197.8</v>
      </c>
      <c r="F1388" s="151" t="s">
        <v>1803</v>
      </c>
      <c r="G1388" s="151" t="s">
        <v>1247</v>
      </c>
      <c r="H1388" s="211">
        <v>727.4</v>
      </c>
      <c r="I1388" s="17">
        <f t="shared" si="5"/>
        <v>36774519.716885738</v>
      </c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</row>
    <row r="1389" spans="1:24">
      <c r="A1389" s="151" t="s">
        <v>5270</v>
      </c>
      <c r="B1389" s="17" t="s">
        <v>5271</v>
      </c>
      <c r="C1389" s="211">
        <v>535601</v>
      </c>
      <c r="D1389" s="151" t="s">
        <v>5272</v>
      </c>
      <c r="E1389" s="211">
        <v>313</v>
      </c>
      <c r="F1389" s="151" t="s">
        <v>1748</v>
      </c>
      <c r="G1389" s="151" t="s">
        <v>1247</v>
      </c>
      <c r="H1389" s="211">
        <v>724.6</v>
      </c>
      <c r="I1389" s="17">
        <f t="shared" si="5"/>
        <v>23150159.744408946</v>
      </c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spans="1:24">
      <c r="A1390" s="151" t="s">
        <v>5273</v>
      </c>
      <c r="B1390" s="17" t="s">
        <v>5274</v>
      </c>
      <c r="C1390" s="17"/>
      <c r="D1390" s="151" t="s">
        <v>5275</v>
      </c>
      <c r="E1390" s="211">
        <v>377</v>
      </c>
      <c r="F1390" s="151" t="s">
        <v>1242</v>
      </c>
      <c r="G1390" s="151" t="s">
        <v>1144</v>
      </c>
      <c r="H1390" s="211">
        <v>723.1</v>
      </c>
      <c r="I1390" s="17">
        <f t="shared" si="5"/>
        <v>19180371.352785148</v>
      </c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</row>
    <row r="1391" spans="1:24">
      <c r="A1391" s="151" t="s">
        <v>5276</v>
      </c>
      <c r="B1391" s="17" t="s">
        <v>5277</v>
      </c>
      <c r="C1391" s="211">
        <v>526263</v>
      </c>
      <c r="D1391" s="151" t="s">
        <v>5278</v>
      </c>
      <c r="E1391" s="211">
        <v>254.7</v>
      </c>
      <c r="F1391" s="151" t="s">
        <v>1190</v>
      </c>
      <c r="G1391" s="151" t="s">
        <v>1138</v>
      </c>
      <c r="H1391" s="211">
        <v>723.1</v>
      </c>
      <c r="I1391" s="17">
        <f t="shared" si="5"/>
        <v>28390263.054574009</v>
      </c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</row>
    <row r="1392" spans="1:24">
      <c r="A1392" s="151" t="s">
        <v>5279</v>
      </c>
      <c r="B1392" s="17" t="s">
        <v>5280</v>
      </c>
      <c r="C1392" s="211">
        <v>511605</v>
      </c>
      <c r="D1392" s="151" t="s">
        <v>5281</v>
      </c>
      <c r="E1392" s="211">
        <v>69.400000000000006</v>
      </c>
      <c r="F1392" s="151" t="s">
        <v>1930</v>
      </c>
      <c r="G1392" s="151" t="s">
        <v>1137</v>
      </c>
      <c r="H1392" s="211">
        <v>722.5</v>
      </c>
      <c r="I1392" s="17">
        <f t="shared" si="5"/>
        <v>104106628.24207492</v>
      </c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spans="1:24">
      <c r="A1393" s="151" t="s">
        <v>5282</v>
      </c>
      <c r="B1393" s="17" t="s">
        <v>5283</v>
      </c>
      <c r="C1393" s="211">
        <v>542670</v>
      </c>
      <c r="D1393" s="151" t="s">
        <v>5284</v>
      </c>
      <c r="E1393" s="211">
        <v>28.8</v>
      </c>
      <c r="F1393" s="151" t="s">
        <v>2094</v>
      </c>
      <c r="G1393" s="151" t="s">
        <v>1441</v>
      </c>
      <c r="H1393" s="211">
        <v>721.7</v>
      </c>
      <c r="I1393" s="17">
        <f t="shared" si="5"/>
        <v>250590277.77777776</v>
      </c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</row>
    <row r="1394" spans="1:24">
      <c r="A1394" s="151" t="s">
        <v>5285</v>
      </c>
      <c r="B1394" s="17" t="s">
        <v>5286</v>
      </c>
      <c r="C1394" s="211">
        <v>506532</v>
      </c>
      <c r="D1394" s="151" t="s">
        <v>5287</v>
      </c>
      <c r="E1394" s="211">
        <v>794</v>
      </c>
      <c r="F1394" s="151" t="s">
        <v>1334</v>
      </c>
      <c r="G1394" s="151" t="s">
        <v>1335</v>
      </c>
      <c r="H1394" s="211">
        <v>720.8</v>
      </c>
      <c r="I1394" s="17">
        <f t="shared" si="5"/>
        <v>9078085.6423173808</v>
      </c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</row>
    <row r="1395" spans="1:24">
      <c r="A1395" s="151" t="s">
        <v>5288</v>
      </c>
      <c r="B1395" s="17" t="s">
        <v>5289</v>
      </c>
      <c r="C1395" s="211">
        <v>526586</v>
      </c>
      <c r="D1395" s="151" t="s">
        <v>5290</v>
      </c>
      <c r="E1395" s="211">
        <v>599.9</v>
      </c>
      <c r="F1395" s="151" t="s">
        <v>1546</v>
      </c>
      <c r="G1395" s="151" t="s">
        <v>1141</v>
      </c>
      <c r="H1395" s="211">
        <v>720.1</v>
      </c>
      <c r="I1395" s="17">
        <f t="shared" si="5"/>
        <v>12003667.277879648</v>
      </c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spans="1:24">
      <c r="A1396" s="151" t="s">
        <v>5291</v>
      </c>
      <c r="B1396" s="17" t="s">
        <v>5292</v>
      </c>
      <c r="C1396" s="211">
        <v>505163</v>
      </c>
      <c r="D1396" s="151" t="s">
        <v>5293</v>
      </c>
      <c r="E1396" s="211">
        <v>787</v>
      </c>
      <c r="F1396" s="151" t="s">
        <v>1507</v>
      </c>
      <c r="G1396" s="151" t="s">
        <v>1211</v>
      </c>
      <c r="H1396" s="211">
        <v>714.1</v>
      </c>
      <c r="I1396" s="17">
        <f t="shared" si="5"/>
        <v>9073697.5857687425</v>
      </c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</row>
    <row r="1397" spans="1:24">
      <c r="A1397" s="151" t="s">
        <v>5294</v>
      </c>
      <c r="B1397" s="17" t="s">
        <v>5295</v>
      </c>
      <c r="C1397" s="211">
        <v>530803</v>
      </c>
      <c r="D1397" s="151" t="s">
        <v>5296</v>
      </c>
      <c r="E1397" s="211">
        <v>163.1</v>
      </c>
      <c r="F1397" s="151" t="s">
        <v>1840</v>
      </c>
      <c r="G1397" s="151" t="s">
        <v>1335</v>
      </c>
      <c r="H1397" s="211">
        <v>711.8</v>
      </c>
      <c r="I1397" s="17">
        <f t="shared" si="5"/>
        <v>43641937.46167995</v>
      </c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</row>
    <row r="1398" spans="1:24">
      <c r="A1398" s="151" t="s">
        <v>5297</v>
      </c>
      <c r="B1398" s="17" t="s">
        <v>5298</v>
      </c>
      <c r="C1398" s="211">
        <v>532906</v>
      </c>
      <c r="D1398" s="151" t="s">
        <v>5299</v>
      </c>
      <c r="E1398" s="211">
        <v>131.6</v>
      </c>
      <c r="F1398" s="151" t="s">
        <v>1348</v>
      </c>
      <c r="G1398" s="151" t="s">
        <v>1142</v>
      </c>
      <c r="H1398" s="211">
        <v>711.5</v>
      </c>
      <c r="I1398" s="17">
        <f t="shared" si="5"/>
        <v>54065349.544072948</v>
      </c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spans="1:24">
      <c r="A1399" s="151" t="s">
        <v>5300</v>
      </c>
      <c r="B1399" s="17" t="s">
        <v>5301</v>
      </c>
      <c r="C1399" s="211">
        <v>542725</v>
      </c>
      <c r="D1399" s="151" t="s">
        <v>5302</v>
      </c>
      <c r="E1399" s="211">
        <v>33.6</v>
      </c>
      <c r="F1399" s="151" t="s">
        <v>1710</v>
      </c>
      <c r="G1399" s="151" t="s">
        <v>1216</v>
      </c>
      <c r="H1399" s="211">
        <v>711.1</v>
      </c>
      <c r="I1399" s="17">
        <f t="shared" si="5"/>
        <v>211636904.76190475</v>
      </c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</row>
    <row r="1400" spans="1:24">
      <c r="A1400" s="151" t="s">
        <v>5303</v>
      </c>
      <c r="B1400" s="17" t="s">
        <v>5304</v>
      </c>
      <c r="C1400" s="211">
        <v>538446</v>
      </c>
      <c r="D1400" s="151" t="s">
        <v>5305</v>
      </c>
      <c r="E1400" s="211">
        <v>283.5</v>
      </c>
      <c r="F1400" s="151" t="s">
        <v>1194</v>
      </c>
      <c r="G1400" s="151" t="s">
        <v>1137</v>
      </c>
      <c r="H1400" s="211">
        <v>708.6</v>
      </c>
      <c r="I1400" s="17">
        <f t="shared" si="5"/>
        <v>24994708.994708996</v>
      </c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</row>
    <row r="1401" spans="1:24">
      <c r="A1401" s="151" t="s">
        <v>5306</v>
      </c>
      <c r="B1401" s="17" t="s">
        <v>5307</v>
      </c>
      <c r="C1401" s="211">
        <v>542337</v>
      </c>
      <c r="D1401" s="151" t="s">
        <v>5308</v>
      </c>
      <c r="E1401" s="211">
        <v>78.599999999999994</v>
      </c>
      <c r="F1401" s="151" t="s">
        <v>1246</v>
      </c>
      <c r="G1401" s="151" t="s">
        <v>1247</v>
      </c>
      <c r="H1401" s="211">
        <v>708.4</v>
      </c>
      <c r="I1401" s="17">
        <f t="shared" si="5"/>
        <v>90127226.463104337</v>
      </c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spans="1:24">
      <c r="A1402" s="151" t="s">
        <v>5309</v>
      </c>
      <c r="B1402" s="17" t="s">
        <v>5310</v>
      </c>
      <c r="C1402" s="211">
        <v>532382</v>
      </c>
      <c r="D1402" s="151" t="s">
        <v>5311</v>
      </c>
      <c r="E1402" s="211">
        <v>69.8</v>
      </c>
      <c r="F1402" s="151" t="s">
        <v>1907</v>
      </c>
      <c r="G1402" s="151" t="s">
        <v>1908</v>
      </c>
      <c r="H1402" s="211">
        <v>705.9</v>
      </c>
      <c r="I1402" s="17">
        <f t="shared" si="5"/>
        <v>101131805.15759313</v>
      </c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</row>
    <row r="1403" spans="1:24">
      <c r="A1403" s="151" t="s">
        <v>5312</v>
      </c>
      <c r="B1403" s="17" t="s">
        <v>5313</v>
      </c>
      <c r="C1403" s="211">
        <v>501298</v>
      </c>
      <c r="D1403" s="151" t="s">
        <v>5314</v>
      </c>
      <c r="E1403" s="211">
        <v>4210</v>
      </c>
      <c r="F1403" s="151" t="s">
        <v>2059</v>
      </c>
      <c r="G1403" s="151" t="s">
        <v>2060</v>
      </c>
      <c r="H1403" s="211">
        <v>705.5</v>
      </c>
      <c r="I1403" s="17">
        <f t="shared" si="5"/>
        <v>1675771.971496437</v>
      </c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</row>
    <row r="1404" spans="1:24">
      <c r="A1404" s="151" t="s">
        <v>5315</v>
      </c>
      <c r="B1404" s="17" t="s">
        <v>5316</v>
      </c>
      <c r="C1404" s="211">
        <v>543953</v>
      </c>
      <c r="D1404" s="151" t="s">
        <v>5317</v>
      </c>
      <c r="E1404" s="211">
        <v>283.89999999999998</v>
      </c>
      <c r="F1404" s="151" t="s">
        <v>1215</v>
      </c>
      <c r="G1404" s="151" t="s">
        <v>1216</v>
      </c>
      <c r="H1404" s="211">
        <v>702.6</v>
      </c>
      <c r="I1404" s="17">
        <f t="shared" si="5"/>
        <v>24748150.757308915</v>
      </c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spans="1:24">
      <c r="A1405" s="151" t="s">
        <v>5318</v>
      </c>
      <c r="B1405" s="17" t="s">
        <v>5319</v>
      </c>
      <c r="C1405" s="211">
        <v>539515</v>
      </c>
      <c r="D1405" s="151" t="s">
        <v>5320</v>
      </c>
      <c r="E1405" s="211">
        <v>149.1</v>
      </c>
      <c r="F1405" s="151" t="s">
        <v>3195</v>
      </c>
      <c r="G1405" s="151" t="s">
        <v>1229</v>
      </c>
      <c r="H1405" s="211">
        <v>702</v>
      </c>
      <c r="I1405" s="17">
        <f t="shared" si="5"/>
        <v>47082494.969818912</v>
      </c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</row>
    <row r="1406" spans="1:24">
      <c r="A1406" s="151" t="s">
        <v>5321</v>
      </c>
      <c r="B1406" s="17" t="s">
        <v>200</v>
      </c>
      <c r="C1406" s="211">
        <v>511333</v>
      </c>
      <c r="D1406" s="151" t="s">
        <v>5322</v>
      </c>
      <c r="E1406" s="211">
        <v>201.6</v>
      </c>
      <c r="F1406" s="151" t="s">
        <v>1831</v>
      </c>
      <c r="G1406" s="151" t="s">
        <v>1137</v>
      </c>
      <c r="H1406" s="211">
        <v>701.3</v>
      </c>
      <c r="I1406" s="17">
        <f t="shared" si="5"/>
        <v>34786706.349206351</v>
      </c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</row>
    <row r="1407" spans="1:24">
      <c r="A1407" s="151" t="s">
        <v>5323</v>
      </c>
      <c r="B1407" s="17" t="s">
        <v>5324</v>
      </c>
      <c r="C1407" s="211">
        <v>505729</v>
      </c>
      <c r="D1407" s="151" t="s">
        <v>5325</v>
      </c>
      <c r="E1407" s="211">
        <v>114.5</v>
      </c>
      <c r="F1407" s="151" t="s">
        <v>2094</v>
      </c>
      <c r="G1407" s="151" t="s">
        <v>1441</v>
      </c>
      <c r="H1407" s="211">
        <v>700.7</v>
      </c>
      <c r="I1407" s="17">
        <f t="shared" si="5"/>
        <v>61196506.550218344</v>
      </c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spans="1:24">
      <c r="A1408" s="151" t="s">
        <v>5326</v>
      </c>
      <c r="B1408" s="17" t="s">
        <v>478</v>
      </c>
      <c r="C1408" s="211">
        <v>536773</v>
      </c>
      <c r="D1408" s="151" t="s">
        <v>5327</v>
      </c>
      <c r="E1408" s="211">
        <v>664.8</v>
      </c>
      <c r="F1408" s="151" t="s">
        <v>1831</v>
      </c>
      <c r="G1408" s="151" t="s">
        <v>1137</v>
      </c>
      <c r="H1408" s="211">
        <v>698.8</v>
      </c>
      <c r="I1408" s="17">
        <f t="shared" si="5"/>
        <v>10511432.009626957</v>
      </c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</row>
    <row r="1409" spans="1:24">
      <c r="A1409" s="151" t="s">
        <v>5328</v>
      </c>
      <c r="B1409" s="17" t="s">
        <v>5329</v>
      </c>
      <c r="C1409" s="211">
        <v>538772</v>
      </c>
      <c r="D1409" s="151" t="s">
        <v>5330</v>
      </c>
      <c r="E1409" s="211">
        <v>73.900000000000006</v>
      </c>
      <c r="F1409" s="151" t="s">
        <v>1194</v>
      </c>
      <c r="G1409" s="151" t="s">
        <v>1137</v>
      </c>
      <c r="H1409" s="211">
        <v>698.1</v>
      </c>
      <c r="I1409" s="17">
        <f t="shared" si="5"/>
        <v>94465493.910690114</v>
      </c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</row>
    <row r="1410" spans="1:24">
      <c r="A1410" s="151" t="s">
        <v>5331</v>
      </c>
      <c r="B1410" s="17" t="s">
        <v>5332</v>
      </c>
      <c r="C1410" s="211">
        <v>508954</v>
      </c>
      <c r="D1410" s="151" t="s">
        <v>5333</v>
      </c>
      <c r="E1410" s="211">
        <v>55</v>
      </c>
      <c r="F1410" s="151" t="s">
        <v>1194</v>
      </c>
      <c r="G1410" s="151" t="s">
        <v>1137</v>
      </c>
      <c r="H1410" s="211">
        <v>697.8</v>
      </c>
      <c r="I1410" s="17">
        <f t="shared" si="5"/>
        <v>126872727.27272727</v>
      </c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spans="1:24">
      <c r="A1411" s="151" t="s">
        <v>5334</v>
      </c>
      <c r="B1411" s="17" t="s">
        <v>5335</v>
      </c>
      <c r="C1411" s="211">
        <v>543442</v>
      </c>
      <c r="D1411" s="151" t="s">
        <v>5336</v>
      </c>
      <c r="E1411" s="211">
        <v>657.6</v>
      </c>
      <c r="F1411" s="151" t="s">
        <v>1854</v>
      </c>
      <c r="G1411" s="151" t="s">
        <v>1216</v>
      </c>
      <c r="H1411" s="211">
        <v>697.5</v>
      </c>
      <c r="I1411" s="17">
        <f t="shared" si="5"/>
        <v>10606751.824817518</v>
      </c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</row>
    <row r="1412" spans="1:24">
      <c r="A1412" s="151" t="s">
        <v>5337</v>
      </c>
      <c r="B1412" s="17" t="s">
        <v>5338</v>
      </c>
      <c r="C1412" s="211">
        <v>530871</v>
      </c>
      <c r="D1412" s="151" t="s">
        <v>5339</v>
      </c>
      <c r="E1412" s="211">
        <v>517.4</v>
      </c>
      <c r="F1412" s="151" t="s">
        <v>1334</v>
      </c>
      <c r="G1412" s="151" t="s">
        <v>1335</v>
      </c>
      <c r="H1412" s="211">
        <v>695.9</v>
      </c>
      <c r="I1412" s="17">
        <f t="shared" si="5"/>
        <v>13449942.017781215</v>
      </c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</row>
    <row r="1413" spans="1:24">
      <c r="A1413" s="151" t="s">
        <v>5340</v>
      </c>
      <c r="B1413" s="17" t="s">
        <v>5341</v>
      </c>
      <c r="C1413" s="211">
        <v>523329</v>
      </c>
      <c r="D1413" s="151" t="s">
        <v>5342</v>
      </c>
      <c r="E1413" s="211">
        <v>706.6</v>
      </c>
      <c r="F1413" s="151" t="s">
        <v>1307</v>
      </c>
      <c r="G1413" s="151" t="s">
        <v>1307</v>
      </c>
      <c r="H1413" s="211">
        <v>694.8</v>
      </c>
      <c r="I1413" s="17">
        <f t="shared" si="5"/>
        <v>9833003.1135012731</v>
      </c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spans="1:24">
      <c r="A1414" s="151" t="s">
        <v>5343</v>
      </c>
      <c r="B1414" s="17" t="s">
        <v>5344</v>
      </c>
      <c r="C1414" s="211">
        <v>532624</v>
      </c>
      <c r="D1414" s="151" t="s">
        <v>5345</v>
      </c>
      <c r="E1414" s="211">
        <v>673.6</v>
      </c>
      <c r="F1414" s="151" t="s">
        <v>5346</v>
      </c>
      <c r="G1414" s="151" t="s">
        <v>1141</v>
      </c>
      <c r="H1414" s="211">
        <v>691</v>
      </c>
      <c r="I1414" s="17">
        <f t="shared" si="5"/>
        <v>10258313.539192399</v>
      </c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</row>
    <row r="1415" spans="1:24">
      <c r="A1415" s="151" t="s">
        <v>5347</v>
      </c>
      <c r="B1415" s="17" t="s">
        <v>5348</v>
      </c>
      <c r="C1415" s="211">
        <v>522229</v>
      </c>
      <c r="D1415" s="151" t="s">
        <v>5349</v>
      </c>
      <c r="E1415" s="211">
        <v>276.5</v>
      </c>
      <c r="F1415" s="151" t="s">
        <v>5350</v>
      </c>
      <c r="G1415" s="151" t="s">
        <v>1280</v>
      </c>
      <c r="H1415" s="211">
        <v>689.3</v>
      </c>
      <c r="I1415" s="17">
        <f t="shared" si="5"/>
        <v>24929475.587703437</v>
      </c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</row>
    <row r="1416" spans="1:24">
      <c r="A1416" s="151" t="s">
        <v>5351</v>
      </c>
      <c r="B1416" s="17" t="s">
        <v>5352</v>
      </c>
      <c r="C1416" s="211">
        <v>517214</v>
      </c>
      <c r="D1416" s="151" t="s">
        <v>5353</v>
      </c>
      <c r="E1416" s="211">
        <v>29.8</v>
      </c>
      <c r="F1416" s="151" t="s">
        <v>2491</v>
      </c>
      <c r="G1416" s="151" t="s">
        <v>1143</v>
      </c>
      <c r="H1416" s="211">
        <v>689</v>
      </c>
      <c r="I1416" s="17">
        <f t="shared" si="5"/>
        <v>231208053.69127515</v>
      </c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spans="1:24">
      <c r="A1417" s="151" t="s">
        <v>5354</v>
      </c>
      <c r="B1417" s="17" t="s">
        <v>5355</v>
      </c>
      <c r="C1417" s="211">
        <v>505368</v>
      </c>
      <c r="D1417" s="151" t="s">
        <v>5356</v>
      </c>
      <c r="E1417" s="211">
        <v>2245</v>
      </c>
      <c r="F1417" s="151" t="s">
        <v>1587</v>
      </c>
      <c r="G1417" s="151" t="s">
        <v>1141</v>
      </c>
      <c r="H1417" s="211">
        <v>688.5</v>
      </c>
      <c r="I1417" s="17">
        <f t="shared" si="5"/>
        <v>3066815.1447661468</v>
      </c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</row>
    <row r="1418" spans="1:24">
      <c r="A1418" s="151" t="s">
        <v>5357</v>
      </c>
      <c r="B1418" s="17" t="s">
        <v>63</v>
      </c>
      <c r="C1418" s="211">
        <v>504879</v>
      </c>
      <c r="D1418" s="151" t="s">
        <v>5358</v>
      </c>
      <c r="E1418" s="211">
        <v>57.4</v>
      </c>
      <c r="F1418" s="151" t="s">
        <v>1577</v>
      </c>
      <c r="G1418" s="151" t="s">
        <v>1141</v>
      </c>
      <c r="H1418" s="211">
        <v>686.1</v>
      </c>
      <c r="I1418" s="17">
        <f t="shared" si="5"/>
        <v>119529616.72473867</v>
      </c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</row>
    <row r="1419" spans="1:24">
      <c r="A1419" s="151" t="s">
        <v>5359</v>
      </c>
      <c r="B1419" s="17" t="s">
        <v>5360</v>
      </c>
      <c r="C1419" s="211">
        <v>516064</v>
      </c>
      <c r="D1419" s="151" t="s">
        <v>5361</v>
      </c>
      <c r="E1419" s="211">
        <v>453.3</v>
      </c>
      <c r="F1419" s="151" t="s">
        <v>1546</v>
      </c>
      <c r="G1419" s="151" t="s">
        <v>1141</v>
      </c>
      <c r="H1419" s="211">
        <v>683.9</v>
      </c>
      <c r="I1419" s="17">
        <f t="shared" si="5"/>
        <v>15087138.760202955</v>
      </c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spans="1:24">
      <c r="A1420" s="151" t="s">
        <v>5362</v>
      </c>
      <c r="B1420" s="17" t="s">
        <v>5363</v>
      </c>
      <c r="C1420" s="17"/>
      <c r="D1420" s="151" t="s">
        <v>5364</v>
      </c>
      <c r="E1420" s="211">
        <v>782</v>
      </c>
      <c r="F1420" s="151" t="s">
        <v>1410</v>
      </c>
      <c r="G1420" s="151" t="s">
        <v>1144</v>
      </c>
      <c r="H1420" s="211">
        <v>683</v>
      </c>
      <c r="I1420" s="17">
        <f t="shared" si="5"/>
        <v>8734015.3452685419</v>
      </c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</row>
    <row r="1421" spans="1:24">
      <c r="A1421" s="151" t="s">
        <v>5365</v>
      </c>
      <c r="B1421" s="17" t="s">
        <v>5366</v>
      </c>
      <c r="C1421" s="211">
        <v>526506</v>
      </c>
      <c r="D1421" s="151" t="s">
        <v>5367</v>
      </c>
      <c r="E1421" s="211">
        <v>525.1</v>
      </c>
      <c r="F1421" s="151" t="s">
        <v>1930</v>
      </c>
      <c r="G1421" s="151" t="s">
        <v>1137</v>
      </c>
      <c r="H1421" s="211">
        <v>681.6</v>
      </c>
      <c r="I1421" s="17">
        <f t="shared" si="5"/>
        <v>12980384.688630737</v>
      </c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</row>
    <row r="1422" spans="1:24">
      <c r="A1422" s="151" t="s">
        <v>5368</v>
      </c>
      <c r="B1422" s="17" t="s">
        <v>5369</v>
      </c>
      <c r="C1422" s="211">
        <v>520119</v>
      </c>
      <c r="D1422" s="151" t="s">
        <v>5370</v>
      </c>
      <c r="E1422" s="211">
        <v>429.3</v>
      </c>
      <c r="F1422" s="151" t="s">
        <v>1507</v>
      </c>
      <c r="G1422" s="151" t="s">
        <v>1211</v>
      </c>
      <c r="H1422" s="211">
        <v>681.1</v>
      </c>
      <c r="I1422" s="17">
        <f t="shared" si="5"/>
        <v>15865362.217563475</v>
      </c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spans="1:24">
      <c r="A1423" s="151" t="s">
        <v>5371</v>
      </c>
      <c r="B1423" s="17" t="s">
        <v>5372</v>
      </c>
      <c r="C1423" s="211">
        <v>540775</v>
      </c>
      <c r="D1423" s="151" t="s">
        <v>5373</v>
      </c>
      <c r="E1423" s="211">
        <v>378.5</v>
      </c>
      <c r="F1423" s="151" t="s">
        <v>1748</v>
      </c>
      <c r="G1423" s="151" t="s">
        <v>1247</v>
      </c>
      <c r="H1423" s="211">
        <v>680.1</v>
      </c>
      <c r="I1423" s="17">
        <f t="shared" si="5"/>
        <v>17968295.904887713</v>
      </c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</row>
    <row r="1424" spans="1:24">
      <c r="A1424" s="151" t="s">
        <v>5374</v>
      </c>
      <c r="B1424" s="17" t="s">
        <v>5375</v>
      </c>
      <c r="C1424" s="211">
        <v>509635</v>
      </c>
      <c r="D1424" s="151" t="s">
        <v>5376</v>
      </c>
      <c r="E1424" s="211">
        <v>460.4</v>
      </c>
      <c r="F1424" s="151" t="s">
        <v>1507</v>
      </c>
      <c r="G1424" s="151" t="s">
        <v>1211</v>
      </c>
      <c r="H1424" s="211">
        <v>680</v>
      </c>
      <c r="I1424" s="17">
        <f t="shared" si="5"/>
        <v>14769765.421372721</v>
      </c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</row>
    <row r="1425" spans="1:24">
      <c r="A1425" s="151" t="s">
        <v>5377</v>
      </c>
      <c r="B1425" s="17" t="s">
        <v>5378</v>
      </c>
      <c r="C1425" s="17"/>
      <c r="D1425" s="151" t="s">
        <v>5379</v>
      </c>
      <c r="E1425" s="211">
        <v>291.39999999999998</v>
      </c>
      <c r="F1425" s="151" t="s">
        <v>2828</v>
      </c>
      <c r="G1425" s="151" t="s">
        <v>1908</v>
      </c>
      <c r="H1425" s="211">
        <v>677.1</v>
      </c>
      <c r="I1425" s="17">
        <f t="shared" si="5"/>
        <v>23236101.578586139</v>
      </c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spans="1:24">
      <c r="A1426" s="151" t="s">
        <v>5380</v>
      </c>
      <c r="B1426" s="17" t="s">
        <v>5381</v>
      </c>
      <c r="C1426" s="211">
        <v>526987</v>
      </c>
      <c r="D1426" s="151" t="s">
        <v>5382</v>
      </c>
      <c r="E1426" s="211">
        <v>12.2</v>
      </c>
      <c r="F1426" s="151" t="s">
        <v>1323</v>
      </c>
      <c r="G1426" s="151" t="s">
        <v>1141</v>
      </c>
      <c r="H1426" s="211">
        <v>677</v>
      </c>
      <c r="I1426" s="17">
        <f t="shared" si="5"/>
        <v>554918032.78688526</v>
      </c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</row>
    <row r="1427" spans="1:24">
      <c r="A1427" s="151" t="s">
        <v>5383</v>
      </c>
      <c r="B1427" s="17" t="s">
        <v>5384</v>
      </c>
      <c r="C1427" s="211">
        <v>500012</v>
      </c>
      <c r="D1427" s="151" t="s">
        <v>5385</v>
      </c>
      <c r="E1427" s="211">
        <v>79.599999999999994</v>
      </c>
      <c r="F1427" s="151" t="s">
        <v>2452</v>
      </c>
      <c r="G1427" s="151" t="s">
        <v>1335</v>
      </c>
      <c r="H1427" s="211">
        <v>676.7</v>
      </c>
      <c r="I1427" s="17">
        <f t="shared" si="5"/>
        <v>85012562.814070359</v>
      </c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</row>
    <row r="1428" spans="1:24">
      <c r="A1428" s="151" t="s">
        <v>5386</v>
      </c>
      <c r="B1428" s="17" t="s">
        <v>5387</v>
      </c>
      <c r="C1428" s="211">
        <v>543918</v>
      </c>
      <c r="D1428" s="151" t="s">
        <v>5388</v>
      </c>
      <c r="E1428" s="211">
        <v>70.8</v>
      </c>
      <c r="F1428" s="151" t="s">
        <v>1854</v>
      </c>
      <c r="G1428" s="151" t="s">
        <v>1216</v>
      </c>
      <c r="H1428" s="211">
        <v>676.3</v>
      </c>
      <c r="I1428" s="17">
        <f t="shared" si="5"/>
        <v>95522598.870056495</v>
      </c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spans="1:24">
      <c r="A1429" s="151" t="s">
        <v>5389</v>
      </c>
      <c r="B1429" s="17" t="s">
        <v>5390</v>
      </c>
      <c r="C1429" s="211">
        <v>532875</v>
      </c>
      <c r="D1429" s="151" t="s">
        <v>5391</v>
      </c>
      <c r="E1429" s="211">
        <v>122.3</v>
      </c>
      <c r="F1429" s="151" t="s">
        <v>1161</v>
      </c>
      <c r="G1429" s="151" t="s">
        <v>1143</v>
      </c>
      <c r="H1429" s="211">
        <v>675.4</v>
      </c>
      <c r="I1429" s="17">
        <f t="shared" si="5"/>
        <v>55224856.909239575</v>
      </c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</row>
    <row r="1430" spans="1:24">
      <c r="A1430" s="151" t="s">
        <v>5392</v>
      </c>
      <c r="B1430" s="17" t="s">
        <v>5393</v>
      </c>
      <c r="C1430" s="211">
        <v>540692</v>
      </c>
      <c r="D1430" s="151" t="s">
        <v>5394</v>
      </c>
      <c r="E1430" s="211">
        <v>215.6</v>
      </c>
      <c r="F1430" s="151" t="s">
        <v>2576</v>
      </c>
      <c r="G1430" s="151" t="s">
        <v>1140</v>
      </c>
      <c r="H1430" s="211">
        <v>673.9</v>
      </c>
      <c r="I1430" s="17">
        <f t="shared" si="5"/>
        <v>31256957.328385901</v>
      </c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</row>
    <row r="1431" spans="1:24">
      <c r="A1431" s="151" t="s">
        <v>5395</v>
      </c>
      <c r="B1431" s="17" t="s">
        <v>5396</v>
      </c>
      <c r="C1431" s="17"/>
      <c r="D1431" s="151" t="s">
        <v>5397</v>
      </c>
      <c r="E1431" s="211">
        <v>630.6</v>
      </c>
      <c r="F1431" s="151" t="s">
        <v>1587</v>
      </c>
      <c r="G1431" s="151" t="s">
        <v>1141</v>
      </c>
      <c r="H1431" s="211">
        <v>672.9</v>
      </c>
      <c r="I1431" s="17">
        <f t="shared" si="5"/>
        <v>10670789.724072311</v>
      </c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spans="1:24">
      <c r="A1432" s="151" t="s">
        <v>5398</v>
      </c>
      <c r="B1432" s="17" t="s">
        <v>5399</v>
      </c>
      <c r="C1432" s="211">
        <v>532799</v>
      </c>
      <c r="D1432" s="151" t="s">
        <v>5400</v>
      </c>
      <c r="E1432" s="211">
        <v>87.6</v>
      </c>
      <c r="F1432" s="151" t="s">
        <v>1307</v>
      </c>
      <c r="G1432" s="151" t="s">
        <v>1307</v>
      </c>
      <c r="H1432" s="211">
        <v>668.7</v>
      </c>
      <c r="I1432" s="17">
        <f t="shared" si="5"/>
        <v>76335616.438356176</v>
      </c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</row>
    <row r="1433" spans="1:24">
      <c r="A1433" s="151" t="s">
        <v>5401</v>
      </c>
      <c r="B1433" s="17" t="s">
        <v>5402</v>
      </c>
      <c r="C1433" s="211">
        <v>543898</v>
      </c>
      <c r="D1433" s="151" t="s">
        <v>5403</v>
      </c>
      <c r="E1433" s="211">
        <v>160.4</v>
      </c>
      <c r="F1433" s="151" t="s">
        <v>1293</v>
      </c>
      <c r="G1433" s="151" t="s">
        <v>1141</v>
      </c>
      <c r="H1433" s="211">
        <v>668</v>
      </c>
      <c r="I1433" s="17">
        <f t="shared" si="5"/>
        <v>41645885.28678304</v>
      </c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</row>
    <row r="1434" spans="1:24">
      <c r="A1434" s="151" t="s">
        <v>5404</v>
      </c>
      <c r="B1434" s="17" t="s">
        <v>5405</v>
      </c>
      <c r="C1434" s="211">
        <v>532649</v>
      </c>
      <c r="D1434" s="151" t="s">
        <v>5406</v>
      </c>
      <c r="E1434" s="211">
        <v>29.8</v>
      </c>
      <c r="F1434" s="151" t="s">
        <v>694</v>
      </c>
      <c r="G1434" s="151" t="s">
        <v>1224</v>
      </c>
      <c r="H1434" s="211">
        <v>667.2</v>
      </c>
      <c r="I1434" s="17">
        <f t="shared" si="5"/>
        <v>223892617.44966441</v>
      </c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spans="1:24">
      <c r="A1435" s="151" t="s">
        <v>5407</v>
      </c>
      <c r="B1435" s="17" t="s">
        <v>5408</v>
      </c>
      <c r="C1435" s="211">
        <v>532329</v>
      </c>
      <c r="D1435" s="151" t="s">
        <v>5409</v>
      </c>
      <c r="E1435" s="211">
        <v>1363.3</v>
      </c>
      <c r="F1435" s="151" t="s">
        <v>1161</v>
      </c>
      <c r="G1435" s="151" t="s">
        <v>1143</v>
      </c>
      <c r="H1435" s="211">
        <v>664</v>
      </c>
      <c r="I1435" s="17">
        <f t="shared" si="5"/>
        <v>4870534.7319005355</v>
      </c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</row>
    <row r="1436" spans="1:24">
      <c r="A1436" s="151" t="s">
        <v>5410</v>
      </c>
      <c r="B1436" s="17" t="s">
        <v>5411</v>
      </c>
      <c r="C1436" s="211">
        <v>542285</v>
      </c>
      <c r="D1436" s="151" t="s">
        <v>5412</v>
      </c>
      <c r="E1436" s="211">
        <v>33.6</v>
      </c>
      <c r="F1436" s="151" t="s">
        <v>1854</v>
      </c>
      <c r="G1436" s="151" t="s">
        <v>1216</v>
      </c>
      <c r="H1436" s="211">
        <v>658.4</v>
      </c>
      <c r="I1436" s="17">
        <f t="shared" si="5"/>
        <v>195952380.95238096</v>
      </c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</row>
    <row r="1437" spans="1:24">
      <c r="A1437" s="151" t="s">
        <v>5413</v>
      </c>
      <c r="B1437" s="17" t="s">
        <v>5414</v>
      </c>
      <c r="C1437" s="211">
        <v>539151</v>
      </c>
      <c r="D1437" s="151" t="s">
        <v>5415</v>
      </c>
      <c r="E1437" s="211">
        <v>41</v>
      </c>
      <c r="F1437" s="151" t="s">
        <v>1348</v>
      </c>
      <c r="G1437" s="151" t="s">
        <v>1142</v>
      </c>
      <c r="H1437" s="211">
        <v>651.70000000000005</v>
      </c>
      <c r="I1437" s="17">
        <f t="shared" si="5"/>
        <v>158951219.51219511</v>
      </c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spans="1:24">
      <c r="A1438" s="151" t="s">
        <v>5416</v>
      </c>
      <c r="B1438" s="17" t="s">
        <v>5417</v>
      </c>
      <c r="C1438" s="17"/>
      <c r="D1438" s="151" t="s">
        <v>5418</v>
      </c>
      <c r="E1438" s="211">
        <v>55.2</v>
      </c>
      <c r="F1438" s="151" t="s">
        <v>1246</v>
      </c>
      <c r="G1438" s="151" t="s">
        <v>1247</v>
      </c>
      <c r="H1438" s="211">
        <v>651.5</v>
      </c>
      <c r="I1438" s="17">
        <f t="shared" si="5"/>
        <v>118025362.31884058</v>
      </c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</row>
    <row r="1439" spans="1:24">
      <c r="A1439" s="151" t="s">
        <v>5419</v>
      </c>
      <c r="B1439" s="17" t="s">
        <v>5420</v>
      </c>
      <c r="C1439" s="211">
        <v>509709</v>
      </c>
      <c r="D1439" s="151" t="s">
        <v>5421</v>
      </c>
      <c r="E1439" s="211">
        <v>102.7</v>
      </c>
      <c r="F1439" s="151" t="s">
        <v>1546</v>
      </c>
      <c r="G1439" s="151" t="s">
        <v>1141</v>
      </c>
      <c r="H1439" s="211">
        <v>650.9</v>
      </c>
      <c r="I1439" s="17">
        <f t="shared" si="5"/>
        <v>63378773.125608563</v>
      </c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</row>
    <row r="1440" spans="1:24">
      <c r="A1440" s="151" t="s">
        <v>5422</v>
      </c>
      <c r="B1440" s="17" t="s">
        <v>5423</v>
      </c>
      <c r="C1440" s="211">
        <v>540937</v>
      </c>
      <c r="D1440" s="151" t="s">
        <v>5424</v>
      </c>
      <c r="E1440" s="211">
        <v>78.400000000000006</v>
      </c>
      <c r="F1440" s="151" t="s">
        <v>694</v>
      </c>
      <c r="G1440" s="151" t="s">
        <v>1224</v>
      </c>
      <c r="H1440" s="211">
        <v>650.20000000000005</v>
      </c>
      <c r="I1440" s="17">
        <f t="shared" si="5"/>
        <v>82933673.469387755</v>
      </c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spans="1:24">
      <c r="A1441" s="151" t="s">
        <v>5425</v>
      </c>
      <c r="B1441" s="17" t="s">
        <v>5426</v>
      </c>
      <c r="C1441" s="211">
        <v>504605</v>
      </c>
      <c r="D1441" s="151" t="s">
        <v>5427</v>
      </c>
      <c r="E1441" s="211">
        <v>3289</v>
      </c>
      <c r="F1441" s="151" t="s">
        <v>1675</v>
      </c>
      <c r="G1441" s="151" t="s">
        <v>1142</v>
      </c>
      <c r="H1441" s="211">
        <v>649.6</v>
      </c>
      <c r="I1441" s="17">
        <f t="shared" si="5"/>
        <v>1975068.4098510186</v>
      </c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</row>
    <row r="1442" spans="1:24">
      <c r="A1442" s="151" t="s">
        <v>5428</v>
      </c>
      <c r="B1442" s="17" t="s">
        <v>5429</v>
      </c>
      <c r="C1442" s="211">
        <v>539290</v>
      </c>
      <c r="D1442" s="151" t="s">
        <v>5430</v>
      </c>
      <c r="E1442" s="211">
        <v>25.2</v>
      </c>
      <c r="F1442" s="151" t="s">
        <v>1831</v>
      </c>
      <c r="G1442" s="151" t="s">
        <v>1137</v>
      </c>
      <c r="H1442" s="211">
        <v>648.4</v>
      </c>
      <c r="I1442" s="17">
        <f t="shared" si="5"/>
        <v>257301587.30158731</v>
      </c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</row>
    <row r="1443" spans="1:24">
      <c r="A1443" s="151" t="s">
        <v>5431</v>
      </c>
      <c r="B1443" s="17" t="s">
        <v>5432</v>
      </c>
      <c r="C1443" s="211">
        <v>518091</v>
      </c>
      <c r="D1443" s="151" t="s">
        <v>5433</v>
      </c>
      <c r="E1443" s="211">
        <v>220.4</v>
      </c>
      <c r="F1443" s="151" t="s">
        <v>1238</v>
      </c>
      <c r="G1443" s="151" t="s">
        <v>1138</v>
      </c>
      <c r="H1443" s="211">
        <v>647.6</v>
      </c>
      <c r="I1443" s="17">
        <f t="shared" si="5"/>
        <v>29382940.108892921</v>
      </c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spans="1:24">
      <c r="A1444" s="151" t="s">
        <v>5434</v>
      </c>
      <c r="B1444" s="17" t="s">
        <v>5435</v>
      </c>
      <c r="C1444" s="211">
        <v>517059</v>
      </c>
      <c r="D1444" s="151" t="s">
        <v>5436</v>
      </c>
      <c r="E1444" s="211">
        <v>387.5</v>
      </c>
      <c r="F1444" s="151" t="s">
        <v>1440</v>
      </c>
      <c r="G1444" s="151" t="s">
        <v>1441</v>
      </c>
      <c r="H1444" s="211">
        <v>646.5</v>
      </c>
      <c r="I1444" s="17">
        <f t="shared" si="5"/>
        <v>16683870.967741935</v>
      </c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</row>
    <row r="1445" spans="1:24">
      <c r="A1445" s="151" t="s">
        <v>5437</v>
      </c>
      <c r="B1445" s="17" t="s">
        <v>5438</v>
      </c>
      <c r="C1445" s="211">
        <v>532513</v>
      </c>
      <c r="D1445" s="151" t="s">
        <v>5439</v>
      </c>
      <c r="E1445" s="211">
        <v>346.2</v>
      </c>
      <c r="F1445" s="151" t="s">
        <v>5440</v>
      </c>
      <c r="G1445" s="151" t="s">
        <v>1229</v>
      </c>
      <c r="H1445" s="211">
        <v>645.79999999999995</v>
      </c>
      <c r="I1445" s="17">
        <f t="shared" si="5"/>
        <v>18653957.250144426</v>
      </c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</row>
    <row r="1446" spans="1:24">
      <c r="A1446" s="151" t="s">
        <v>5441</v>
      </c>
      <c r="B1446" s="17" t="s">
        <v>169</v>
      </c>
      <c r="C1446" s="211">
        <v>532987</v>
      </c>
      <c r="D1446" s="151" t="s">
        <v>5442</v>
      </c>
      <c r="E1446" s="211">
        <v>832</v>
      </c>
      <c r="F1446" s="151" t="s">
        <v>1507</v>
      </c>
      <c r="G1446" s="151" t="s">
        <v>1211</v>
      </c>
      <c r="H1446" s="211">
        <v>643.20000000000005</v>
      </c>
      <c r="I1446" s="17">
        <f t="shared" si="5"/>
        <v>7730769.230769231</v>
      </c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spans="1:24">
      <c r="A1447" s="151" t="s">
        <v>5443</v>
      </c>
      <c r="B1447" s="17" t="s">
        <v>5444</v>
      </c>
      <c r="C1447" s="211">
        <v>539400</v>
      </c>
      <c r="D1447" s="151" t="s">
        <v>5445</v>
      </c>
      <c r="E1447" s="211">
        <v>1028.8</v>
      </c>
      <c r="F1447" s="151" t="s">
        <v>1710</v>
      </c>
      <c r="G1447" s="151" t="s">
        <v>1216</v>
      </c>
      <c r="H1447" s="211">
        <v>642</v>
      </c>
      <c r="I1447" s="17">
        <f t="shared" si="5"/>
        <v>6240279.9377916018</v>
      </c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</row>
    <row r="1448" spans="1:24">
      <c r="A1448" s="151" t="s">
        <v>5446</v>
      </c>
      <c r="B1448" s="17" t="s">
        <v>5447</v>
      </c>
      <c r="C1448" s="211">
        <v>520151</v>
      </c>
      <c r="D1448" s="151" t="s">
        <v>5448</v>
      </c>
      <c r="E1448" s="211">
        <v>291.89999999999998</v>
      </c>
      <c r="F1448" s="151" t="s">
        <v>1720</v>
      </c>
      <c r="G1448" s="151" t="s">
        <v>1280</v>
      </c>
      <c r="H1448" s="211">
        <v>640.9</v>
      </c>
      <c r="I1448" s="17">
        <f t="shared" si="5"/>
        <v>21956149.366221309</v>
      </c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</row>
    <row r="1449" spans="1:24">
      <c r="A1449" s="151" t="s">
        <v>5449</v>
      </c>
      <c r="B1449" s="17" t="s">
        <v>5450</v>
      </c>
      <c r="C1449" s="211">
        <v>542232</v>
      </c>
      <c r="D1449" s="151" t="s">
        <v>5451</v>
      </c>
      <c r="E1449" s="211">
        <v>100.2</v>
      </c>
      <c r="F1449" s="151" t="s">
        <v>1228</v>
      </c>
      <c r="G1449" s="151" t="s">
        <v>1229</v>
      </c>
      <c r="H1449" s="211">
        <v>640.9</v>
      </c>
      <c r="I1449" s="17">
        <f t="shared" si="5"/>
        <v>63962075.848303393</v>
      </c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spans="1:24">
      <c r="A1450" s="151" t="s">
        <v>5452</v>
      </c>
      <c r="B1450" s="17" t="s">
        <v>5453</v>
      </c>
      <c r="C1450" s="17"/>
      <c r="D1450" s="151" t="s">
        <v>5454</v>
      </c>
      <c r="E1450" s="211">
        <v>368.1</v>
      </c>
      <c r="F1450" s="151" t="s">
        <v>1255</v>
      </c>
      <c r="G1450" s="151" t="s">
        <v>1173</v>
      </c>
      <c r="H1450" s="211">
        <v>640.1</v>
      </c>
      <c r="I1450" s="17">
        <f t="shared" si="5"/>
        <v>17389296.386851396</v>
      </c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</row>
    <row r="1451" spans="1:24">
      <c r="A1451" s="151" t="s">
        <v>5455</v>
      </c>
      <c r="B1451" s="17" t="s">
        <v>5456</v>
      </c>
      <c r="C1451" s="17"/>
      <c r="D1451" s="151" t="s">
        <v>5457</v>
      </c>
      <c r="E1451" s="211">
        <v>638.20000000000005</v>
      </c>
      <c r="F1451" s="151" t="s">
        <v>1587</v>
      </c>
      <c r="G1451" s="151" t="s">
        <v>1141</v>
      </c>
      <c r="H1451" s="211">
        <v>638.5</v>
      </c>
      <c r="I1451" s="17">
        <f t="shared" si="5"/>
        <v>10004700.720777186</v>
      </c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</row>
    <row r="1452" spans="1:24">
      <c r="A1452" s="151" t="s">
        <v>5458</v>
      </c>
      <c r="B1452" s="17" t="s">
        <v>5459</v>
      </c>
      <c r="C1452" s="211">
        <v>540358</v>
      </c>
      <c r="D1452" s="151" t="s">
        <v>5460</v>
      </c>
      <c r="E1452" s="211">
        <v>618.9</v>
      </c>
      <c r="F1452" s="151" t="s">
        <v>1440</v>
      </c>
      <c r="G1452" s="151" t="s">
        <v>1441</v>
      </c>
      <c r="H1452" s="211">
        <v>638</v>
      </c>
      <c r="I1452" s="17">
        <f t="shared" si="5"/>
        <v>10308612.053643562</v>
      </c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spans="1:24">
      <c r="A1453" s="151" t="s">
        <v>5461</v>
      </c>
      <c r="B1453" s="17" t="s">
        <v>5462</v>
      </c>
      <c r="C1453" s="211">
        <v>507794</v>
      </c>
      <c r="D1453" s="151" t="s">
        <v>5463</v>
      </c>
      <c r="E1453" s="211">
        <v>65.599999999999994</v>
      </c>
      <c r="F1453" s="151" t="s">
        <v>1650</v>
      </c>
      <c r="G1453" s="151" t="s">
        <v>1650</v>
      </c>
      <c r="H1453" s="211">
        <v>635.79999999999995</v>
      </c>
      <c r="I1453" s="17">
        <f t="shared" si="5"/>
        <v>96920731.707317084</v>
      </c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</row>
    <row r="1454" spans="1:24">
      <c r="A1454" s="151" t="s">
        <v>5464</v>
      </c>
      <c r="B1454" s="17" t="s">
        <v>5465</v>
      </c>
      <c r="C1454" s="211">
        <v>522134</v>
      </c>
      <c r="D1454" s="151" t="s">
        <v>5466</v>
      </c>
      <c r="E1454" s="211">
        <v>172</v>
      </c>
      <c r="F1454" s="151" t="s">
        <v>1587</v>
      </c>
      <c r="G1454" s="151" t="s">
        <v>1141</v>
      </c>
      <c r="H1454" s="211">
        <v>635</v>
      </c>
      <c r="I1454" s="17">
        <f t="shared" si="5"/>
        <v>36918604.651162788</v>
      </c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</row>
    <row r="1455" spans="1:24">
      <c r="A1455" s="151" t="s">
        <v>5467</v>
      </c>
      <c r="B1455" s="17" t="s">
        <v>5468</v>
      </c>
      <c r="C1455" s="211">
        <v>532930</v>
      </c>
      <c r="D1455" s="151" t="s">
        <v>5469</v>
      </c>
      <c r="E1455" s="211">
        <v>87.9</v>
      </c>
      <c r="F1455" s="151" t="s">
        <v>1242</v>
      </c>
      <c r="G1455" s="151" t="s">
        <v>1144</v>
      </c>
      <c r="H1455" s="211">
        <v>634.29999999999995</v>
      </c>
      <c r="I1455" s="17">
        <f t="shared" si="5"/>
        <v>72161547.212741747</v>
      </c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spans="1:24">
      <c r="A1456" s="151" t="s">
        <v>5470</v>
      </c>
      <c r="B1456" s="17" t="s">
        <v>5471</v>
      </c>
      <c r="C1456" s="211">
        <v>532617</v>
      </c>
      <c r="D1456" s="151" t="s">
        <v>5472</v>
      </c>
      <c r="E1456" s="211">
        <v>55.6</v>
      </c>
      <c r="F1456" s="151" t="s">
        <v>1358</v>
      </c>
      <c r="G1456" s="151" t="s">
        <v>1280</v>
      </c>
      <c r="H1456" s="211">
        <v>631</v>
      </c>
      <c r="I1456" s="17">
        <f t="shared" si="5"/>
        <v>113489208.63309352</v>
      </c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</row>
    <row r="1457" spans="1:24">
      <c r="A1457" s="151" t="s">
        <v>5473</v>
      </c>
      <c r="B1457" s="17" t="s">
        <v>5474</v>
      </c>
      <c r="C1457" s="211">
        <v>531225</v>
      </c>
      <c r="D1457" s="151" t="s">
        <v>5475</v>
      </c>
      <c r="E1457" s="211">
        <v>47.4</v>
      </c>
      <c r="F1457" s="151" t="s">
        <v>1161</v>
      </c>
      <c r="G1457" s="151" t="s">
        <v>1143</v>
      </c>
      <c r="H1457" s="211">
        <v>630.79999999999995</v>
      </c>
      <c r="I1457" s="17">
        <f t="shared" si="5"/>
        <v>133080168.77637132</v>
      </c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</row>
    <row r="1458" spans="1:24">
      <c r="A1458" s="151" t="s">
        <v>5476</v>
      </c>
      <c r="B1458" s="17" t="s">
        <v>5477</v>
      </c>
      <c r="C1458" s="211">
        <v>511766</v>
      </c>
      <c r="D1458" s="151" t="s">
        <v>5478</v>
      </c>
      <c r="E1458" s="211">
        <v>383</v>
      </c>
      <c r="F1458" s="151" t="s">
        <v>1194</v>
      </c>
      <c r="G1458" s="151" t="s">
        <v>1137</v>
      </c>
      <c r="H1458" s="211">
        <v>630</v>
      </c>
      <c r="I1458" s="17">
        <f t="shared" si="5"/>
        <v>16449086.161879895</v>
      </c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spans="1:24">
      <c r="A1459" s="151" t="s">
        <v>5479</v>
      </c>
      <c r="B1459" s="17" t="s">
        <v>5480</v>
      </c>
      <c r="C1459" s="211">
        <v>533022</v>
      </c>
      <c r="D1459" s="151" t="s">
        <v>5481</v>
      </c>
      <c r="E1459" s="211">
        <v>177.8</v>
      </c>
      <c r="F1459" s="151" t="s">
        <v>1591</v>
      </c>
      <c r="G1459" s="151" t="s">
        <v>1142</v>
      </c>
      <c r="H1459" s="211">
        <v>627.4</v>
      </c>
      <c r="I1459" s="17">
        <f t="shared" si="5"/>
        <v>35286839.14510686</v>
      </c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</row>
    <row r="1460" spans="1:24">
      <c r="A1460" s="151" t="s">
        <v>5482</v>
      </c>
      <c r="B1460" s="17" t="s">
        <v>5483</v>
      </c>
      <c r="C1460" s="211">
        <v>543223</v>
      </c>
      <c r="D1460" s="151" t="s">
        <v>5484</v>
      </c>
      <c r="E1460" s="211">
        <v>145</v>
      </c>
      <c r="F1460" s="151" t="s">
        <v>1233</v>
      </c>
      <c r="G1460" s="151" t="s">
        <v>1234</v>
      </c>
      <c r="H1460" s="211">
        <v>626</v>
      </c>
      <c r="I1460" s="17">
        <f t="shared" si="5"/>
        <v>43172413.793103449</v>
      </c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</row>
    <row r="1461" spans="1:24">
      <c r="A1461" s="151" t="s">
        <v>5485</v>
      </c>
      <c r="B1461" s="17" t="s">
        <v>5486</v>
      </c>
      <c r="C1461" s="211">
        <v>526642</v>
      </c>
      <c r="D1461" s="151" t="s">
        <v>5487</v>
      </c>
      <c r="E1461" s="211">
        <v>45.2</v>
      </c>
      <c r="F1461" s="151" t="s">
        <v>1748</v>
      </c>
      <c r="G1461" s="151" t="s">
        <v>1247</v>
      </c>
      <c r="H1461" s="211">
        <v>624.70000000000005</v>
      </c>
      <c r="I1461" s="17">
        <f t="shared" si="5"/>
        <v>138207964.60176989</v>
      </c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spans="1:24">
      <c r="A1462" s="151" t="s">
        <v>5488</v>
      </c>
      <c r="B1462" s="17" t="s">
        <v>5489</v>
      </c>
      <c r="C1462" s="211">
        <v>543931</v>
      </c>
      <c r="D1462" s="151" t="s">
        <v>5490</v>
      </c>
      <c r="E1462" s="211">
        <v>293.5</v>
      </c>
      <c r="F1462" s="151" t="s">
        <v>2491</v>
      </c>
      <c r="G1462" s="151" t="s">
        <v>1143</v>
      </c>
      <c r="H1462" s="211">
        <v>621.9</v>
      </c>
      <c r="I1462" s="17">
        <f t="shared" si="5"/>
        <v>21189097.103918228</v>
      </c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</row>
    <row r="1463" spans="1:24">
      <c r="A1463" s="151" t="s">
        <v>5491</v>
      </c>
      <c r="B1463" s="17" t="s">
        <v>5492</v>
      </c>
      <c r="C1463" s="211">
        <v>509152</v>
      </c>
      <c r="D1463" s="151" t="s">
        <v>5493</v>
      </c>
      <c r="E1463" s="211">
        <v>4635</v>
      </c>
      <c r="F1463" s="151" t="s">
        <v>1646</v>
      </c>
      <c r="G1463" s="151" t="s">
        <v>1211</v>
      </c>
      <c r="H1463" s="211">
        <v>618</v>
      </c>
      <c r="I1463" s="17">
        <f t="shared" si="5"/>
        <v>1333333.3333333333</v>
      </c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</row>
    <row r="1464" spans="1:24">
      <c r="A1464" s="151" t="s">
        <v>5494</v>
      </c>
      <c r="B1464" s="17" t="s">
        <v>5495</v>
      </c>
      <c r="C1464" s="17"/>
      <c r="D1464" s="151" t="s">
        <v>5496</v>
      </c>
      <c r="E1464" s="211">
        <v>75.8</v>
      </c>
      <c r="F1464" s="151" t="s">
        <v>1854</v>
      </c>
      <c r="G1464" s="151" t="s">
        <v>1216</v>
      </c>
      <c r="H1464" s="211">
        <v>617.9</v>
      </c>
      <c r="I1464" s="17">
        <f t="shared" si="5"/>
        <v>81517150.395778373</v>
      </c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spans="1:24">
      <c r="A1465" s="151" t="s">
        <v>5497</v>
      </c>
      <c r="B1465" s="17" t="s">
        <v>5498</v>
      </c>
      <c r="C1465" s="211">
        <v>542383</v>
      </c>
      <c r="D1465" s="151" t="s">
        <v>5499</v>
      </c>
      <c r="E1465" s="211">
        <v>252</v>
      </c>
      <c r="F1465" s="151" t="s">
        <v>1858</v>
      </c>
      <c r="G1465" s="151" t="s">
        <v>1280</v>
      </c>
      <c r="H1465" s="211">
        <v>616.79999999999995</v>
      </c>
      <c r="I1465" s="17">
        <f t="shared" si="5"/>
        <v>24476190.476190478</v>
      </c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</row>
    <row r="1466" spans="1:24">
      <c r="A1466" s="151" t="s">
        <v>5500</v>
      </c>
      <c r="B1466" s="17" t="s">
        <v>5501</v>
      </c>
      <c r="C1466" s="211">
        <v>512453</v>
      </c>
      <c r="D1466" s="151" t="s">
        <v>5502</v>
      </c>
      <c r="E1466" s="211">
        <v>701.5</v>
      </c>
      <c r="F1466" s="151" t="s">
        <v>1546</v>
      </c>
      <c r="G1466" s="151" t="s">
        <v>1141</v>
      </c>
      <c r="H1466" s="211">
        <v>614.4</v>
      </c>
      <c r="I1466" s="17">
        <f t="shared" si="5"/>
        <v>8758374.9109052029</v>
      </c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</row>
    <row r="1467" spans="1:24">
      <c r="A1467" s="151" t="s">
        <v>5503</v>
      </c>
      <c r="B1467" s="17" t="s">
        <v>5504</v>
      </c>
      <c r="C1467" s="211">
        <v>517035</v>
      </c>
      <c r="D1467" s="151" t="s">
        <v>5505</v>
      </c>
      <c r="E1467" s="211">
        <v>881.8</v>
      </c>
      <c r="F1467" s="151" t="s">
        <v>3114</v>
      </c>
      <c r="G1467" s="151" t="s">
        <v>1229</v>
      </c>
      <c r="H1467" s="211">
        <v>613.5</v>
      </c>
      <c r="I1467" s="17">
        <f t="shared" si="5"/>
        <v>6957359.9455658887</v>
      </c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spans="1:24">
      <c r="A1468" s="151" t="s">
        <v>5506</v>
      </c>
      <c r="B1468" s="17" t="s">
        <v>5507</v>
      </c>
      <c r="C1468" s="211">
        <v>511628</v>
      </c>
      <c r="D1468" s="151" t="s">
        <v>5508</v>
      </c>
      <c r="E1468" s="211">
        <v>618.9</v>
      </c>
      <c r="F1468" s="151" t="s">
        <v>1194</v>
      </c>
      <c r="G1468" s="151" t="s">
        <v>1137</v>
      </c>
      <c r="H1468" s="211">
        <v>612.79999999999995</v>
      </c>
      <c r="I1468" s="17">
        <f t="shared" si="5"/>
        <v>9901438.0352237839</v>
      </c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</row>
    <row r="1469" spans="1:24">
      <c r="A1469" s="151" t="s">
        <v>5509</v>
      </c>
      <c r="B1469" s="17" t="s">
        <v>5510</v>
      </c>
      <c r="C1469" s="211">
        <v>543831</v>
      </c>
      <c r="D1469" s="151" t="s">
        <v>5511</v>
      </c>
      <c r="E1469" s="211">
        <v>438.5</v>
      </c>
      <c r="F1469" s="151" t="s">
        <v>4365</v>
      </c>
      <c r="G1469" s="151" t="s">
        <v>1908</v>
      </c>
      <c r="H1469" s="211">
        <v>610.79999999999995</v>
      </c>
      <c r="I1469" s="17">
        <f t="shared" si="5"/>
        <v>13929304.446978334</v>
      </c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</row>
    <row r="1470" spans="1:24">
      <c r="A1470" s="151" t="s">
        <v>5512</v>
      </c>
      <c r="B1470" s="17" t="s">
        <v>5513</v>
      </c>
      <c r="C1470" s="211">
        <v>517344</v>
      </c>
      <c r="D1470" s="151" t="s">
        <v>5514</v>
      </c>
      <c r="E1470" s="211">
        <v>240.8</v>
      </c>
      <c r="F1470" s="151" t="s">
        <v>1161</v>
      </c>
      <c r="G1470" s="151" t="s">
        <v>1143</v>
      </c>
      <c r="H1470" s="211">
        <v>609.5</v>
      </c>
      <c r="I1470" s="17">
        <f t="shared" si="5"/>
        <v>25311461.794019934</v>
      </c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spans="1:24">
      <c r="A1471" s="151" t="s">
        <v>5515</v>
      </c>
      <c r="B1471" s="17" t="s">
        <v>5516</v>
      </c>
      <c r="C1471" s="17"/>
      <c r="D1471" s="151" t="s">
        <v>5517</v>
      </c>
      <c r="E1471" s="211">
        <v>298.39999999999998</v>
      </c>
      <c r="F1471" s="151" t="s">
        <v>3089</v>
      </c>
      <c r="G1471" s="151" t="s">
        <v>1139</v>
      </c>
      <c r="H1471" s="211">
        <v>607.70000000000005</v>
      </c>
      <c r="I1471" s="17">
        <f t="shared" si="5"/>
        <v>20365281.501340482</v>
      </c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</row>
    <row r="1472" spans="1:24">
      <c r="A1472" s="151" t="s">
        <v>5518</v>
      </c>
      <c r="B1472" s="17" t="s">
        <v>65</v>
      </c>
      <c r="C1472" s="211">
        <v>532717</v>
      </c>
      <c r="D1472" s="151" t="s">
        <v>5519</v>
      </c>
      <c r="E1472" s="211">
        <v>571.4</v>
      </c>
      <c r="F1472" s="151" t="s">
        <v>1323</v>
      </c>
      <c r="G1472" s="151" t="s">
        <v>1141</v>
      </c>
      <c r="H1472" s="211">
        <v>606.79999999999995</v>
      </c>
      <c r="I1472" s="17">
        <f t="shared" si="5"/>
        <v>10619530.976548828</v>
      </c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</row>
    <row r="1473" spans="1:24">
      <c r="A1473" s="151" t="s">
        <v>5520</v>
      </c>
      <c r="B1473" s="17" t="s">
        <v>5521</v>
      </c>
      <c r="C1473" s="211">
        <v>530845</v>
      </c>
      <c r="D1473" s="151" t="s">
        <v>5522</v>
      </c>
      <c r="E1473" s="211">
        <v>825</v>
      </c>
      <c r="F1473" s="151" t="s">
        <v>1334</v>
      </c>
      <c r="G1473" s="151" t="s">
        <v>1335</v>
      </c>
      <c r="H1473" s="211">
        <v>606.6</v>
      </c>
      <c r="I1473" s="17">
        <f t="shared" si="5"/>
        <v>7352727.2727272725</v>
      </c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spans="1:24">
      <c r="A1474" s="151" t="s">
        <v>5523</v>
      </c>
      <c r="B1474" s="17" t="s">
        <v>5524</v>
      </c>
      <c r="C1474" s="211">
        <v>539334</v>
      </c>
      <c r="D1474" s="151" t="s">
        <v>5525</v>
      </c>
      <c r="E1474" s="211">
        <v>191</v>
      </c>
      <c r="F1474" s="151" t="s">
        <v>1334</v>
      </c>
      <c r="G1474" s="151" t="s">
        <v>1335</v>
      </c>
      <c r="H1474" s="211">
        <v>604.1</v>
      </c>
      <c r="I1474" s="17">
        <f t="shared" si="5"/>
        <v>31628272.251308899</v>
      </c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</row>
    <row r="1475" spans="1:24">
      <c r="A1475" s="151" t="s">
        <v>5526</v>
      </c>
      <c r="B1475" s="17" t="s">
        <v>5527</v>
      </c>
      <c r="C1475" s="211">
        <v>543597</v>
      </c>
      <c r="D1475" s="151" t="s">
        <v>5528</v>
      </c>
      <c r="E1475" s="211">
        <v>262</v>
      </c>
      <c r="F1475" s="151" t="s">
        <v>1440</v>
      </c>
      <c r="G1475" s="151" t="s">
        <v>1441</v>
      </c>
      <c r="H1475" s="211">
        <v>598.4</v>
      </c>
      <c r="I1475" s="17">
        <f t="shared" si="5"/>
        <v>22839694.656488549</v>
      </c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</row>
    <row r="1476" spans="1:24">
      <c r="A1476" s="151" t="s">
        <v>5529</v>
      </c>
      <c r="B1476" s="17" t="s">
        <v>5530</v>
      </c>
      <c r="C1476" s="211">
        <v>509525</v>
      </c>
      <c r="D1476" s="151" t="s">
        <v>5531</v>
      </c>
      <c r="E1476" s="211">
        <v>995</v>
      </c>
      <c r="F1476" s="151" t="s">
        <v>1234</v>
      </c>
      <c r="G1476" s="151" t="s">
        <v>1234</v>
      </c>
      <c r="H1476" s="211">
        <v>597</v>
      </c>
      <c r="I1476" s="17">
        <f t="shared" si="5"/>
        <v>6000000</v>
      </c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spans="1:24">
      <c r="A1477" s="151" t="s">
        <v>5532</v>
      </c>
      <c r="B1477" s="17" t="s">
        <v>5533</v>
      </c>
      <c r="C1477" s="211">
        <v>532974</v>
      </c>
      <c r="D1477" s="151" t="s">
        <v>5534</v>
      </c>
      <c r="E1477" s="211">
        <v>105.6</v>
      </c>
      <c r="F1477" s="151" t="s">
        <v>1930</v>
      </c>
      <c r="G1477" s="151" t="s">
        <v>1137</v>
      </c>
      <c r="H1477" s="211">
        <v>596.5</v>
      </c>
      <c r="I1477" s="17">
        <f t="shared" si="5"/>
        <v>56486742.424242429</v>
      </c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</row>
    <row r="1478" spans="1:24">
      <c r="A1478" s="151" t="s">
        <v>5535</v>
      </c>
      <c r="B1478" s="17" t="s">
        <v>5536</v>
      </c>
      <c r="C1478" s="211">
        <v>516082</v>
      </c>
      <c r="D1478" s="151" t="s">
        <v>5537</v>
      </c>
      <c r="E1478" s="211">
        <v>350</v>
      </c>
      <c r="F1478" s="151" t="s">
        <v>2222</v>
      </c>
      <c r="G1478" s="151" t="s">
        <v>1229</v>
      </c>
      <c r="H1478" s="211">
        <v>595.70000000000005</v>
      </c>
      <c r="I1478" s="17">
        <f t="shared" si="5"/>
        <v>17020000</v>
      </c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</row>
    <row r="1479" spans="1:24">
      <c r="A1479" s="151" t="s">
        <v>5538</v>
      </c>
      <c r="B1479" s="17" t="s">
        <v>5539</v>
      </c>
      <c r="C1479" s="211">
        <v>533217</v>
      </c>
      <c r="D1479" s="151" t="s">
        <v>5540</v>
      </c>
      <c r="E1479" s="211">
        <v>80.2</v>
      </c>
      <c r="F1479" s="151" t="s">
        <v>3195</v>
      </c>
      <c r="G1479" s="151" t="s">
        <v>1229</v>
      </c>
      <c r="H1479" s="211">
        <v>591.20000000000005</v>
      </c>
      <c r="I1479" s="17">
        <f t="shared" si="5"/>
        <v>73715710.723192021</v>
      </c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spans="1:24">
      <c r="A1480" s="151" t="s">
        <v>5541</v>
      </c>
      <c r="B1480" s="17" t="s">
        <v>5542</v>
      </c>
      <c r="C1480" s="211">
        <v>537785</v>
      </c>
      <c r="D1480" s="151" t="s">
        <v>5543</v>
      </c>
      <c r="E1480" s="211">
        <v>359.7</v>
      </c>
      <c r="F1480" s="151" t="s">
        <v>5544</v>
      </c>
      <c r="G1480" s="151" t="s">
        <v>1229</v>
      </c>
      <c r="H1480" s="211">
        <v>591.1</v>
      </c>
      <c r="I1480" s="17">
        <f t="shared" si="5"/>
        <v>16433138.726716708</v>
      </c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</row>
    <row r="1481" spans="1:24">
      <c r="A1481" s="151" t="s">
        <v>5545</v>
      </c>
      <c r="B1481" s="17" t="s">
        <v>5546</v>
      </c>
      <c r="C1481" s="211">
        <v>520043</v>
      </c>
      <c r="D1481" s="151" t="s">
        <v>5547</v>
      </c>
      <c r="E1481" s="211">
        <v>146.9</v>
      </c>
      <c r="F1481" s="151" t="s">
        <v>1507</v>
      </c>
      <c r="G1481" s="151" t="s">
        <v>1211</v>
      </c>
      <c r="H1481" s="211">
        <v>587.5</v>
      </c>
      <c r="I1481" s="17">
        <f t="shared" si="5"/>
        <v>39993192.648059905</v>
      </c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</row>
    <row r="1482" spans="1:24">
      <c r="A1482" s="151" t="s">
        <v>5548</v>
      </c>
      <c r="B1482" s="17" t="s">
        <v>5549</v>
      </c>
      <c r="C1482" s="211">
        <v>519136</v>
      </c>
      <c r="D1482" s="151" t="s">
        <v>5550</v>
      </c>
      <c r="E1482" s="211">
        <v>135.6</v>
      </c>
      <c r="F1482" s="151" t="s">
        <v>1854</v>
      </c>
      <c r="G1482" s="151" t="s">
        <v>1216</v>
      </c>
      <c r="H1482" s="211">
        <v>585.70000000000005</v>
      </c>
      <c r="I1482" s="17">
        <f t="shared" si="5"/>
        <v>43193215.339233041</v>
      </c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spans="1:24">
      <c r="A1483" s="151" t="s">
        <v>5551</v>
      </c>
      <c r="B1483" s="17" t="s">
        <v>15</v>
      </c>
      <c r="C1483" s="211">
        <v>524075</v>
      </c>
      <c r="D1483" s="151" t="s">
        <v>5552</v>
      </c>
      <c r="E1483" s="211">
        <v>1025.8</v>
      </c>
      <c r="F1483" s="151" t="s">
        <v>694</v>
      </c>
      <c r="G1483" s="151" t="s">
        <v>1224</v>
      </c>
      <c r="H1483" s="211">
        <v>585.4</v>
      </c>
      <c r="I1483" s="17">
        <f t="shared" si="5"/>
        <v>5706765.4513550401</v>
      </c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</row>
    <row r="1484" spans="1:24">
      <c r="A1484" s="151" t="s">
        <v>5553</v>
      </c>
      <c r="B1484" s="17" t="s">
        <v>5554</v>
      </c>
      <c r="C1484" s="211">
        <v>539017</v>
      </c>
      <c r="D1484" s="151" t="s">
        <v>5555</v>
      </c>
      <c r="E1484" s="211">
        <v>75.8</v>
      </c>
      <c r="F1484" s="151" t="s">
        <v>1886</v>
      </c>
      <c r="G1484" s="151" t="s">
        <v>1137</v>
      </c>
      <c r="H1484" s="211">
        <v>585.29999999999995</v>
      </c>
      <c r="I1484" s="17">
        <f t="shared" si="5"/>
        <v>77216358.839050129</v>
      </c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</row>
    <row r="1485" spans="1:24">
      <c r="A1485" s="151" t="s">
        <v>5556</v>
      </c>
      <c r="B1485" s="17" t="s">
        <v>5557</v>
      </c>
      <c r="C1485" s="211">
        <v>526159</v>
      </c>
      <c r="D1485" s="151" t="s">
        <v>5558</v>
      </c>
      <c r="E1485" s="211">
        <v>127.1</v>
      </c>
      <c r="F1485" s="151" t="s">
        <v>1577</v>
      </c>
      <c r="G1485" s="151" t="s">
        <v>1141</v>
      </c>
      <c r="H1485" s="211">
        <v>583.9</v>
      </c>
      <c r="I1485" s="17">
        <f t="shared" si="5"/>
        <v>45940204.563335955</v>
      </c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spans="1:24">
      <c r="A1486" s="151" t="s">
        <v>5559</v>
      </c>
      <c r="B1486" s="17" t="s">
        <v>5560</v>
      </c>
      <c r="C1486" s="211">
        <v>530365</v>
      </c>
      <c r="D1486" s="151" t="s">
        <v>5561</v>
      </c>
      <c r="E1486" s="211">
        <v>402.7</v>
      </c>
      <c r="F1486" s="151" t="s">
        <v>1220</v>
      </c>
      <c r="G1486" s="151" t="s">
        <v>1139</v>
      </c>
      <c r="H1486" s="211">
        <v>583.70000000000005</v>
      </c>
      <c r="I1486" s="17">
        <f t="shared" si="5"/>
        <v>14494661.037993545</v>
      </c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</row>
    <row r="1487" spans="1:24">
      <c r="A1487" s="151" t="s">
        <v>5562</v>
      </c>
      <c r="B1487" s="17" t="s">
        <v>5563</v>
      </c>
      <c r="C1487" s="211">
        <v>522029</v>
      </c>
      <c r="D1487" s="151" t="s">
        <v>5564</v>
      </c>
      <c r="E1487" s="211">
        <v>89.2</v>
      </c>
      <c r="F1487" s="151" t="s">
        <v>1587</v>
      </c>
      <c r="G1487" s="151" t="s">
        <v>1141</v>
      </c>
      <c r="H1487" s="211">
        <v>579.20000000000005</v>
      </c>
      <c r="I1487" s="17">
        <f t="shared" si="5"/>
        <v>64932735.42600897</v>
      </c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</row>
    <row r="1488" spans="1:24">
      <c r="A1488" s="151" t="s">
        <v>5565</v>
      </c>
      <c r="B1488" s="17" t="s">
        <v>5566</v>
      </c>
      <c r="C1488" s="211">
        <v>531862</v>
      </c>
      <c r="D1488" s="151" t="s">
        <v>5567</v>
      </c>
      <c r="E1488" s="211">
        <v>109.6</v>
      </c>
      <c r="F1488" s="151" t="s">
        <v>1650</v>
      </c>
      <c r="G1488" s="151" t="s">
        <v>1650</v>
      </c>
      <c r="H1488" s="211">
        <v>579</v>
      </c>
      <c r="I1488" s="17">
        <f t="shared" si="5"/>
        <v>52828467.153284676</v>
      </c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spans="1:24">
      <c r="A1489" s="151" t="s">
        <v>5568</v>
      </c>
      <c r="B1489" s="17" t="s">
        <v>5569</v>
      </c>
      <c r="C1489" s="211">
        <v>505141</v>
      </c>
      <c r="D1489" s="151" t="s">
        <v>5570</v>
      </c>
      <c r="E1489" s="211">
        <v>66.099999999999994</v>
      </c>
      <c r="F1489" s="151" t="s">
        <v>1289</v>
      </c>
      <c r="G1489" s="151" t="s">
        <v>1211</v>
      </c>
      <c r="H1489" s="211">
        <v>576.5</v>
      </c>
      <c r="I1489" s="17">
        <f t="shared" si="5"/>
        <v>87216338.880484119</v>
      </c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</row>
    <row r="1490" spans="1:24">
      <c r="A1490" s="151" t="s">
        <v>5571</v>
      </c>
      <c r="B1490" s="17" t="s">
        <v>5572</v>
      </c>
      <c r="C1490" s="17"/>
      <c r="D1490" s="151" t="s">
        <v>5573</v>
      </c>
      <c r="E1490" s="211">
        <v>498</v>
      </c>
      <c r="F1490" s="151" t="s">
        <v>1546</v>
      </c>
      <c r="G1490" s="151" t="s">
        <v>1141</v>
      </c>
      <c r="H1490" s="211">
        <v>575.70000000000005</v>
      </c>
      <c r="I1490" s="17">
        <f t="shared" si="5"/>
        <v>11560240.963855421</v>
      </c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</row>
    <row r="1491" spans="1:24">
      <c r="A1491" s="151" t="s">
        <v>5574</v>
      </c>
      <c r="B1491" s="17" t="s">
        <v>5575</v>
      </c>
      <c r="C1491" s="211">
        <v>543978</v>
      </c>
      <c r="D1491" s="151" t="s">
        <v>5576</v>
      </c>
      <c r="E1491" s="211">
        <v>118.6</v>
      </c>
      <c r="F1491" s="151" t="s">
        <v>1675</v>
      </c>
      <c r="G1491" s="151" t="s">
        <v>1142</v>
      </c>
      <c r="H1491" s="211">
        <v>575.4</v>
      </c>
      <c r="I1491" s="17">
        <f t="shared" si="5"/>
        <v>48516020.236087695</v>
      </c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spans="1:24">
      <c r="A1492" s="151" t="s">
        <v>5577</v>
      </c>
      <c r="B1492" s="17" t="s">
        <v>5578</v>
      </c>
      <c r="C1492" s="211">
        <v>532662</v>
      </c>
      <c r="D1492" s="151" t="s">
        <v>5579</v>
      </c>
      <c r="E1492" s="211">
        <v>24.7</v>
      </c>
      <c r="F1492" s="151" t="s">
        <v>3195</v>
      </c>
      <c r="G1492" s="151" t="s">
        <v>1229</v>
      </c>
      <c r="H1492" s="211">
        <v>574.9</v>
      </c>
      <c r="I1492" s="17">
        <f t="shared" si="5"/>
        <v>232753036.43724698</v>
      </c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</row>
    <row r="1493" spans="1:24">
      <c r="A1493" s="151" t="s">
        <v>5580</v>
      </c>
      <c r="B1493" s="17" t="s">
        <v>5581</v>
      </c>
      <c r="C1493" s="211">
        <v>530023</v>
      </c>
      <c r="D1493" s="151" t="s">
        <v>5582</v>
      </c>
      <c r="E1493" s="211">
        <v>109.8</v>
      </c>
      <c r="F1493" s="151" t="s">
        <v>1194</v>
      </c>
      <c r="G1493" s="151" t="s">
        <v>1137</v>
      </c>
      <c r="H1493" s="211">
        <v>573.6</v>
      </c>
      <c r="I1493" s="17">
        <f t="shared" si="5"/>
        <v>52240437.158469945</v>
      </c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</row>
    <row r="1494" spans="1:24">
      <c r="A1494" s="151" t="s">
        <v>5583</v>
      </c>
      <c r="B1494" s="17" t="s">
        <v>5584</v>
      </c>
      <c r="C1494" s="211">
        <v>538734</v>
      </c>
      <c r="D1494" s="151" t="s">
        <v>5585</v>
      </c>
      <c r="E1494" s="211">
        <v>371.4</v>
      </c>
      <c r="F1494" s="151" t="s">
        <v>1161</v>
      </c>
      <c r="G1494" s="151" t="s">
        <v>1143</v>
      </c>
      <c r="H1494" s="211">
        <v>573.1</v>
      </c>
      <c r="I1494" s="17">
        <f t="shared" si="5"/>
        <v>15430802.369413033</v>
      </c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spans="1:24">
      <c r="A1495" s="151" t="s">
        <v>5586</v>
      </c>
      <c r="B1495" s="17" t="s">
        <v>5587</v>
      </c>
      <c r="C1495" s="211">
        <v>507944</v>
      </c>
      <c r="D1495" s="151" t="s">
        <v>5588</v>
      </c>
      <c r="E1495" s="211">
        <v>1100</v>
      </c>
      <c r="F1495" s="151" t="s">
        <v>1587</v>
      </c>
      <c r="G1495" s="151" t="s">
        <v>1141</v>
      </c>
      <c r="H1495" s="211">
        <v>572</v>
      </c>
      <c r="I1495" s="17">
        <f t="shared" si="5"/>
        <v>5200000</v>
      </c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</row>
    <row r="1496" spans="1:24">
      <c r="A1496" s="151" t="s">
        <v>5589</v>
      </c>
      <c r="B1496" s="17" t="s">
        <v>5590</v>
      </c>
      <c r="C1496" s="211">
        <v>522163</v>
      </c>
      <c r="D1496" s="151" t="s">
        <v>5591</v>
      </c>
      <c r="E1496" s="211">
        <v>108.4</v>
      </c>
      <c r="F1496" s="151" t="s">
        <v>1440</v>
      </c>
      <c r="G1496" s="151" t="s">
        <v>1441</v>
      </c>
      <c r="H1496" s="211">
        <v>571</v>
      </c>
      <c r="I1496" s="17">
        <f t="shared" si="5"/>
        <v>52675276.752767526</v>
      </c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</row>
    <row r="1497" spans="1:24">
      <c r="A1497" s="151" t="s">
        <v>5592</v>
      </c>
      <c r="B1497" s="17" t="s">
        <v>5593</v>
      </c>
      <c r="C1497" s="211">
        <v>543668</v>
      </c>
      <c r="D1497" s="151" t="s">
        <v>5594</v>
      </c>
      <c r="E1497" s="211">
        <v>277.8</v>
      </c>
      <c r="F1497" s="151" t="s">
        <v>2950</v>
      </c>
      <c r="G1497" s="151" t="s">
        <v>1229</v>
      </c>
      <c r="H1497" s="211">
        <v>569.9</v>
      </c>
      <c r="I1497" s="17">
        <f t="shared" si="5"/>
        <v>20514758.819294456</v>
      </c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spans="1:24">
      <c r="A1498" s="151" t="s">
        <v>5595</v>
      </c>
      <c r="B1498" s="17" t="s">
        <v>5596</v>
      </c>
      <c r="C1498" s="17"/>
      <c r="D1498" s="151" t="s">
        <v>5597</v>
      </c>
      <c r="E1498" s="211">
        <v>283.5</v>
      </c>
      <c r="F1498" s="151" t="s">
        <v>2576</v>
      </c>
      <c r="G1498" s="151" t="s">
        <v>1140</v>
      </c>
      <c r="H1498" s="211">
        <v>569.70000000000005</v>
      </c>
      <c r="I1498" s="17">
        <f t="shared" si="5"/>
        <v>20095238.095238097</v>
      </c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</row>
    <row r="1499" spans="1:24">
      <c r="A1499" s="151" t="s">
        <v>5598</v>
      </c>
      <c r="B1499" s="17" t="s">
        <v>5599</v>
      </c>
      <c r="C1499" s="211">
        <v>500298</v>
      </c>
      <c r="D1499" s="151" t="s">
        <v>5600</v>
      </c>
      <c r="E1499" s="211">
        <v>990</v>
      </c>
      <c r="F1499" s="151" t="s">
        <v>1840</v>
      </c>
      <c r="G1499" s="151" t="s">
        <v>1335</v>
      </c>
      <c r="H1499" s="211">
        <v>569</v>
      </c>
      <c r="I1499" s="17">
        <f t="shared" si="5"/>
        <v>5747474.7474747477</v>
      </c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</row>
    <row r="1500" spans="1:24">
      <c r="A1500" s="151" t="s">
        <v>5601</v>
      </c>
      <c r="B1500" s="17" t="s">
        <v>5602</v>
      </c>
      <c r="C1500" s="211">
        <v>536264</v>
      </c>
      <c r="D1500" s="151" t="s">
        <v>5603</v>
      </c>
      <c r="E1500" s="211">
        <v>538</v>
      </c>
      <c r="F1500" s="151" t="s">
        <v>1858</v>
      </c>
      <c r="G1500" s="151" t="s">
        <v>1280</v>
      </c>
      <c r="H1500" s="211">
        <v>568.79999999999995</v>
      </c>
      <c r="I1500" s="17">
        <f t="shared" si="5"/>
        <v>10572490.706319703</v>
      </c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spans="1:24">
      <c r="A1501" s="151" t="s">
        <v>5604</v>
      </c>
      <c r="B1501" s="17" t="s">
        <v>5605</v>
      </c>
      <c r="C1501" s="211">
        <v>509220</v>
      </c>
      <c r="D1501" s="151" t="s">
        <v>5606</v>
      </c>
      <c r="E1501" s="211">
        <v>42.9</v>
      </c>
      <c r="F1501" s="151" t="s">
        <v>1646</v>
      </c>
      <c r="G1501" s="151" t="s">
        <v>1211</v>
      </c>
      <c r="H1501" s="211">
        <v>567.9</v>
      </c>
      <c r="I1501" s="17">
        <f t="shared" si="5"/>
        <v>132377622.37762238</v>
      </c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</row>
    <row r="1502" spans="1:24">
      <c r="A1502" s="151" t="s">
        <v>5607</v>
      </c>
      <c r="B1502" s="17" t="s">
        <v>5608</v>
      </c>
      <c r="C1502" s="211">
        <v>500179</v>
      </c>
      <c r="D1502" s="151" t="s">
        <v>5609</v>
      </c>
      <c r="E1502" s="211">
        <v>17.2</v>
      </c>
      <c r="F1502" s="151" t="s">
        <v>5610</v>
      </c>
      <c r="G1502" s="151" t="s">
        <v>4219</v>
      </c>
      <c r="H1502" s="211">
        <v>566.20000000000005</v>
      </c>
      <c r="I1502" s="17">
        <f t="shared" si="5"/>
        <v>329186046.51162791</v>
      </c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</row>
    <row r="1503" spans="1:24">
      <c r="A1503" s="151" t="s">
        <v>5611</v>
      </c>
      <c r="B1503" s="17" t="s">
        <v>5612</v>
      </c>
      <c r="C1503" s="211">
        <v>523391</v>
      </c>
      <c r="D1503" s="151" t="s">
        <v>5613</v>
      </c>
      <c r="E1503" s="211">
        <v>229.8</v>
      </c>
      <c r="F1503" s="151" t="s">
        <v>1546</v>
      </c>
      <c r="G1503" s="151" t="s">
        <v>1141</v>
      </c>
      <c r="H1503" s="211">
        <v>564.9</v>
      </c>
      <c r="I1503" s="17">
        <f t="shared" si="5"/>
        <v>24582245.430809397</v>
      </c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spans="1:24">
      <c r="A1504" s="151" t="s">
        <v>5614</v>
      </c>
      <c r="B1504" s="17" t="s">
        <v>5615</v>
      </c>
      <c r="C1504" s="211">
        <v>506525</v>
      </c>
      <c r="D1504" s="151" t="s">
        <v>5616</v>
      </c>
      <c r="E1504" s="211">
        <v>128.4</v>
      </c>
      <c r="F1504" s="151" t="s">
        <v>1840</v>
      </c>
      <c r="G1504" s="151" t="s">
        <v>1335</v>
      </c>
      <c r="H1504" s="211">
        <v>560.79999999999995</v>
      </c>
      <c r="I1504" s="17">
        <f t="shared" si="5"/>
        <v>43676012.46105919</v>
      </c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</row>
    <row r="1505" spans="1:24">
      <c r="A1505" s="151" t="s">
        <v>5617</v>
      </c>
      <c r="B1505" s="17" t="s">
        <v>5618</v>
      </c>
      <c r="C1505" s="17"/>
      <c r="D1505" s="151" t="s">
        <v>5619</v>
      </c>
      <c r="E1505" s="211">
        <v>445</v>
      </c>
      <c r="F1505" s="151" t="s">
        <v>3114</v>
      </c>
      <c r="G1505" s="151" t="s">
        <v>1229</v>
      </c>
      <c r="H1505" s="211">
        <v>560</v>
      </c>
      <c r="I1505" s="17">
        <f t="shared" si="5"/>
        <v>12584269.662921349</v>
      </c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</row>
    <row r="1506" spans="1:24">
      <c r="A1506" s="151" t="s">
        <v>5620</v>
      </c>
      <c r="B1506" s="17" t="s">
        <v>5621</v>
      </c>
      <c r="C1506" s="211">
        <v>541402</v>
      </c>
      <c r="D1506" s="151" t="s">
        <v>5622</v>
      </c>
      <c r="E1506" s="211">
        <v>550</v>
      </c>
      <c r="F1506" s="151" t="s">
        <v>1587</v>
      </c>
      <c r="G1506" s="151" t="s">
        <v>1141</v>
      </c>
      <c r="H1506" s="211">
        <v>559.9</v>
      </c>
      <c r="I1506" s="17">
        <f t="shared" si="5"/>
        <v>10180000</v>
      </c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spans="1:24">
      <c r="A1507" s="151" t="s">
        <v>5623</v>
      </c>
      <c r="B1507" s="17" t="s">
        <v>5624</v>
      </c>
      <c r="C1507" s="211">
        <v>500337</v>
      </c>
      <c r="D1507" s="151" t="s">
        <v>5625</v>
      </c>
      <c r="E1507" s="211">
        <v>170</v>
      </c>
      <c r="F1507" s="151" t="s">
        <v>1831</v>
      </c>
      <c r="G1507" s="151" t="s">
        <v>1137</v>
      </c>
      <c r="H1507" s="211">
        <v>559.70000000000005</v>
      </c>
      <c r="I1507" s="17">
        <f t="shared" si="5"/>
        <v>32923529.411764707</v>
      </c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</row>
    <row r="1508" spans="1:24">
      <c r="A1508" s="151" t="s">
        <v>5626</v>
      </c>
      <c r="B1508" s="17" t="s">
        <v>5627</v>
      </c>
      <c r="C1508" s="211">
        <v>543230</v>
      </c>
      <c r="D1508" s="151" t="s">
        <v>5628</v>
      </c>
      <c r="E1508" s="211">
        <v>547</v>
      </c>
      <c r="F1508" s="151" t="s">
        <v>1440</v>
      </c>
      <c r="G1508" s="151" t="s">
        <v>1441</v>
      </c>
      <c r="H1508" s="211">
        <v>557.9</v>
      </c>
      <c r="I1508" s="17">
        <f t="shared" si="5"/>
        <v>10199268.738574041</v>
      </c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</row>
    <row r="1509" spans="1:24">
      <c r="A1509" s="151" t="s">
        <v>5629</v>
      </c>
      <c r="B1509" s="17" t="s">
        <v>5630</v>
      </c>
      <c r="C1509" s="211">
        <v>504220</v>
      </c>
      <c r="D1509" s="151" t="s">
        <v>5631</v>
      </c>
      <c r="E1509" s="211">
        <v>118.5</v>
      </c>
      <c r="F1509" s="151" t="s">
        <v>1587</v>
      </c>
      <c r="G1509" s="151" t="s">
        <v>1141</v>
      </c>
      <c r="H1509" s="211">
        <v>557.1</v>
      </c>
      <c r="I1509" s="17">
        <f t="shared" si="5"/>
        <v>47012658.227848098</v>
      </c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spans="1:24">
      <c r="A1510" s="151" t="s">
        <v>5632</v>
      </c>
      <c r="B1510" s="17" t="s">
        <v>5633</v>
      </c>
      <c r="C1510" s="211">
        <v>532694</v>
      </c>
      <c r="D1510" s="151" t="s">
        <v>5634</v>
      </c>
      <c r="E1510" s="211">
        <v>18.2</v>
      </c>
      <c r="F1510" s="151" t="s">
        <v>2887</v>
      </c>
      <c r="G1510" s="151" t="s">
        <v>1229</v>
      </c>
      <c r="H1510" s="211">
        <v>555.9</v>
      </c>
      <c r="I1510" s="17">
        <f t="shared" si="5"/>
        <v>305439560.43956047</v>
      </c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</row>
    <row r="1511" spans="1:24">
      <c r="A1511" s="151" t="s">
        <v>5635</v>
      </c>
      <c r="B1511" s="17" t="s">
        <v>5636</v>
      </c>
      <c r="C1511" s="17"/>
      <c r="D1511" s="151" t="s">
        <v>5637</v>
      </c>
      <c r="E1511" s="211">
        <v>350</v>
      </c>
      <c r="F1511" s="151" t="s">
        <v>4365</v>
      </c>
      <c r="G1511" s="151" t="s">
        <v>1908</v>
      </c>
      <c r="H1511" s="211">
        <v>555.70000000000005</v>
      </c>
      <c r="I1511" s="17">
        <f t="shared" si="5"/>
        <v>15877142.857142856</v>
      </c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</row>
    <row r="1512" spans="1:24">
      <c r="A1512" s="151" t="s">
        <v>5638</v>
      </c>
      <c r="B1512" s="17" t="s">
        <v>5639</v>
      </c>
      <c r="C1512" s="211">
        <v>526423</v>
      </c>
      <c r="D1512" s="151" t="s">
        <v>5640</v>
      </c>
      <c r="E1512" s="211">
        <v>112</v>
      </c>
      <c r="F1512" s="151" t="s">
        <v>1546</v>
      </c>
      <c r="G1512" s="151" t="s">
        <v>1141</v>
      </c>
      <c r="H1512" s="211">
        <v>555.29999999999995</v>
      </c>
      <c r="I1512" s="17">
        <f t="shared" si="5"/>
        <v>49580357.142857142</v>
      </c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spans="1:24">
      <c r="A1513" s="151" t="s">
        <v>5641</v>
      </c>
      <c r="B1513" s="17" t="s">
        <v>5642</v>
      </c>
      <c r="C1513" s="211">
        <v>541400</v>
      </c>
      <c r="D1513" s="151" t="s">
        <v>5643</v>
      </c>
      <c r="E1513" s="211">
        <v>113.8</v>
      </c>
      <c r="F1513" s="151" t="s">
        <v>694</v>
      </c>
      <c r="G1513" s="151" t="s">
        <v>1224</v>
      </c>
      <c r="H1513" s="211">
        <v>554.70000000000005</v>
      </c>
      <c r="I1513" s="17">
        <f t="shared" si="5"/>
        <v>48743409.490333922</v>
      </c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</row>
    <row r="1514" spans="1:24">
      <c r="A1514" s="151" t="s">
        <v>5644</v>
      </c>
      <c r="B1514" s="17" t="s">
        <v>5645</v>
      </c>
      <c r="C1514" s="211">
        <v>533316</v>
      </c>
      <c r="D1514" s="151" t="s">
        <v>5646</v>
      </c>
      <c r="E1514" s="211">
        <v>298</v>
      </c>
      <c r="F1514" s="151" t="s">
        <v>1233</v>
      </c>
      <c r="G1514" s="151" t="s">
        <v>1234</v>
      </c>
      <c r="H1514" s="211">
        <v>550</v>
      </c>
      <c r="I1514" s="17">
        <f t="shared" si="5"/>
        <v>18456375.838926174</v>
      </c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</row>
    <row r="1515" spans="1:24">
      <c r="A1515" s="151" t="s">
        <v>5647</v>
      </c>
      <c r="B1515" s="17" t="s">
        <v>70</v>
      </c>
      <c r="C1515" s="211">
        <v>532740</v>
      </c>
      <c r="D1515" s="151" t="s">
        <v>5648</v>
      </c>
      <c r="E1515" s="211">
        <v>306.8</v>
      </c>
      <c r="F1515" s="151" t="s">
        <v>1587</v>
      </c>
      <c r="G1515" s="151" t="s">
        <v>1141</v>
      </c>
      <c r="H1515" s="211">
        <v>549.20000000000005</v>
      </c>
      <c r="I1515" s="17">
        <f t="shared" si="5"/>
        <v>17900912.646675359</v>
      </c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spans="1:24">
      <c r="A1516" s="151" t="s">
        <v>5649</v>
      </c>
      <c r="B1516" s="17" t="s">
        <v>5650</v>
      </c>
      <c r="C1516" s="211">
        <v>532305</v>
      </c>
      <c r="D1516" s="151" t="s">
        <v>5651</v>
      </c>
      <c r="E1516" s="211">
        <v>92.2</v>
      </c>
      <c r="F1516" s="151" t="s">
        <v>694</v>
      </c>
      <c r="G1516" s="151" t="s">
        <v>1224</v>
      </c>
      <c r="H1516" s="211">
        <v>544.5</v>
      </c>
      <c r="I1516" s="17">
        <f t="shared" si="5"/>
        <v>59056399.132321037</v>
      </c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</row>
    <row r="1517" spans="1:24">
      <c r="A1517" s="151" t="s">
        <v>5652</v>
      </c>
      <c r="B1517" s="17" t="s">
        <v>5653</v>
      </c>
      <c r="C1517" s="211">
        <v>523606</v>
      </c>
      <c r="D1517" s="151" t="s">
        <v>5654</v>
      </c>
      <c r="E1517" s="211">
        <v>1278</v>
      </c>
      <c r="F1517" s="151" t="s">
        <v>5350</v>
      </c>
      <c r="G1517" s="151" t="s">
        <v>1280</v>
      </c>
      <c r="H1517" s="211">
        <v>541.9</v>
      </c>
      <c r="I1517" s="17">
        <f t="shared" si="5"/>
        <v>4240219.092331768</v>
      </c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</row>
    <row r="1518" spans="1:24">
      <c r="A1518" s="151" t="s">
        <v>5655</v>
      </c>
      <c r="B1518" s="17" t="s">
        <v>5656</v>
      </c>
      <c r="C1518" s="211">
        <v>524500</v>
      </c>
      <c r="D1518" s="151" t="s">
        <v>5657</v>
      </c>
      <c r="E1518" s="211">
        <v>336.6</v>
      </c>
      <c r="F1518" s="151" t="s">
        <v>694</v>
      </c>
      <c r="G1518" s="151" t="s">
        <v>1224</v>
      </c>
      <c r="H1518" s="211">
        <v>541.29999999999995</v>
      </c>
      <c r="I1518" s="17">
        <f t="shared" si="5"/>
        <v>16081402.257872844</v>
      </c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spans="1:24">
      <c r="A1519" s="151" t="s">
        <v>5658</v>
      </c>
      <c r="B1519" s="17" t="s">
        <v>5659</v>
      </c>
      <c r="C1519" s="211">
        <v>500189</v>
      </c>
      <c r="D1519" s="151" t="s">
        <v>5660</v>
      </c>
      <c r="E1519" s="211">
        <v>159.9</v>
      </c>
      <c r="F1519" s="151" t="s">
        <v>1907</v>
      </c>
      <c r="G1519" s="151" t="s">
        <v>1908</v>
      </c>
      <c r="H1519" s="211">
        <v>538.4</v>
      </c>
      <c r="I1519" s="17">
        <f t="shared" si="5"/>
        <v>33671044.402751721</v>
      </c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</row>
    <row r="1520" spans="1:24">
      <c r="A1520" s="151" t="s">
        <v>5661</v>
      </c>
      <c r="B1520" s="17" t="s">
        <v>5662</v>
      </c>
      <c r="C1520" s="211">
        <v>543542</v>
      </c>
      <c r="D1520" s="151" t="s">
        <v>5663</v>
      </c>
      <c r="E1520" s="211">
        <v>1525</v>
      </c>
      <c r="F1520" s="151" t="s">
        <v>1190</v>
      </c>
      <c r="G1520" s="151" t="s">
        <v>1138</v>
      </c>
      <c r="H1520" s="211">
        <v>538.4</v>
      </c>
      <c r="I1520" s="17">
        <f t="shared" si="5"/>
        <v>3530491.8032786883</v>
      </c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</row>
    <row r="1521" spans="1:24">
      <c r="A1521" s="151" t="s">
        <v>5664</v>
      </c>
      <c r="B1521" s="17" t="s">
        <v>5665</v>
      </c>
      <c r="C1521" s="211">
        <v>542628</v>
      </c>
      <c r="D1521" s="151" t="s">
        <v>5666</v>
      </c>
      <c r="E1521" s="211">
        <v>335</v>
      </c>
      <c r="F1521" s="151" t="s">
        <v>1470</v>
      </c>
      <c r="G1521" s="151" t="s">
        <v>1140</v>
      </c>
      <c r="H1521" s="211">
        <v>537.70000000000005</v>
      </c>
      <c r="I1521" s="17">
        <f t="shared" si="5"/>
        <v>16050746.268656716</v>
      </c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spans="1:24">
      <c r="A1522" s="151" t="s">
        <v>5667</v>
      </c>
      <c r="B1522" s="17" t="s">
        <v>5668</v>
      </c>
      <c r="C1522" s="211">
        <v>524342</v>
      </c>
      <c r="D1522" s="151" t="s">
        <v>5669</v>
      </c>
      <c r="E1522" s="211">
        <v>167</v>
      </c>
      <c r="F1522" s="151" t="s">
        <v>1840</v>
      </c>
      <c r="G1522" s="151" t="s">
        <v>1335</v>
      </c>
      <c r="H1522" s="211">
        <v>535.9</v>
      </c>
      <c r="I1522" s="17">
        <f t="shared" si="5"/>
        <v>32089820.359281436</v>
      </c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</row>
    <row r="1523" spans="1:24">
      <c r="A1523" s="151" t="s">
        <v>5670</v>
      </c>
      <c r="B1523" s="17" t="s">
        <v>5671</v>
      </c>
      <c r="C1523" s="211">
        <v>543531</v>
      </c>
      <c r="D1523" s="151" t="s">
        <v>5672</v>
      </c>
      <c r="E1523" s="211">
        <v>95.8</v>
      </c>
      <c r="F1523" s="151" t="s">
        <v>2563</v>
      </c>
      <c r="G1523" s="151" t="s">
        <v>1140</v>
      </c>
      <c r="H1523" s="211">
        <v>535.79999999999995</v>
      </c>
      <c r="I1523" s="17">
        <f t="shared" si="5"/>
        <v>55929018.789144054</v>
      </c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</row>
    <row r="1524" spans="1:24">
      <c r="A1524" s="151" t="s">
        <v>5673</v>
      </c>
      <c r="B1524" s="17" t="s">
        <v>5674</v>
      </c>
      <c r="C1524" s="211">
        <v>512519</v>
      </c>
      <c r="D1524" s="151" t="s">
        <v>5675</v>
      </c>
      <c r="E1524" s="211">
        <v>103</v>
      </c>
      <c r="F1524" s="151" t="s">
        <v>1854</v>
      </c>
      <c r="G1524" s="151" t="s">
        <v>1216</v>
      </c>
      <c r="H1524" s="211">
        <v>535.6</v>
      </c>
      <c r="I1524" s="17">
        <f t="shared" si="5"/>
        <v>52000000</v>
      </c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spans="1:24">
      <c r="A1525" s="151" t="s">
        <v>5676</v>
      </c>
      <c r="B1525" s="17" t="s">
        <v>5677</v>
      </c>
      <c r="C1525" s="211">
        <v>530431</v>
      </c>
      <c r="D1525" s="151" t="s">
        <v>5678</v>
      </c>
      <c r="E1525" s="211">
        <v>152.80000000000001</v>
      </c>
      <c r="F1525" s="151" t="s">
        <v>1577</v>
      </c>
      <c r="G1525" s="151" t="s">
        <v>1141</v>
      </c>
      <c r="H1525" s="211">
        <v>535</v>
      </c>
      <c r="I1525" s="17">
        <f t="shared" si="5"/>
        <v>35013089.005235597</v>
      </c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</row>
    <row r="1526" spans="1:24">
      <c r="A1526" s="151" t="s">
        <v>5679</v>
      </c>
      <c r="B1526" s="17" t="s">
        <v>5680</v>
      </c>
      <c r="C1526" s="211">
        <v>543327</v>
      </c>
      <c r="D1526" s="151" t="s">
        <v>5681</v>
      </c>
      <c r="E1526" s="211">
        <v>119.4</v>
      </c>
      <c r="F1526" s="151" t="s">
        <v>1220</v>
      </c>
      <c r="G1526" s="151" t="s">
        <v>1139</v>
      </c>
      <c r="H1526" s="211">
        <v>534</v>
      </c>
      <c r="I1526" s="17">
        <f t="shared" si="5"/>
        <v>44723618.090452261</v>
      </c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</row>
    <row r="1527" spans="1:24">
      <c r="A1527" s="151" t="s">
        <v>5682</v>
      </c>
      <c r="B1527" s="17" t="s">
        <v>5683</v>
      </c>
      <c r="C1527" s="211">
        <v>507836</v>
      </c>
      <c r="D1527" s="151" t="s">
        <v>5684</v>
      </c>
      <c r="E1527" s="211">
        <v>406</v>
      </c>
      <c r="F1527" s="151" t="s">
        <v>1532</v>
      </c>
      <c r="G1527" s="151" t="s">
        <v>1533</v>
      </c>
      <c r="H1527" s="211">
        <v>531.9</v>
      </c>
      <c r="I1527" s="17">
        <f t="shared" si="5"/>
        <v>13100985.221674876</v>
      </c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spans="1:24">
      <c r="A1528" s="151" t="s">
        <v>5685</v>
      </c>
      <c r="B1528" s="17" t="s">
        <v>5686</v>
      </c>
      <c r="C1528" s="211">
        <v>523229</v>
      </c>
      <c r="D1528" s="151" t="s">
        <v>5687</v>
      </c>
      <c r="E1528" s="211">
        <v>168.9</v>
      </c>
      <c r="F1528" s="151" t="s">
        <v>1507</v>
      </c>
      <c r="G1528" s="151" t="s">
        <v>1211</v>
      </c>
      <c r="H1528" s="211">
        <v>530.29999999999995</v>
      </c>
      <c r="I1528" s="17">
        <f t="shared" si="5"/>
        <v>31397276.494967435</v>
      </c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</row>
    <row r="1529" spans="1:24">
      <c r="A1529" s="151" t="s">
        <v>5688</v>
      </c>
      <c r="B1529" s="17" t="s">
        <v>5689</v>
      </c>
      <c r="C1529" s="211">
        <v>540125</v>
      </c>
      <c r="D1529" s="151" t="s">
        <v>5690</v>
      </c>
      <c r="E1529" s="211">
        <v>44.8</v>
      </c>
      <c r="F1529" s="151" t="s">
        <v>1215</v>
      </c>
      <c r="G1529" s="151" t="s">
        <v>1216</v>
      </c>
      <c r="H1529" s="211">
        <v>529.20000000000005</v>
      </c>
      <c r="I1529" s="17">
        <f t="shared" si="5"/>
        <v>118125000.00000001</v>
      </c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</row>
    <row r="1530" spans="1:24">
      <c r="A1530" s="151" t="s">
        <v>5691</v>
      </c>
      <c r="B1530" s="17" t="s">
        <v>5692</v>
      </c>
      <c r="C1530" s="17"/>
      <c r="D1530" s="151" t="s">
        <v>5693</v>
      </c>
      <c r="E1530" s="211">
        <v>164</v>
      </c>
      <c r="F1530" s="151" t="s">
        <v>5610</v>
      </c>
      <c r="G1530" s="151" t="s">
        <v>4219</v>
      </c>
      <c r="H1530" s="211">
        <v>527.6</v>
      </c>
      <c r="I1530" s="17">
        <f t="shared" si="5"/>
        <v>32170731.707317073</v>
      </c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spans="1:24">
      <c r="A1531" s="151" t="s">
        <v>5694</v>
      </c>
      <c r="B1531" s="17" t="s">
        <v>5695</v>
      </c>
      <c r="C1531" s="211">
        <v>504058</v>
      </c>
      <c r="D1531" s="151" t="s">
        <v>5696</v>
      </c>
      <c r="E1531" s="211">
        <v>703.2</v>
      </c>
      <c r="F1531" s="151" t="s">
        <v>3785</v>
      </c>
      <c r="G1531" s="151" t="s">
        <v>1173</v>
      </c>
      <c r="H1531" s="211">
        <v>527.4</v>
      </c>
      <c r="I1531" s="17">
        <f t="shared" si="5"/>
        <v>7499999.9999999991</v>
      </c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</row>
    <row r="1532" spans="1:24">
      <c r="A1532" s="151" t="s">
        <v>5697</v>
      </c>
      <c r="B1532" s="17" t="s">
        <v>5698</v>
      </c>
      <c r="C1532" s="211">
        <v>530499</v>
      </c>
      <c r="D1532" s="151" t="s">
        <v>5699</v>
      </c>
      <c r="E1532" s="211">
        <v>799</v>
      </c>
      <c r="F1532" s="151" t="s">
        <v>1194</v>
      </c>
      <c r="G1532" s="151" t="s">
        <v>1137</v>
      </c>
      <c r="H1532" s="211">
        <v>527.29999999999995</v>
      </c>
      <c r="I1532" s="17">
        <f t="shared" ref="I1532:I1593" si="6">H1532*10000000/E1532</f>
        <v>6599499.3742177719</v>
      </c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</row>
    <row r="1533" spans="1:24">
      <c r="A1533" s="151" t="s">
        <v>5700</v>
      </c>
      <c r="B1533" s="17" t="s">
        <v>5701</v>
      </c>
      <c r="C1533" s="211">
        <v>533218</v>
      </c>
      <c r="D1533" s="151" t="s">
        <v>5702</v>
      </c>
      <c r="E1533" s="211">
        <v>139.30000000000001</v>
      </c>
      <c r="F1533" s="151" t="s">
        <v>1307</v>
      </c>
      <c r="G1533" s="151" t="s">
        <v>1307</v>
      </c>
      <c r="H1533" s="211">
        <v>527.20000000000005</v>
      </c>
      <c r="I1533" s="17">
        <f t="shared" si="6"/>
        <v>37846374.730796836</v>
      </c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spans="1:24">
      <c r="A1534" s="151" t="s">
        <v>5703</v>
      </c>
      <c r="B1534" s="17" t="s">
        <v>5704</v>
      </c>
      <c r="C1534" s="211">
        <v>540366</v>
      </c>
      <c r="D1534" s="151" t="s">
        <v>5705</v>
      </c>
      <c r="E1534" s="211">
        <v>15.2</v>
      </c>
      <c r="F1534" s="151" t="s">
        <v>1907</v>
      </c>
      <c r="G1534" s="151" t="s">
        <v>1908</v>
      </c>
      <c r="H1534" s="211">
        <v>527.20000000000005</v>
      </c>
      <c r="I1534" s="17">
        <f t="shared" si="6"/>
        <v>346842105.2631579</v>
      </c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</row>
    <row r="1535" spans="1:24">
      <c r="A1535" s="151" t="s">
        <v>5706</v>
      </c>
      <c r="B1535" s="17" t="s">
        <v>5707</v>
      </c>
      <c r="C1535" s="211">
        <v>532067</v>
      </c>
      <c r="D1535" s="151" t="s">
        <v>5708</v>
      </c>
      <c r="E1535" s="211">
        <v>698</v>
      </c>
      <c r="F1535" s="151" t="s">
        <v>1552</v>
      </c>
      <c r="G1535" s="151" t="s">
        <v>1335</v>
      </c>
      <c r="H1535" s="211">
        <v>524.1</v>
      </c>
      <c r="I1535" s="17">
        <f t="shared" si="6"/>
        <v>7508595.9885386815</v>
      </c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</row>
    <row r="1536" spans="1:24">
      <c r="A1536" s="151" t="s">
        <v>5709</v>
      </c>
      <c r="B1536" s="17" t="s">
        <v>5710</v>
      </c>
      <c r="C1536" s="211">
        <v>543363</v>
      </c>
      <c r="D1536" s="151" t="s">
        <v>5711</v>
      </c>
      <c r="E1536" s="211">
        <v>436</v>
      </c>
      <c r="F1536" s="151" t="s">
        <v>5712</v>
      </c>
      <c r="G1536" s="151" t="s">
        <v>2191</v>
      </c>
      <c r="H1536" s="211">
        <v>523.4</v>
      </c>
      <c r="I1536" s="17">
        <f t="shared" si="6"/>
        <v>12004587.155963304</v>
      </c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spans="1:24">
      <c r="A1537" s="151" t="s">
        <v>5713</v>
      </c>
      <c r="B1537" s="17" t="s">
        <v>634</v>
      </c>
      <c r="C1537" s="211">
        <v>523792</v>
      </c>
      <c r="D1537" s="151" t="s">
        <v>5714</v>
      </c>
      <c r="E1537" s="211">
        <v>1305.9000000000001</v>
      </c>
      <c r="F1537" s="151" t="s">
        <v>1587</v>
      </c>
      <c r="G1537" s="151" t="s">
        <v>1141</v>
      </c>
      <c r="H1537" s="211">
        <v>523</v>
      </c>
      <c r="I1537" s="17">
        <f t="shared" si="6"/>
        <v>4004900.8346734052</v>
      </c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</row>
    <row r="1538" spans="1:24">
      <c r="A1538" s="151" t="s">
        <v>5715</v>
      </c>
      <c r="B1538" s="17" t="s">
        <v>5716</v>
      </c>
      <c r="C1538" s="211">
        <v>526953</v>
      </c>
      <c r="D1538" s="151" t="s">
        <v>5717</v>
      </c>
      <c r="E1538" s="211">
        <v>390.8</v>
      </c>
      <c r="F1538" s="151" t="s">
        <v>694</v>
      </c>
      <c r="G1538" s="151" t="s">
        <v>1224</v>
      </c>
      <c r="H1538" s="211">
        <v>522.4</v>
      </c>
      <c r="I1538" s="17">
        <f t="shared" si="6"/>
        <v>13367451.381780962</v>
      </c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</row>
    <row r="1539" spans="1:24">
      <c r="A1539" s="151" t="s">
        <v>5718</v>
      </c>
      <c r="B1539" s="17" t="s">
        <v>5719</v>
      </c>
      <c r="C1539" s="211">
        <v>541269</v>
      </c>
      <c r="D1539" s="151" t="s">
        <v>5720</v>
      </c>
      <c r="E1539" s="211">
        <v>366.6</v>
      </c>
      <c r="F1539" s="151" t="s">
        <v>1840</v>
      </c>
      <c r="G1539" s="151" t="s">
        <v>1335</v>
      </c>
      <c r="H1539" s="211">
        <v>521.5</v>
      </c>
      <c r="I1539" s="17">
        <f t="shared" si="6"/>
        <v>14225313.6933988</v>
      </c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spans="1:24">
      <c r="A1540" s="151" t="s">
        <v>5721</v>
      </c>
      <c r="B1540" s="17" t="s">
        <v>5722</v>
      </c>
      <c r="C1540" s="211">
        <v>519421</v>
      </c>
      <c r="D1540" s="151" t="s">
        <v>5723</v>
      </c>
      <c r="E1540" s="211">
        <v>1628</v>
      </c>
      <c r="F1540" s="151" t="s">
        <v>2576</v>
      </c>
      <c r="G1540" s="151" t="s">
        <v>1140</v>
      </c>
      <c r="H1540" s="211">
        <v>521</v>
      </c>
      <c r="I1540" s="17">
        <f t="shared" si="6"/>
        <v>3200245.7002457003</v>
      </c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</row>
    <row r="1541" spans="1:24">
      <c r="A1541" s="151" t="s">
        <v>5724</v>
      </c>
      <c r="B1541" s="17" t="s">
        <v>5725</v>
      </c>
      <c r="C1541" s="17"/>
      <c r="D1541" s="151" t="s">
        <v>5726</v>
      </c>
      <c r="E1541" s="211">
        <v>257</v>
      </c>
      <c r="F1541" s="151" t="s">
        <v>1161</v>
      </c>
      <c r="G1541" s="151" t="s">
        <v>1143</v>
      </c>
      <c r="H1541" s="211">
        <v>519</v>
      </c>
      <c r="I1541" s="17">
        <f t="shared" si="6"/>
        <v>20194552.529182881</v>
      </c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</row>
    <row r="1542" spans="1:24">
      <c r="A1542" s="151" t="s">
        <v>5727</v>
      </c>
      <c r="B1542" s="17" t="s">
        <v>5728</v>
      </c>
      <c r="C1542" s="17"/>
      <c r="D1542" s="151" t="s">
        <v>5729</v>
      </c>
      <c r="E1542" s="211">
        <v>122.6</v>
      </c>
      <c r="F1542" s="151" t="s">
        <v>1373</v>
      </c>
      <c r="G1542" s="151" t="s">
        <v>1143</v>
      </c>
      <c r="H1542" s="211">
        <v>517.79999999999995</v>
      </c>
      <c r="I1542" s="17">
        <f t="shared" si="6"/>
        <v>42234910.277324632</v>
      </c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spans="1:24">
      <c r="A1543" s="151" t="s">
        <v>5730</v>
      </c>
      <c r="B1543" s="17" t="s">
        <v>5731</v>
      </c>
      <c r="C1543" s="211">
        <v>539917</v>
      </c>
      <c r="D1543" s="151" t="s">
        <v>5732</v>
      </c>
      <c r="E1543" s="211">
        <v>8.6</v>
      </c>
      <c r="F1543" s="151" t="s">
        <v>1650</v>
      </c>
      <c r="G1543" s="151" t="s">
        <v>1650</v>
      </c>
      <c r="H1543" s="211">
        <v>517.29999999999995</v>
      </c>
      <c r="I1543" s="17">
        <f t="shared" si="6"/>
        <v>601511627.90697682</v>
      </c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</row>
    <row r="1544" spans="1:24">
      <c r="A1544" s="151" t="s">
        <v>5733</v>
      </c>
      <c r="B1544" s="17" t="s">
        <v>5734</v>
      </c>
      <c r="C1544" s="211">
        <v>539289</v>
      </c>
      <c r="D1544" s="151" t="s">
        <v>5735</v>
      </c>
      <c r="E1544" s="211">
        <v>131.19999999999999</v>
      </c>
      <c r="F1544" s="151" t="s">
        <v>1161</v>
      </c>
      <c r="G1544" s="151" t="s">
        <v>1143</v>
      </c>
      <c r="H1544" s="211">
        <v>516.5</v>
      </c>
      <c r="I1544" s="17">
        <f t="shared" si="6"/>
        <v>39367378.048780493</v>
      </c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</row>
    <row r="1545" spans="1:24">
      <c r="A1545" s="151" t="s">
        <v>5736</v>
      </c>
      <c r="B1545" s="17" t="s">
        <v>5737</v>
      </c>
      <c r="C1545" s="17"/>
      <c r="D1545" s="151" t="s">
        <v>5738</v>
      </c>
      <c r="E1545" s="211">
        <v>203</v>
      </c>
      <c r="F1545" s="151" t="s">
        <v>1348</v>
      </c>
      <c r="G1545" s="151" t="s">
        <v>1142</v>
      </c>
      <c r="H1545" s="211">
        <v>515.70000000000005</v>
      </c>
      <c r="I1545" s="17">
        <f t="shared" si="6"/>
        <v>25403940.886699509</v>
      </c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spans="1:24">
      <c r="A1546" s="151" t="s">
        <v>5739</v>
      </c>
      <c r="B1546" s="17" t="s">
        <v>5740</v>
      </c>
      <c r="C1546" s="211">
        <v>504176</v>
      </c>
      <c r="D1546" s="151" t="s">
        <v>5741</v>
      </c>
      <c r="E1546" s="211">
        <v>575</v>
      </c>
      <c r="F1546" s="151" t="s">
        <v>3785</v>
      </c>
      <c r="G1546" s="151" t="s">
        <v>1173</v>
      </c>
      <c r="H1546" s="211">
        <v>515.4</v>
      </c>
      <c r="I1546" s="17">
        <f t="shared" si="6"/>
        <v>8963478.2608695645</v>
      </c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</row>
    <row r="1547" spans="1:24">
      <c r="A1547" s="151" t="s">
        <v>5742</v>
      </c>
      <c r="B1547" s="17" t="s">
        <v>5743</v>
      </c>
      <c r="C1547" s="211">
        <v>538920</v>
      </c>
      <c r="D1547" s="151" t="s">
        <v>5744</v>
      </c>
      <c r="E1547" s="211">
        <v>49</v>
      </c>
      <c r="F1547" s="151" t="s">
        <v>1228</v>
      </c>
      <c r="G1547" s="151" t="s">
        <v>1229</v>
      </c>
      <c r="H1547" s="211">
        <v>513</v>
      </c>
      <c r="I1547" s="17">
        <f t="shared" si="6"/>
        <v>104693877.55102041</v>
      </c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</row>
    <row r="1548" spans="1:24">
      <c r="A1548" s="151" t="s">
        <v>5745</v>
      </c>
      <c r="B1548" s="17" t="s">
        <v>5746</v>
      </c>
      <c r="C1548" s="211">
        <v>532666</v>
      </c>
      <c r="D1548" s="151" t="s">
        <v>5747</v>
      </c>
      <c r="E1548" s="211">
        <v>3</v>
      </c>
      <c r="F1548" s="151" t="s">
        <v>1161</v>
      </c>
      <c r="G1548" s="151" t="s">
        <v>1143</v>
      </c>
      <c r="H1548" s="211">
        <v>512.9</v>
      </c>
      <c r="I1548" s="17">
        <f t="shared" si="6"/>
        <v>1709666666.6666667</v>
      </c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spans="1:24">
      <c r="A1549" s="151" t="s">
        <v>5748</v>
      </c>
      <c r="B1549" s="17" t="s">
        <v>5749</v>
      </c>
      <c r="C1549" s="211">
        <v>541701</v>
      </c>
      <c r="D1549" s="151" t="s">
        <v>5750</v>
      </c>
      <c r="E1549" s="211">
        <v>445</v>
      </c>
      <c r="F1549" s="151" t="s">
        <v>1675</v>
      </c>
      <c r="G1549" s="151" t="s">
        <v>1142</v>
      </c>
      <c r="H1549" s="211">
        <v>512.9</v>
      </c>
      <c r="I1549" s="17">
        <f t="shared" si="6"/>
        <v>11525842.696629213</v>
      </c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spans="1:24">
      <c r="A1550" s="151" t="s">
        <v>5751</v>
      </c>
      <c r="B1550" s="17" t="s">
        <v>5752</v>
      </c>
      <c r="C1550" s="211">
        <v>500120</v>
      </c>
      <c r="D1550" s="151" t="s">
        <v>5753</v>
      </c>
      <c r="E1550" s="211">
        <v>524</v>
      </c>
      <c r="F1550" s="151" t="s">
        <v>1334</v>
      </c>
      <c r="G1550" s="151" t="s">
        <v>1335</v>
      </c>
      <c r="H1550" s="211">
        <v>512.6</v>
      </c>
      <c r="I1550" s="17">
        <f t="shared" si="6"/>
        <v>9782442.7480916027</v>
      </c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</row>
    <row r="1551" spans="1:24">
      <c r="A1551" s="151" t="s">
        <v>5754</v>
      </c>
      <c r="B1551" s="17" t="s">
        <v>5755</v>
      </c>
      <c r="C1551" s="211">
        <v>532760</v>
      </c>
      <c r="D1551" s="151" t="s">
        <v>5756</v>
      </c>
      <c r="E1551" s="211">
        <v>160</v>
      </c>
      <c r="F1551" s="151" t="s">
        <v>4239</v>
      </c>
      <c r="G1551" s="151" t="s">
        <v>1158</v>
      </c>
      <c r="H1551" s="211">
        <v>512</v>
      </c>
      <c r="I1551" s="17">
        <f t="shared" si="6"/>
        <v>32000000</v>
      </c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spans="1:24">
      <c r="A1552" s="151" t="s">
        <v>5757</v>
      </c>
      <c r="B1552" s="17" t="s">
        <v>5758</v>
      </c>
      <c r="C1552" s="211">
        <v>509567</v>
      </c>
      <c r="D1552" s="151" t="s">
        <v>5759</v>
      </c>
      <c r="E1552" s="211">
        <v>556.6</v>
      </c>
      <c r="F1552" s="151" t="s">
        <v>1157</v>
      </c>
      <c r="G1552" s="151" t="s">
        <v>1158</v>
      </c>
      <c r="H1552" s="211">
        <v>509.4</v>
      </c>
      <c r="I1552" s="17">
        <f t="shared" si="6"/>
        <v>9151994.2508084793</v>
      </c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</row>
    <row r="1553" spans="1:24">
      <c r="A1553" s="151" t="s">
        <v>5760</v>
      </c>
      <c r="B1553" s="17" t="s">
        <v>5761</v>
      </c>
      <c r="C1553" s="211">
        <v>500306</v>
      </c>
      <c r="D1553" s="151" t="s">
        <v>5762</v>
      </c>
      <c r="E1553" s="211">
        <v>87</v>
      </c>
      <c r="F1553" s="151" t="s">
        <v>1194</v>
      </c>
      <c r="G1553" s="151" t="s">
        <v>1137</v>
      </c>
      <c r="H1553" s="211">
        <v>508.6</v>
      </c>
      <c r="I1553" s="17">
        <f t="shared" si="6"/>
        <v>58459770.114942528</v>
      </c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</row>
    <row r="1554" spans="1:24">
      <c r="A1554" s="151" t="s">
        <v>5763</v>
      </c>
      <c r="B1554" s="17" t="s">
        <v>5764</v>
      </c>
      <c r="C1554" s="211">
        <v>532173</v>
      </c>
      <c r="D1554" s="151" t="s">
        <v>5765</v>
      </c>
      <c r="E1554" s="211">
        <v>178.2</v>
      </c>
      <c r="F1554" s="151" t="s">
        <v>1161</v>
      </c>
      <c r="G1554" s="151" t="s">
        <v>1143</v>
      </c>
      <c r="H1554" s="211">
        <v>507.4</v>
      </c>
      <c r="I1554" s="17">
        <f t="shared" si="6"/>
        <v>28473625.14029181</v>
      </c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spans="1:24">
      <c r="A1555" s="151" t="s">
        <v>5766</v>
      </c>
      <c r="B1555" s="17" t="s">
        <v>5767</v>
      </c>
      <c r="C1555" s="17"/>
      <c r="D1555" s="151" t="s">
        <v>5768</v>
      </c>
      <c r="E1555" s="211">
        <v>241.4</v>
      </c>
      <c r="F1555" s="151" t="s">
        <v>1228</v>
      </c>
      <c r="G1555" s="151" t="s">
        <v>1229</v>
      </c>
      <c r="H1555" s="211">
        <v>506.3</v>
      </c>
      <c r="I1555" s="17">
        <f t="shared" si="6"/>
        <v>20973487.986743994</v>
      </c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</row>
    <row r="1556" spans="1:24">
      <c r="A1556" s="151" t="s">
        <v>5769</v>
      </c>
      <c r="B1556" s="17" t="s">
        <v>5770</v>
      </c>
      <c r="C1556" s="211">
        <v>500780</v>
      </c>
      <c r="D1556" s="151" t="s">
        <v>5771</v>
      </c>
      <c r="E1556" s="211">
        <v>169.7</v>
      </c>
      <c r="F1556" s="151" t="s">
        <v>2449</v>
      </c>
      <c r="G1556" s="151" t="s">
        <v>1140</v>
      </c>
      <c r="H1556" s="211">
        <v>505.4</v>
      </c>
      <c r="I1556" s="17">
        <f t="shared" si="6"/>
        <v>29781968.179139659</v>
      </c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</row>
    <row r="1557" spans="1:24">
      <c r="A1557" s="151" t="s">
        <v>5772</v>
      </c>
      <c r="B1557" s="17" t="s">
        <v>5773</v>
      </c>
      <c r="C1557" s="211">
        <v>504959</v>
      </c>
      <c r="D1557" s="151" t="s">
        <v>5774</v>
      </c>
      <c r="E1557" s="211">
        <v>2419</v>
      </c>
      <c r="F1557" s="151" t="s">
        <v>1587</v>
      </c>
      <c r="G1557" s="151" t="s">
        <v>1141</v>
      </c>
      <c r="H1557" s="211">
        <v>505.1</v>
      </c>
      <c r="I1557" s="17">
        <f t="shared" si="6"/>
        <v>2088052.9144274495</v>
      </c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spans="1:24">
      <c r="A1558" s="151" t="s">
        <v>5775</v>
      </c>
      <c r="B1558" s="17" t="s">
        <v>5776</v>
      </c>
      <c r="C1558" s="211">
        <v>532952</v>
      </c>
      <c r="D1558" s="151" t="s">
        <v>5777</v>
      </c>
      <c r="E1558" s="211">
        <v>301.2</v>
      </c>
      <c r="F1558" s="151" t="s">
        <v>2059</v>
      </c>
      <c r="G1558" s="151" t="s">
        <v>2060</v>
      </c>
      <c r="H1558" s="211">
        <v>504.5</v>
      </c>
      <c r="I1558" s="17">
        <f t="shared" si="6"/>
        <v>16749667.994687915</v>
      </c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</row>
    <row r="1559" spans="1:24">
      <c r="A1559" s="151" t="s">
        <v>5778</v>
      </c>
      <c r="B1559" s="17" t="s">
        <v>5779</v>
      </c>
      <c r="C1559" s="211">
        <v>503722</v>
      </c>
      <c r="D1559" s="151" t="s">
        <v>5780</v>
      </c>
      <c r="E1559" s="211">
        <v>147.4</v>
      </c>
      <c r="F1559" s="151" t="s">
        <v>1854</v>
      </c>
      <c r="G1559" s="151" t="s">
        <v>1216</v>
      </c>
      <c r="H1559" s="211">
        <v>504.4</v>
      </c>
      <c r="I1559" s="17">
        <f t="shared" si="6"/>
        <v>34219810.040705562</v>
      </c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</row>
    <row r="1560" spans="1:24">
      <c r="A1560" s="151" t="s">
        <v>5781</v>
      </c>
      <c r="B1560" s="17" t="s">
        <v>5782</v>
      </c>
      <c r="C1560" s="211">
        <v>538961</v>
      </c>
      <c r="D1560" s="151" t="s">
        <v>5783</v>
      </c>
      <c r="E1560" s="211">
        <v>19.600000000000001</v>
      </c>
      <c r="F1560" s="151" t="s">
        <v>2222</v>
      </c>
      <c r="G1560" s="151" t="s">
        <v>1229</v>
      </c>
      <c r="H1560" s="211">
        <v>504</v>
      </c>
      <c r="I1560" s="17">
        <f t="shared" si="6"/>
        <v>257142857.14285713</v>
      </c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spans="1:24">
      <c r="A1561" s="151" t="s">
        <v>5784</v>
      </c>
      <c r="B1561" s="17" t="s">
        <v>5785</v>
      </c>
      <c r="C1561" s="211">
        <v>532626</v>
      </c>
      <c r="D1561" s="151" t="s">
        <v>5786</v>
      </c>
      <c r="E1561" s="211">
        <v>433</v>
      </c>
      <c r="F1561" s="151" t="s">
        <v>2755</v>
      </c>
      <c r="G1561" s="151" t="s">
        <v>1142</v>
      </c>
      <c r="H1561" s="211">
        <v>503.4</v>
      </c>
      <c r="I1561" s="17">
        <f t="shared" si="6"/>
        <v>11625866.050808314</v>
      </c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</row>
    <row r="1562" spans="1:24">
      <c r="A1562" s="151" t="s">
        <v>5787</v>
      </c>
      <c r="B1562" s="17" t="s">
        <v>5788</v>
      </c>
      <c r="C1562" s="211">
        <v>539337</v>
      </c>
      <c r="D1562" s="151" t="s">
        <v>5789</v>
      </c>
      <c r="E1562" s="211">
        <v>467.5</v>
      </c>
      <c r="F1562" s="151" t="s">
        <v>1190</v>
      </c>
      <c r="G1562" s="151" t="s">
        <v>1138</v>
      </c>
      <c r="H1562" s="211">
        <v>503.4</v>
      </c>
      <c r="I1562" s="17">
        <f t="shared" si="6"/>
        <v>10767914.438502673</v>
      </c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</row>
    <row r="1563" spans="1:24">
      <c r="A1563" s="151" t="s">
        <v>5790</v>
      </c>
      <c r="B1563" s="17" t="s">
        <v>223</v>
      </c>
      <c r="C1563" s="211">
        <v>512626</v>
      </c>
      <c r="D1563" s="151" t="s">
        <v>5791</v>
      </c>
      <c r="E1563" s="211">
        <v>186</v>
      </c>
      <c r="F1563" s="151" t="s">
        <v>1854</v>
      </c>
      <c r="G1563" s="151" t="s">
        <v>1216</v>
      </c>
      <c r="H1563" s="211">
        <v>502.6</v>
      </c>
      <c r="I1563" s="17">
        <f t="shared" si="6"/>
        <v>27021505.376344085</v>
      </c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spans="1:24">
      <c r="A1564" s="151" t="s">
        <v>5792</v>
      </c>
      <c r="B1564" s="17" t="s">
        <v>5793</v>
      </c>
      <c r="C1564" s="211">
        <v>523269</v>
      </c>
      <c r="D1564" s="151" t="s">
        <v>5794</v>
      </c>
      <c r="E1564" s="211">
        <v>108.5</v>
      </c>
      <c r="F1564" s="151" t="s">
        <v>1532</v>
      </c>
      <c r="G1564" s="151" t="s">
        <v>1533</v>
      </c>
      <c r="H1564" s="211">
        <v>501.5</v>
      </c>
      <c r="I1564" s="17">
        <f t="shared" si="6"/>
        <v>46221198.156682029</v>
      </c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</row>
    <row r="1565" spans="1:24">
      <c r="A1565" s="151" t="s">
        <v>5795</v>
      </c>
      <c r="B1565" s="17" t="s">
        <v>5796</v>
      </c>
      <c r="C1565" s="211">
        <v>526668</v>
      </c>
      <c r="D1565" s="151" t="s">
        <v>5797</v>
      </c>
      <c r="E1565" s="211">
        <v>203.2</v>
      </c>
      <c r="F1565" s="151" t="s">
        <v>1532</v>
      </c>
      <c r="G1565" s="151" t="s">
        <v>1533</v>
      </c>
      <c r="H1565" s="211">
        <v>500.8</v>
      </c>
      <c r="I1565" s="17">
        <f t="shared" si="6"/>
        <v>24645669.291338585</v>
      </c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</row>
    <row r="1566" spans="1:24">
      <c r="A1566" s="151" t="s">
        <v>5798</v>
      </c>
      <c r="B1566" s="17" t="s">
        <v>5799</v>
      </c>
      <c r="C1566" s="211">
        <v>526433</v>
      </c>
      <c r="D1566" s="151" t="s">
        <v>5800</v>
      </c>
      <c r="E1566" s="211">
        <v>452.8</v>
      </c>
      <c r="F1566" s="151" t="s">
        <v>1161</v>
      </c>
      <c r="G1566" s="151" t="s">
        <v>1143</v>
      </c>
      <c r="H1566" s="211">
        <v>498.1</v>
      </c>
      <c r="I1566" s="17">
        <f t="shared" si="6"/>
        <v>11000441.696113074</v>
      </c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spans="1:24">
      <c r="A1567" s="151" t="s">
        <v>5801</v>
      </c>
      <c r="B1567" s="17" t="s">
        <v>5802</v>
      </c>
      <c r="C1567" s="211">
        <v>513121</v>
      </c>
      <c r="D1567" s="151" t="s">
        <v>5803</v>
      </c>
      <c r="E1567" s="211">
        <v>31.6</v>
      </c>
      <c r="F1567" s="151" t="s">
        <v>2950</v>
      </c>
      <c r="G1567" s="151" t="s">
        <v>1229</v>
      </c>
      <c r="H1567" s="211">
        <v>497.1</v>
      </c>
      <c r="I1567" s="17">
        <f t="shared" si="6"/>
        <v>157310126.58227846</v>
      </c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</row>
    <row r="1568" spans="1:24">
      <c r="A1568" s="151" t="s">
        <v>5804</v>
      </c>
      <c r="B1568" s="17" t="s">
        <v>5805</v>
      </c>
      <c r="C1568" s="211">
        <v>531959</v>
      </c>
      <c r="D1568" s="151" t="s">
        <v>5806</v>
      </c>
      <c r="E1568" s="211">
        <v>29.2</v>
      </c>
      <c r="F1568" s="151" t="s">
        <v>1190</v>
      </c>
      <c r="G1568" s="151" t="s">
        <v>1138</v>
      </c>
      <c r="H1568" s="211">
        <v>496.9</v>
      </c>
      <c r="I1568" s="17">
        <f t="shared" si="6"/>
        <v>170171232.87671232</v>
      </c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</row>
    <row r="1569" spans="1:24">
      <c r="A1569" s="151" t="s">
        <v>5807</v>
      </c>
      <c r="B1569" s="17" t="s">
        <v>5808</v>
      </c>
      <c r="C1569" s="211">
        <v>543210</v>
      </c>
      <c r="D1569" s="151" t="s">
        <v>5809</v>
      </c>
      <c r="E1569" s="211">
        <v>621.79999999999995</v>
      </c>
      <c r="F1569" s="151" t="s">
        <v>1334</v>
      </c>
      <c r="G1569" s="151" t="s">
        <v>1335</v>
      </c>
      <c r="H1569" s="211">
        <v>493.8</v>
      </c>
      <c r="I1569" s="17">
        <f t="shared" si="6"/>
        <v>7941460.2766162762</v>
      </c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spans="1:24">
      <c r="A1570" s="151" t="s">
        <v>5810</v>
      </c>
      <c r="B1570" s="17" t="s">
        <v>165</v>
      </c>
      <c r="C1570" s="211">
        <v>534675</v>
      </c>
      <c r="D1570" s="151" t="s">
        <v>5811</v>
      </c>
      <c r="E1570" s="211">
        <v>32.200000000000003</v>
      </c>
      <c r="F1570" s="151" t="s">
        <v>1307</v>
      </c>
      <c r="G1570" s="151" t="s">
        <v>1307</v>
      </c>
      <c r="H1570" s="211">
        <v>490.6</v>
      </c>
      <c r="I1570" s="17">
        <f t="shared" si="6"/>
        <v>152360248.44720495</v>
      </c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</row>
    <row r="1571" spans="1:24">
      <c r="A1571" s="151" t="s">
        <v>5812</v>
      </c>
      <c r="B1571" s="17" t="s">
        <v>5813</v>
      </c>
      <c r="C1571" s="211">
        <v>522014</v>
      </c>
      <c r="D1571" s="151" t="s">
        <v>5814</v>
      </c>
      <c r="E1571" s="211">
        <v>241</v>
      </c>
      <c r="F1571" s="151" t="s">
        <v>1783</v>
      </c>
      <c r="G1571" s="151" t="s">
        <v>1141</v>
      </c>
      <c r="H1571" s="211">
        <v>489.3</v>
      </c>
      <c r="I1571" s="17">
        <f t="shared" si="6"/>
        <v>20302904.564315353</v>
      </c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</row>
    <row r="1572" spans="1:24">
      <c r="A1572" s="151" t="s">
        <v>5815</v>
      </c>
      <c r="B1572" s="17" t="s">
        <v>5816</v>
      </c>
      <c r="C1572" s="211">
        <v>543915</v>
      </c>
      <c r="D1572" s="151" t="s">
        <v>5817</v>
      </c>
      <c r="E1572" s="211">
        <v>398.6</v>
      </c>
      <c r="F1572" s="151" t="s">
        <v>1507</v>
      </c>
      <c r="G1572" s="151" t="s">
        <v>1211</v>
      </c>
      <c r="H1572" s="211">
        <v>485.5</v>
      </c>
      <c r="I1572" s="17">
        <f t="shared" si="6"/>
        <v>12180130.456598092</v>
      </c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spans="1:24">
      <c r="A1573" s="151" t="s">
        <v>5818</v>
      </c>
      <c r="B1573" s="17" t="s">
        <v>5819</v>
      </c>
      <c r="C1573" s="211">
        <v>509960</v>
      </c>
      <c r="D1573" s="151" t="s">
        <v>5820</v>
      </c>
      <c r="E1573" s="211">
        <v>898</v>
      </c>
      <c r="F1573" s="151" t="s">
        <v>1532</v>
      </c>
      <c r="G1573" s="151" t="s">
        <v>1533</v>
      </c>
      <c r="H1573" s="211">
        <v>484.9</v>
      </c>
      <c r="I1573" s="17">
        <f t="shared" si="6"/>
        <v>5399777.2828507796</v>
      </c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</row>
    <row r="1574" spans="1:24">
      <c r="A1574" s="151" t="s">
        <v>5821</v>
      </c>
      <c r="B1574" s="17" t="s">
        <v>5822</v>
      </c>
      <c r="C1574" s="211">
        <v>514215</v>
      </c>
      <c r="D1574" s="151" t="s">
        <v>5823</v>
      </c>
      <c r="E1574" s="211">
        <v>217</v>
      </c>
      <c r="F1574" s="151" t="s">
        <v>1307</v>
      </c>
      <c r="G1574" s="151" t="s">
        <v>1307</v>
      </c>
      <c r="H1574" s="211">
        <v>484.3</v>
      </c>
      <c r="I1574" s="17">
        <f t="shared" si="6"/>
        <v>22317972.350230414</v>
      </c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</row>
    <row r="1575" spans="1:24">
      <c r="A1575" s="151" t="s">
        <v>5824</v>
      </c>
      <c r="B1575" s="17" t="s">
        <v>5825</v>
      </c>
      <c r="C1575" s="211">
        <v>532712</v>
      </c>
      <c r="D1575" s="151" t="s">
        <v>5826</v>
      </c>
      <c r="E1575" s="211">
        <v>1.8</v>
      </c>
      <c r="F1575" s="151" t="s">
        <v>1179</v>
      </c>
      <c r="G1575" s="151" t="s">
        <v>1179</v>
      </c>
      <c r="H1575" s="211">
        <v>484</v>
      </c>
      <c r="I1575" s="17">
        <f t="shared" si="6"/>
        <v>2688888888.8888888</v>
      </c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spans="1:24">
      <c r="A1576" s="151" t="s">
        <v>5827</v>
      </c>
      <c r="B1576" s="17" t="s">
        <v>5828</v>
      </c>
      <c r="C1576" s="211">
        <v>526596</v>
      </c>
      <c r="D1576" s="151" t="s">
        <v>5829</v>
      </c>
      <c r="E1576" s="211">
        <v>283.2</v>
      </c>
      <c r="F1576" s="151" t="s">
        <v>1748</v>
      </c>
      <c r="G1576" s="151" t="s">
        <v>1247</v>
      </c>
      <c r="H1576" s="211">
        <v>482.6</v>
      </c>
      <c r="I1576" s="17">
        <f t="shared" si="6"/>
        <v>17040960.451977402</v>
      </c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</row>
    <row r="1577" spans="1:24">
      <c r="A1577" s="151" t="s">
        <v>5830</v>
      </c>
      <c r="B1577" s="17" t="s">
        <v>5831</v>
      </c>
      <c r="C1577" s="211">
        <v>530579</v>
      </c>
      <c r="D1577" s="151" t="s">
        <v>5832</v>
      </c>
      <c r="E1577" s="211">
        <v>25.2</v>
      </c>
      <c r="F1577" s="151" t="s">
        <v>1194</v>
      </c>
      <c r="G1577" s="151" t="s">
        <v>1137</v>
      </c>
      <c r="H1577" s="211">
        <v>478.4</v>
      </c>
      <c r="I1577" s="17">
        <f t="shared" si="6"/>
        <v>189841269.84126985</v>
      </c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</row>
    <row r="1578" spans="1:24">
      <c r="A1578" s="151" t="s">
        <v>5833</v>
      </c>
      <c r="B1578" s="17" t="s">
        <v>5834</v>
      </c>
      <c r="C1578" s="211">
        <v>533270</v>
      </c>
      <c r="D1578" s="151" t="s">
        <v>5835</v>
      </c>
      <c r="E1578" s="211">
        <v>148.19999999999999</v>
      </c>
      <c r="F1578" s="151" t="s">
        <v>1675</v>
      </c>
      <c r="G1578" s="151" t="s">
        <v>1142</v>
      </c>
      <c r="H1578" s="211">
        <v>478.2</v>
      </c>
      <c r="I1578" s="17">
        <f t="shared" si="6"/>
        <v>32267206.477732796</v>
      </c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spans="1:24">
      <c r="A1579" s="151" t="s">
        <v>5836</v>
      </c>
      <c r="B1579" s="17" t="s">
        <v>5837</v>
      </c>
      <c r="C1579" s="17"/>
      <c r="D1579" s="151" t="s">
        <v>5838</v>
      </c>
      <c r="E1579" s="211">
        <v>209.8</v>
      </c>
      <c r="F1579" s="151" t="s">
        <v>1440</v>
      </c>
      <c r="G1579" s="151" t="s">
        <v>1441</v>
      </c>
      <c r="H1579" s="211">
        <v>478</v>
      </c>
      <c r="I1579" s="17">
        <f t="shared" si="6"/>
        <v>22783603.431839846</v>
      </c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</row>
    <row r="1580" spans="1:24">
      <c r="A1580" s="151" t="s">
        <v>5839</v>
      </c>
      <c r="B1580" s="17" t="s">
        <v>5840</v>
      </c>
      <c r="C1580" s="211">
        <v>538685</v>
      </c>
      <c r="D1580" s="151" t="s">
        <v>5841</v>
      </c>
      <c r="E1580" s="211">
        <v>175.4</v>
      </c>
      <c r="F1580" s="151" t="s">
        <v>2828</v>
      </c>
      <c r="G1580" s="151" t="s">
        <v>1908</v>
      </c>
      <c r="H1580" s="211">
        <v>476.9</v>
      </c>
      <c r="I1580" s="17">
        <f t="shared" si="6"/>
        <v>27189281.641961232</v>
      </c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</row>
    <row r="1581" spans="1:24">
      <c r="A1581" s="151" t="s">
        <v>5842</v>
      </c>
      <c r="B1581" s="17" t="s">
        <v>5843</v>
      </c>
      <c r="C1581" s="211">
        <v>515008</v>
      </c>
      <c r="D1581" s="151" t="s">
        <v>5844</v>
      </c>
      <c r="E1581" s="211">
        <v>101.2</v>
      </c>
      <c r="F1581" s="151" t="s">
        <v>1440</v>
      </c>
      <c r="G1581" s="151" t="s">
        <v>1441</v>
      </c>
      <c r="H1581" s="211">
        <v>476.9</v>
      </c>
      <c r="I1581" s="17">
        <f t="shared" si="6"/>
        <v>47124505.92885375</v>
      </c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spans="1:24">
      <c r="A1582" s="151" t="s">
        <v>5845</v>
      </c>
      <c r="B1582" s="17" t="s">
        <v>5846</v>
      </c>
      <c r="C1582" s="211">
        <v>540492</v>
      </c>
      <c r="D1582" s="151" t="s">
        <v>5847</v>
      </c>
      <c r="E1582" s="211">
        <v>110.2</v>
      </c>
      <c r="F1582" s="151" t="s">
        <v>1228</v>
      </c>
      <c r="G1582" s="151" t="s">
        <v>1229</v>
      </c>
      <c r="H1582" s="211">
        <v>476.2</v>
      </c>
      <c r="I1582" s="17">
        <f t="shared" si="6"/>
        <v>43212341.197822139</v>
      </c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</row>
    <row r="1583" spans="1:24">
      <c r="A1583" s="151" t="s">
        <v>5848</v>
      </c>
      <c r="B1583" s="17" t="s">
        <v>5849</v>
      </c>
      <c r="C1583" s="211">
        <v>533152</v>
      </c>
      <c r="D1583" s="151" t="s">
        <v>5850</v>
      </c>
      <c r="E1583" s="211">
        <v>45</v>
      </c>
      <c r="F1583" s="151" t="s">
        <v>1190</v>
      </c>
      <c r="G1583" s="151" t="s">
        <v>1138</v>
      </c>
      <c r="H1583" s="211">
        <v>470.9</v>
      </c>
      <c r="I1583" s="17">
        <f t="shared" si="6"/>
        <v>104644444.44444445</v>
      </c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</row>
    <row r="1584" spans="1:24">
      <c r="A1584" s="151" t="s">
        <v>5851</v>
      </c>
      <c r="B1584" s="17" t="s">
        <v>5852</v>
      </c>
      <c r="C1584" s="211">
        <v>538921</v>
      </c>
      <c r="D1584" s="151" t="s">
        <v>5853</v>
      </c>
      <c r="E1584" s="211">
        <v>395</v>
      </c>
      <c r="F1584" s="151" t="s">
        <v>2563</v>
      </c>
      <c r="G1584" s="151" t="s">
        <v>1140</v>
      </c>
      <c r="H1584" s="211">
        <v>470.7</v>
      </c>
      <c r="I1584" s="17">
        <f t="shared" si="6"/>
        <v>11916455.696202531</v>
      </c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spans="1:24">
      <c r="A1585" s="151" t="s">
        <v>5854</v>
      </c>
      <c r="B1585" s="17" t="s">
        <v>5855</v>
      </c>
      <c r="C1585" s="211">
        <v>523838</v>
      </c>
      <c r="D1585" s="151" t="s">
        <v>5856</v>
      </c>
      <c r="E1585" s="211">
        <v>82.4</v>
      </c>
      <c r="F1585" s="151" t="s">
        <v>1190</v>
      </c>
      <c r="G1585" s="151" t="s">
        <v>1138</v>
      </c>
      <c r="H1585" s="211">
        <v>470.6</v>
      </c>
      <c r="I1585" s="17">
        <f t="shared" si="6"/>
        <v>57111650.485436887</v>
      </c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</row>
    <row r="1586" spans="1:24">
      <c r="A1586" s="151" t="s">
        <v>5857</v>
      </c>
      <c r="B1586" s="17" t="s">
        <v>5858</v>
      </c>
      <c r="C1586" s="211">
        <v>526217</v>
      </c>
      <c r="D1586" s="151" t="s">
        <v>5859</v>
      </c>
      <c r="E1586" s="211">
        <v>273.7</v>
      </c>
      <c r="F1586" s="151" t="s">
        <v>2950</v>
      </c>
      <c r="G1586" s="151" t="s">
        <v>1229</v>
      </c>
      <c r="H1586" s="211">
        <v>470.1</v>
      </c>
      <c r="I1586" s="17">
        <f t="shared" si="6"/>
        <v>17175739.861161858</v>
      </c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</row>
    <row r="1587" spans="1:24">
      <c r="A1587" s="151" t="s">
        <v>5860</v>
      </c>
      <c r="B1587" s="17" t="s">
        <v>5861</v>
      </c>
      <c r="C1587" s="211">
        <v>532780</v>
      </c>
      <c r="D1587" s="151" t="s">
        <v>5862</v>
      </c>
      <c r="E1587" s="211">
        <v>10.8</v>
      </c>
      <c r="F1587" s="151" t="s">
        <v>1307</v>
      </c>
      <c r="G1587" s="151" t="s">
        <v>1307</v>
      </c>
      <c r="H1587" s="211">
        <v>470</v>
      </c>
      <c r="I1587" s="17">
        <f t="shared" si="6"/>
        <v>435185185.18518513</v>
      </c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spans="1:24">
      <c r="A1588" s="151" t="s">
        <v>5863</v>
      </c>
      <c r="B1588" s="17" t="s">
        <v>5864</v>
      </c>
      <c r="C1588" s="17"/>
      <c r="D1588" s="151" t="s">
        <v>5865</v>
      </c>
      <c r="E1588" s="211">
        <v>61.6</v>
      </c>
      <c r="F1588" s="151" t="s">
        <v>2563</v>
      </c>
      <c r="G1588" s="151" t="s">
        <v>1140</v>
      </c>
      <c r="H1588" s="211">
        <v>469.5</v>
      </c>
      <c r="I1588" s="17">
        <f t="shared" si="6"/>
        <v>76217532.467532471</v>
      </c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</row>
    <row r="1589" spans="1:24">
      <c r="A1589" s="151" t="s">
        <v>5866</v>
      </c>
      <c r="B1589" s="17" t="s">
        <v>5867</v>
      </c>
      <c r="C1589" s="17"/>
      <c r="D1589" s="151" t="s">
        <v>5868</v>
      </c>
      <c r="E1589" s="211">
        <v>1902</v>
      </c>
      <c r="F1589" s="151" t="s">
        <v>1194</v>
      </c>
      <c r="G1589" s="151" t="s">
        <v>1137</v>
      </c>
      <c r="H1589" s="211">
        <v>467.3</v>
      </c>
      <c r="I1589" s="17">
        <f t="shared" si="6"/>
        <v>2456887.4868559409</v>
      </c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</row>
    <row r="1590" spans="1:24">
      <c r="A1590" s="151" t="s">
        <v>5869</v>
      </c>
      <c r="B1590" s="17" t="s">
        <v>5870</v>
      </c>
      <c r="C1590" s="211">
        <v>526073</v>
      </c>
      <c r="D1590" s="151" t="s">
        <v>5871</v>
      </c>
      <c r="E1590" s="211">
        <v>1455</v>
      </c>
      <c r="F1590" s="151" t="s">
        <v>1783</v>
      </c>
      <c r="G1590" s="151" t="s">
        <v>1141</v>
      </c>
      <c r="H1590" s="211">
        <v>462.7</v>
      </c>
      <c r="I1590" s="17">
        <f t="shared" si="6"/>
        <v>3180068.7285223366</v>
      </c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spans="1:24">
      <c r="A1591" s="151" t="s">
        <v>5872</v>
      </c>
      <c r="B1591" s="17" t="s">
        <v>5873</v>
      </c>
      <c r="C1591" s="211">
        <v>543713</v>
      </c>
      <c r="D1591" s="151" t="s">
        <v>5874</v>
      </c>
      <c r="E1591" s="211">
        <v>191</v>
      </c>
      <c r="F1591" s="151" t="s">
        <v>5350</v>
      </c>
      <c r="G1591" s="151" t="s">
        <v>1280</v>
      </c>
      <c r="H1591" s="211">
        <v>458.2</v>
      </c>
      <c r="I1591" s="17">
        <f t="shared" si="6"/>
        <v>23989528.795811519</v>
      </c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</row>
    <row r="1592" spans="1:24">
      <c r="A1592" s="151" t="s">
        <v>5875</v>
      </c>
      <c r="B1592" s="17" t="s">
        <v>5876</v>
      </c>
      <c r="C1592" s="211">
        <v>507190</v>
      </c>
      <c r="D1592" s="151" t="s">
        <v>5877</v>
      </c>
      <c r="E1592" s="211">
        <v>55.1</v>
      </c>
      <c r="F1592" s="151" t="s">
        <v>2449</v>
      </c>
      <c r="G1592" s="151" t="s">
        <v>1140</v>
      </c>
      <c r="H1592" s="211">
        <v>456.7</v>
      </c>
      <c r="I1592" s="17">
        <f t="shared" si="6"/>
        <v>82885662.431941926</v>
      </c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</row>
    <row r="1593" spans="1:24">
      <c r="A1593" s="151" t="s">
        <v>5878</v>
      </c>
      <c r="B1593" s="17" t="s">
        <v>5879</v>
      </c>
      <c r="C1593" s="211">
        <v>506597</v>
      </c>
      <c r="D1593" s="151" t="s">
        <v>5880</v>
      </c>
      <c r="E1593" s="211">
        <v>362</v>
      </c>
      <c r="F1593" s="151" t="s">
        <v>1334</v>
      </c>
      <c r="G1593" s="151" t="s">
        <v>1335</v>
      </c>
      <c r="H1593" s="211">
        <v>447.6</v>
      </c>
      <c r="I1593" s="17">
        <f t="shared" si="6"/>
        <v>12364640.883977901</v>
      </c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spans="1:24" ht="13">
      <c r="A1594" s="17"/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</row>
    <row r="1595" spans="1:24" ht="13">
      <c r="A1595" s="17"/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</row>
    <row r="1596" spans="1:24" ht="13">
      <c r="A1596" s="17"/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spans="1:24" ht="13">
      <c r="A1597" s="17"/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</row>
    <row r="1598" spans="1:24" ht="13">
      <c r="A1598" s="17"/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</row>
    <row r="1599" spans="1:24" ht="13">
      <c r="A1599" s="17"/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spans="1:24" ht="13">
      <c r="A1600" s="17"/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</row>
    <row r="1601" spans="1:24" ht="13">
      <c r="A1601" s="17"/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</row>
    <row r="1602" spans="1:24" ht="13">
      <c r="A1602" s="17"/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spans="1:24" ht="13">
      <c r="A1603" s="17"/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</row>
    <row r="1604" spans="1:24" ht="13">
      <c r="A1604" s="17"/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</row>
    <row r="1605" spans="1:24" ht="13">
      <c r="A1605" s="17"/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spans="1:24" ht="13">
      <c r="A1606" s="17"/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</row>
    <row r="1607" spans="1:24" ht="13">
      <c r="A1607" s="17"/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</row>
    <row r="1608" spans="1:24" ht="13">
      <c r="A1608" s="17"/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spans="1:24" ht="13">
      <c r="A1609" s="17"/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</row>
    <row r="1610" spans="1:24" ht="13">
      <c r="A1610" s="17"/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</row>
    <row r="1611" spans="1:24" ht="13">
      <c r="A1611" s="17"/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spans="1:24" ht="13">
      <c r="A1612" s="17"/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</row>
    <row r="1613" spans="1:24" ht="13">
      <c r="A1613" s="17"/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</row>
    <row r="1614" spans="1:24" ht="13">
      <c r="A1614" s="17"/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spans="1:24" ht="13">
      <c r="A1615" s="17"/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</row>
    <row r="1616" spans="1:24" ht="13">
      <c r="A1616" s="17"/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</row>
    <row r="1617" spans="1:24" ht="13">
      <c r="A1617" s="17"/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spans="1:24" ht="13">
      <c r="A1618" s="17"/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</row>
    <row r="1619" spans="1:24" ht="13">
      <c r="A1619" s="17"/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</row>
    <row r="1620" spans="1:24" ht="13">
      <c r="A1620" s="17"/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spans="1:24" ht="13">
      <c r="A1621" s="17"/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</row>
    <row r="1622" spans="1:24" ht="13">
      <c r="A1622" s="17"/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</row>
    <row r="1623" spans="1:24" ht="13">
      <c r="A1623" s="17"/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spans="1:24" ht="13">
      <c r="A1624" s="17"/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</row>
    <row r="1625" spans="1:24" ht="13">
      <c r="A1625" s="17"/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</row>
    <row r="1626" spans="1:24" ht="13">
      <c r="A1626" s="17"/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spans="1:24" ht="13">
      <c r="A1627" s="17"/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</row>
    <row r="1628" spans="1:24" ht="13">
      <c r="A1628" s="17"/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</row>
    <row r="1629" spans="1:24" ht="13">
      <c r="A1629" s="17"/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spans="1:24" ht="13">
      <c r="A1630" s="17"/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</row>
    <row r="1631" spans="1:24" ht="13">
      <c r="A1631" s="17"/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</row>
    <row r="1632" spans="1:24" ht="13">
      <c r="A1632" s="17"/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spans="1:24" ht="13">
      <c r="A1633" s="17"/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</row>
    <row r="1634" spans="1:24" ht="13">
      <c r="A1634" s="17"/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</row>
    <row r="1635" spans="1:24" ht="13">
      <c r="A1635" s="17"/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spans="1:24" ht="13">
      <c r="A1636" s="17"/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</row>
    <row r="1637" spans="1:24" ht="13">
      <c r="A1637" s="17"/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</row>
    <row r="1638" spans="1:24" ht="13">
      <c r="A1638" s="17"/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spans="1:24" ht="13">
      <c r="A1639" s="17"/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</row>
    <row r="1640" spans="1:24" ht="13">
      <c r="A1640" s="17"/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</row>
    <row r="1641" spans="1:24" ht="13">
      <c r="A1641" s="17"/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spans="1:24" ht="13">
      <c r="A1642" s="17"/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</row>
    <row r="1643" spans="1:24" ht="13">
      <c r="A1643" s="17"/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</row>
    <row r="1644" spans="1:24" ht="13">
      <c r="A1644" s="17"/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spans="1:24" ht="13">
      <c r="A1645" s="17"/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</row>
    <row r="1646" spans="1:24" ht="13">
      <c r="A1646" s="17"/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</row>
    <row r="1647" spans="1:24" ht="13">
      <c r="A1647" s="17"/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spans="1:24" ht="13">
      <c r="A1648" s="17"/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</row>
    <row r="1649" spans="1:24" ht="13">
      <c r="A1649" s="17"/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</row>
    <row r="1650" spans="1:24" ht="13">
      <c r="A1650" s="17"/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spans="1:24" ht="13">
      <c r="A1651" s="17"/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</row>
    <row r="1652" spans="1:24" ht="13">
      <c r="A1652" s="17"/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</row>
    <row r="1653" spans="1:24" ht="13">
      <c r="A1653" s="17"/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spans="1:24" ht="13">
      <c r="A1654" s="17"/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</row>
    <row r="1655" spans="1:24" ht="13">
      <c r="A1655" s="17"/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</row>
    <row r="1656" spans="1:24" ht="13">
      <c r="A1656" s="17"/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spans="1:24" ht="13">
      <c r="A1657" s="17"/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</row>
    <row r="1658" spans="1:24" ht="13">
      <c r="A1658" s="17"/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</row>
    <row r="1659" spans="1:24" ht="13">
      <c r="A1659" s="17"/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spans="1:24" ht="13">
      <c r="A1660" s="17"/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</row>
    <row r="1661" spans="1:24" ht="13">
      <c r="A1661" s="17"/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</row>
    <row r="1662" spans="1:24" ht="13">
      <c r="A1662" s="17"/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spans="1:24" ht="13">
      <c r="A1663" s="17"/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</row>
    <row r="1664" spans="1:24" ht="13">
      <c r="A1664" s="17"/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</row>
    <row r="1665" spans="1:24" ht="13">
      <c r="A1665" s="17"/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spans="1:24" ht="13">
      <c r="A1666" s="17"/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</row>
    <row r="1667" spans="1:24" ht="13">
      <c r="A1667" s="17"/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</row>
    <row r="1668" spans="1:24" ht="13">
      <c r="A1668" s="17"/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spans="1:24" ht="13">
      <c r="A1669" s="17"/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</row>
    <row r="1670" spans="1:24" ht="13">
      <c r="A1670" s="17"/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</row>
    <row r="1671" spans="1:24" ht="13">
      <c r="A1671" s="17"/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spans="1:24" ht="13">
      <c r="A1672" s="17"/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</row>
    <row r="1673" spans="1:24" ht="13">
      <c r="A1673" s="17"/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</row>
    <row r="1674" spans="1:24" ht="13">
      <c r="A1674" s="17"/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spans="1:24" ht="13">
      <c r="A1675" s="17"/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</row>
    <row r="1676" spans="1:24" ht="13">
      <c r="A1676" s="17"/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</row>
    <row r="1677" spans="1:24" ht="13">
      <c r="A1677" s="17"/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spans="1:24" ht="13">
      <c r="A1678" s="17"/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</row>
    <row r="1679" spans="1:24" ht="13">
      <c r="A1679" s="17"/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</row>
    <row r="1680" spans="1:24" ht="13">
      <c r="A1680" s="17"/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spans="1:24" ht="13">
      <c r="A1681" s="17"/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</row>
    <row r="1682" spans="1:24" ht="13">
      <c r="A1682" s="17"/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</row>
    <row r="1683" spans="1:24" ht="13">
      <c r="A1683" s="17"/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spans="1:24" ht="13">
      <c r="A1684" s="17"/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</row>
    <row r="1685" spans="1:24" ht="13">
      <c r="A1685" s="17"/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</row>
    <row r="1686" spans="1:24" ht="13">
      <c r="A1686" s="17"/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spans="1:24" ht="13">
      <c r="A1687" s="17"/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</row>
    <row r="1688" spans="1:24" ht="13">
      <c r="A1688" s="17"/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</row>
    <row r="1689" spans="1:24" ht="13">
      <c r="A1689" s="17"/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spans="1:24" ht="13">
      <c r="A1690" s="17"/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</row>
    <row r="1691" spans="1:24" ht="13">
      <c r="A1691" s="17"/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</row>
    <row r="1692" spans="1:24" ht="13">
      <c r="A1692" s="17"/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spans="1:24" ht="13">
      <c r="A1693" s="17"/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</row>
    <row r="1694" spans="1:24" ht="13">
      <c r="A1694" s="17"/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</row>
    <row r="1695" spans="1:24" ht="13">
      <c r="A1695" s="17"/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spans="1:24" ht="13">
      <c r="A1696" s="17"/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</row>
    <row r="1697" spans="1:24" ht="13">
      <c r="A1697" s="17"/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</row>
    <row r="1698" spans="1:24" ht="13">
      <c r="A1698" s="17"/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spans="1:24" ht="13">
      <c r="A1699" s="17"/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</row>
    <row r="1700" spans="1:24" ht="13">
      <c r="A1700" s="17"/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</row>
    <row r="1701" spans="1:24" ht="13">
      <c r="A1701" s="17"/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spans="1:24" ht="13">
      <c r="A1702" s="17"/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</row>
    <row r="1703" spans="1:24" ht="13">
      <c r="A1703" s="17"/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</row>
    <row r="1704" spans="1:24" ht="13">
      <c r="A1704" s="17"/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spans="1:24" ht="13">
      <c r="A1705" s="17"/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</row>
    <row r="1706" spans="1:24" ht="13">
      <c r="A1706" s="17"/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</row>
    <row r="1707" spans="1:24" ht="13">
      <c r="A1707" s="17"/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spans="1:24" ht="13">
      <c r="A1708" s="17"/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</row>
    <row r="1709" spans="1:24" ht="13">
      <c r="A1709" s="17"/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</row>
    <row r="1710" spans="1:24" ht="13">
      <c r="A1710" s="17"/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spans="1:24" ht="13">
      <c r="A1711" s="17"/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</row>
    <row r="1712" spans="1:24" ht="13">
      <c r="A1712" s="17"/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</row>
    <row r="1713" spans="1:24" ht="13">
      <c r="A1713" s="17"/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spans="1:24" ht="13">
      <c r="A1714" s="17"/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</row>
    <row r="1715" spans="1:24" ht="13">
      <c r="A1715" s="17"/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</row>
    <row r="1716" spans="1:24" ht="13">
      <c r="A1716" s="17"/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spans="1:24" ht="13">
      <c r="A1717" s="17"/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</row>
    <row r="1718" spans="1:24" ht="13">
      <c r="A1718" s="17"/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</row>
    <row r="1719" spans="1:24" ht="13">
      <c r="A1719" s="17"/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spans="1:24" ht="13">
      <c r="A1720" s="17"/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</row>
    <row r="1721" spans="1:24" ht="13">
      <c r="A1721" s="17"/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</row>
    <row r="1722" spans="1:24" ht="13">
      <c r="A1722" s="17"/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spans="1:24" ht="13">
      <c r="A1723" s="17"/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</row>
    <row r="1724" spans="1:24" ht="13">
      <c r="A1724" s="17"/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</row>
    <row r="1725" spans="1:24" ht="13">
      <c r="A1725" s="17"/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spans="1:24" ht="13">
      <c r="A1726" s="17"/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</row>
    <row r="1727" spans="1:24" ht="13">
      <c r="A1727" s="17"/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</row>
    <row r="1728" spans="1:24" ht="13">
      <c r="A1728" s="17"/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spans="1:24" ht="13">
      <c r="A1729" s="17"/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</row>
    <row r="1730" spans="1:24" ht="13">
      <c r="A1730" s="17"/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</row>
    <row r="1731" spans="1:24" ht="13">
      <c r="A1731" s="17"/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spans="1:24" ht="13">
      <c r="A1732" s="17"/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</row>
    <row r="1733" spans="1:24" ht="13">
      <c r="A1733" s="17"/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</row>
    <row r="1734" spans="1:24" ht="13">
      <c r="A1734" s="17"/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spans="1:24" ht="13">
      <c r="A1735" s="17"/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</row>
    <row r="1736" spans="1:24" ht="13">
      <c r="A1736" s="17"/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</row>
    <row r="1737" spans="1:24" ht="13">
      <c r="A1737" s="17"/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spans="1:24" ht="13">
      <c r="A1738" s="17"/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</row>
    <row r="1739" spans="1:24" ht="13">
      <c r="A1739" s="17"/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</row>
    <row r="1740" spans="1:24" ht="13">
      <c r="A1740" s="17"/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spans="1:24" ht="13">
      <c r="A1741" s="17"/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</row>
    <row r="1742" spans="1:24" ht="13">
      <c r="A1742" s="17"/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</row>
    <row r="1743" spans="1:24" ht="13">
      <c r="A1743" s="17"/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spans="1:24" ht="13">
      <c r="A1744" s="17"/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</row>
    <row r="1745" spans="1:24" ht="13">
      <c r="A1745" s="17"/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</row>
    <row r="1746" spans="1:24" ht="13">
      <c r="A1746" s="17"/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spans="1:24" ht="13">
      <c r="A1747" s="17"/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</row>
    <row r="1748" spans="1:24" ht="13">
      <c r="A1748" s="17"/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</row>
    <row r="1749" spans="1:24" ht="13">
      <c r="A1749" s="17"/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spans="1:24" ht="13">
      <c r="A1750" s="17"/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</row>
    <row r="1751" spans="1:24" ht="13">
      <c r="A1751" s="17"/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</row>
    <row r="1752" spans="1:24" ht="13">
      <c r="A1752" s="17"/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spans="1:24" ht="13">
      <c r="A1753" s="17"/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</row>
    <row r="1754" spans="1:24" ht="13">
      <c r="A1754" s="17"/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</row>
    <row r="1755" spans="1:24" ht="13">
      <c r="A1755" s="17"/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spans="1:24" ht="13">
      <c r="A1756" s="17"/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</row>
    <row r="1757" spans="1:24" ht="13">
      <c r="A1757" s="17"/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</row>
    <row r="1758" spans="1:24" ht="13">
      <c r="A1758" s="17"/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spans="1:24" ht="13">
      <c r="A1759" s="17"/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</row>
    <row r="1760" spans="1:24" ht="13">
      <c r="A1760" s="17"/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</row>
    <row r="1761" spans="1:24" ht="13">
      <c r="A1761" s="17"/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spans="1:24" ht="13">
      <c r="A1762" s="17"/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</row>
    <row r="1763" spans="1:24" ht="13">
      <c r="A1763" s="17"/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</row>
    <row r="1764" spans="1:24" ht="13">
      <c r="A1764" s="17"/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spans="1:24" ht="13">
      <c r="A1765" s="17"/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</row>
    <row r="1766" spans="1:24" ht="13">
      <c r="A1766" s="17"/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</row>
    <row r="1767" spans="1:24" ht="13">
      <c r="A1767" s="17"/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spans="1:24" ht="13">
      <c r="A1768" s="17"/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</row>
    <row r="1769" spans="1:24" ht="13">
      <c r="A1769" s="17"/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</row>
    <row r="1770" spans="1:24" ht="13">
      <c r="A1770" s="17"/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</row>
    <row r="1771" spans="1:24" ht="13">
      <c r="A1771" s="17"/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</row>
    <row r="1772" spans="1:24" ht="13">
      <c r="A1772" s="17"/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</row>
    <row r="1773" spans="1:24" ht="13">
      <c r="A1773" s="17"/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</row>
    <row r="1774" spans="1:24" ht="13">
      <c r="A1774" s="17"/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</row>
    <row r="1775" spans="1:24" ht="13">
      <c r="A1775" s="17"/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</row>
    <row r="1776" spans="1:24" ht="13">
      <c r="A1776" s="17"/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</row>
    <row r="1777" spans="1:24" ht="13">
      <c r="A1777" s="17"/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</row>
    <row r="1778" spans="1:24" ht="13">
      <c r="A1778" s="17"/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</row>
    <row r="1779" spans="1:24" ht="13">
      <c r="A1779" s="17"/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</row>
    <row r="1780" spans="1:24" ht="13">
      <c r="A1780" s="17"/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</row>
    <row r="1781" spans="1:24" ht="13">
      <c r="A1781" s="17"/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</row>
    <row r="1782" spans="1:24" ht="13">
      <c r="A1782" s="17"/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</row>
    <row r="1783" spans="1:24" ht="13">
      <c r="A1783" s="17"/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</row>
    <row r="1784" spans="1:24" ht="13">
      <c r="A1784" s="17"/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</row>
    <row r="1785" spans="1:24" ht="13">
      <c r="A1785" s="17"/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</row>
    <row r="1786" spans="1:24" ht="13">
      <c r="A1786" s="17"/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</row>
    <row r="1787" spans="1:24" ht="13">
      <c r="A1787" s="17"/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</row>
    <row r="1788" spans="1:24" ht="13">
      <c r="A1788" s="17"/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</row>
    <row r="1789" spans="1:24" ht="13">
      <c r="A1789" s="17"/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</row>
    <row r="1790" spans="1:24" ht="13">
      <c r="A1790" s="17"/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</row>
    <row r="1791" spans="1:24" ht="13">
      <c r="A1791" s="17"/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</row>
    <row r="1792" spans="1:24" ht="13">
      <c r="A1792" s="17"/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</row>
    <row r="1793" spans="1:24" ht="13">
      <c r="A1793" s="17"/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</row>
    <row r="1794" spans="1:24" ht="13">
      <c r="A1794" s="17"/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</row>
    <row r="1795" spans="1:24" ht="13">
      <c r="A1795" s="17"/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</row>
    <row r="1796" spans="1:24" ht="13">
      <c r="A1796" s="17"/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</row>
    <row r="1797" spans="1:24" ht="13">
      <c r="A1797" s="17"/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</row>
    <row r="1798" spans="1:24" ht="13">
      <c r="A1798" s="17"/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</row>
    <row r="1799" spans="1:24" ht="13">
      <c r="A1799" s="17"/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</row>
    <row r="1800" spans="1:24" ht="13">
      <c r="A1800" s="17"/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</row>
    <row r="1801" spans="1:24" ht="13">
      <c r="A1801" s="17"/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</row>
    <row r="1802" spans="1:24" ht="13">
      <c r="A1802" s="17"/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</row>
    <row r="1803" spans="1:24" ht="13">
      <c r="A1803" s="17"/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</row>
    <row r="1804" spans="1:24" ht="13">
      <c r="A1804" s="17"/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</row>
    <row r="1805" spans="1:24" ht="13">
      <c r="A1805" s="17"/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</row>
    <row r="1806" spans="1:24" ht="13">
      <c r="A1806" s="17"/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</row>
    <row r="1807" spans="1:24" ht="13">
      <c r="A1807" s="17"/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</row>
    <row r="1808" spans="1:24" ht="13">
      <c r="A1808" s="17"/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</row>
    <row r="1809" spans="1:24" ht="13">
      <c r="A1809" s="17"/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</row>
    <row r="1810" spans="1:24" ht="13">
      <c r="A1810" s="17"/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</row>
    <row r="1811" spans="1:24" ht="13">
      <c r="A1811" s="17"/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</row>
    <row r="1812" spans="1:24" ht="13">
      <c r="A1812" s="17"/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</row>
    <row r="1813" spans="1:24" ht="13">
      <c r="A1813" s="17"/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</row>
    <row r="1814" spans="1:24" ht="13">
      <c r="A1814" s="17"/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</row>
    <row r="1815" spans="1:24" ht="13">
      <c r="A1815" s="17"/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</row>
    <row r="1816" spans="1:24" ht="13">
      <c r="A1816" s="17"/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</row>
    <row r="1817" spans="1:24" ht="13">
      <c r="A1817" s="17"/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</row>
    <row r="1818" spans="1:24" ht="13">
      <c r="A1818" s="17"/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</row>
    <row r="1819" spans="1:24" ht="13">
      <c r="A1819" s="17"/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</row>
    <row r="1820" spans="1:24" ht="13">
      <c r="A1820" s="17"/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</row>
    <row r="1821" spans="1:24" ht="13">
      <c r="A1821" s="17"/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</row>
    <row r="1822" spans="1:24" ht="13">
      <c r="A1822" s="17"/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</row>
    <row r="1823" spans="1:24" ht="13">
      <c r="A1823" s="17"/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</row>
    <row r="1824" spans="1:24" ht="13">
      <c r="A1824" s="17"/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</row>
    <row r="1825" spans="1:24" ht="13">
      <c r="A1825" s="17"/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</row>
    <row r="1826" spans="1:24" ht="13">
      <c r="A1826" s="17"/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</row>
    <row r="1827" spans="1:24" ht="13">
      <c r="A1827" s="17"/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</row>
    <row r="1828" spans="1:24" ht="13">
      <c r="A1828" s="17"/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</row>
    <row r="1829" spans="1:24" ht="13">
      <c r="A1829" s="17"/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</row>
    <row r="1830" spans="1:24" ht="13">
      <c r="A1830" s="17"/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</row>
    <row r="1831" spans="1:24" ht="13">
      <c r="A1831" s="17"/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</row>
    <row r="1832" spans="1:24" ht="13">
      <c r="A1832" s="17"/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</row>
    <row r="1833" spans="1:24" ht="13">
      <c r="A1833" s="17"/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</row>
    <row r="1834" spans="1:24" ht="13">
      <c r="A1834" s="17"/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</row>
    <row r="1835" spans="1:24" ht="13">
      <c r="A1835" s="17"/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</row>
    <row r="1836" spans="1:24" ht="13">
      <c r="A1836" s="17"/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</row>
    <row r="1837" spans="1:24" ht="13">
      <c r="A1837" s="17"/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</row>
    <row r="1838" spans="1:24" ht="13">
      <c r="A1838" s="17"/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</row>
    <row r="1839" spans="1:24" ht="13">
      <c r="A1839" s="17"/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</row>
    <row r="1840" spans="1:24" ht="13">
      <c r="A1840" s="17"/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</row>
    <row r="1841" spans="1:24" ht="13">
      <c r="A1841" s="17"/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</row>
    <row r="1842" spans="1:24" ht="13">
      <c r="A1842" s="17"/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</row>
    <row r="1843" spans="1:24" ht="13">
      <c r="A1843" s="17"/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</row>
    <row r="1844" spans="1:24" ht="13">
      <c r="A1844" s="17"/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</row>
    <row r="1845" spans="1:24" ht="13">
      <c r="A1845" s="17"/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</row>
    <row r="1846" spans="1:24" ht="13">
      <c r="A1846" s="17"/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</row>
    <row r="1847" spans="1:24" ht="13">
      <c r="A1847" s="17"/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</row>
    <row r="1848" spans="1:24" ht="13">
      <c r="A1848" s="17"/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</row>
    <row r="1849" spans="1:24" ht="13">
      <c r="A1849" s="17"/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</row>
    <row r="1850" spans="1:24" ht="13">
      <c r="A1850" s="17"/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</row>
    <row r="1851" spans="1:24" ht="13">
      <c r="A1851" s="17"/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</row>
    <row r="1852" spans="1:24" ht="13">
      <c r="A1852" s="17"/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</row>
    <row r="1853" spans="1:24" ht="13">
      <c r="A1853" s="17"/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</row>
    <row r="1854" spans="1:24" ht="13">
      <c r="A1854" s="17"/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</row>
    <row r="1855" spans="1:24" ht="13">
      <c r="A1855" s="17"/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</row>
    <row r="1856" spans="1:24" ht="13">
      <c r="A1856" s="17"/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</row>
    <row r="1857" spans="1:24" ht="13">
      <c r="A1857" s="17"/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</row>
    <row r="1858" spans="1:24" ht="13">
      <c r="A1858" s="17"/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</row>
    <row r="1859" spans="1:24" ht="13">
      <c r="A1859" s="17"/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</row>
    <row r="1860" spans="1:24" ht="13">
      <c r="A1860" s="17"/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</row>
    <row r="1861" spans="1:24" ht="13">
      <c r="A1861" s="17"/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</row>
    <row r="1862" spans="1:24" ht="13">
      <c r="A1862" s="17"/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</row>
    <row r="1863" spans="1:24" ht="13">
      <c r="A1863" s="17"/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</row>
    <row r="1864" spans="1:24" ht="13">
      <c r="A1864" s="17"/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</row>
    <row r="1865" spans="1:24" ht="13">
      <c r="A1865" s="17"/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</row>
    <row r="1866" spans="1:24" ht="13">
      <c r="A1866" s="17"/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</row>
    <row r="1867" spans="1:24" ht="13">
      <c r="A1867" s="17"/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</row>
    <row r="1868" spans="1:24" ht="13">
      <c r="A1868" s="17"/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</row>
    <row r="1869" spans="1:24" ht="13">
      <c r="A1869" s="17"/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</row>
    <row r="1870" spans="1:24" ht="13">
      <c r="A1870" s="17"/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</row>
    <row r="1871" spans="1:24" ht="13">
      <c r="A1871" s="17"/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</row>
    <row r="1872" spans="1:24" ht="13">
      <c r="A1872" s="17"/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</row>
    <row r="1873" spans="1:24" ht="13">
      <c r="A1873" s="17"/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</row>
    <row r="1874" spans="1:24" ht="13">
      <c r="A1874" s="17"/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</row>
    <row r="1875" spans="1:24" ht="13">
      <c r="A1875" s="17"/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</row>
    <row r="1876" spans="1:24" ht="13">
      <c r="A1876" s="17"/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</row>
    <row r="1877" spans="1:24" ht="13">
      <c r="A1877" s="17"/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</row>
    <row r="1878" spans="1:24" ht="13">
      <c r="A1878" s="17"/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</row>
    <row r="1879" spans="1:24" ht="13">
      <c r="A1879" s="17"/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</row>
    <row r="1880" spans="1:24" ht="13">
      <c r="A1880" s="17"/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</row>
    <row r="1881" spans="1:24" ht="13">
      <c r="A1881" s="17"/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</row>
    <row r="1882" spans="1:24" ht="13">
      <c r="A1882" s="17"/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</row>
    <row r="1883" spans="1:24" ht="13">
      <c r="A1883" s="17"/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</row>
    <row r="1884" spans="1:24" ht="13">
      <c r="A1884" s="17"/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</row>
    <row r="1885" spans="1:24" ht="13">
      <c r="A1885" s="17"/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</row>
    <row r="1886" spans="1:24" ht="13">
      <c r="A1886" s="17"/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</row>
    <row r="1887" spans="1:24" ht="13">
      <c r="A1887" s="17"/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</row>
    <row r="1888" spans="1:24" ht="13">
      <c r="A1888" s="17"/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</row>
    <row r="1889" spans="1:24" ht="13">
      <c r="A1889" s="17"/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</row>
    <row r="1890" spans="1:24" ht="13">
      <c r="A1890" s="17"/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</row>
    <row r="1891" spans="1:24" ht="13">
      <c r="A1891" s="17"/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</row>
    <row r="1892" spans="1:24" ht="13">
      <c r="A1892" s="17"/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</row>
    <row r="1893" spans="1:24" ht="13">
      <c r="A1893" s="17"/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</row>
    <row r="1894" spans="1:24" ht="13">
      <c r="A1894" s="17"/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</row>
    <row r="1895" spans="1:24" ht="13">
      <c r="A1895" s="17"/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</row>
    <row r="1896" spans="1:24" ht="13">
      <c r="A1896" s="17"/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</row>
    <row r="1897" spans="1:24" ht="13">
      <c r="A1897" s="17"/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</row>
    <row r="1898" spans="1:24" ht="13">
      <c r="A1898" s="17"/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</row>
    <row r="1899" spans="1:24" ht="13">
      <c r="A1899" s="17"/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</row>
    <row r="1900" spans="1:24" ht="13">
      <c r="A1900" s="17"/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</row>
    <row r="1901" spans="1:24" ht="13">
      <c r="A1901" s="17"/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</row>
    <row r="1902" spans="1:24" ht="13">
      <c r="A1902" s="17"/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</row>
    <row r="1903" spans="1:24" ht="13">
      <c r="A1903" s="17"/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</row>
    <row r="1904" spans="1:24" ht="13">
      <c r="A1904" s="17"/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</row>
    <row r="1905" spans="1:24" ht="13">
      <c r="A1905" s="17"/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</row>
    <row r="1906" spans="1:24" ht="13">
      <c r="A1906" s="17"/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</row>
    <row r="1907" spans="1:24" ht="13">
      <c r="A1907" s="17"/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</row>
    <row r="1908" spans="1:24" ht="13">
      <c r="A1908" s="17"/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</row>
    <row r="1909" spans="1:24" ht="13">
      <c r="A1909" s="17"/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</row>
    <row r="1910" spans="1:24" ht="13">
      <c r="A1910" s="17"/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</row>
    <row r="1911" spans="1:24" ht="13">
      <c r="A1911" s="17"/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</row>
    <row r="1912" spans="1:24" ht="13">
      <c r="A1912" s="17"/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</row>
    <row r="1913" spans="1:24" ht="13">
      <c r="A1913" s="17"/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</row>
    <row r="1914" spans="1:24" ht="13">
      <c r="A1914" s="17"/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</row>
    <row r="1915" spans="1:24" ht="13">
      <c r="A1915" s="17"/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</row>
    <row r="1916" spans="1:24" ht="13">
      <c r="A1916" s="17"/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</row>
    <row r="1917" spans="1:24" ht="13">
      <c r="A1917" s="17"/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</row>
    <row r="1918" spans="1:24" ht="13">
      <c r="A1918" s="17"/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</row>
    <row r="1919" spans="1:24" ht="13">
      <c r="A1919" s="17"/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</row>
    <row r="1920" spans="1:24" ht="13">
      <c r="A1920" s="17"/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</row>
    <row r="1921" spans="1:24" ht="13">
      <c r="A1921" s="17"/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</row>
    <row r="1922" spans="1:24" ht="13">
      <c r="A1922" s="17"/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</row>
    <row r="1923" spans="1:24" ht="13">
      <c r="A1923" s="17"/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</row>
    <row r="1924" spans="1:24" ht="13">
      <c r="A1924" s="17"/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</row>
    <row r="1925" spans="1:24" ht="13">
      <c r="A1925" s="17"/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</row>
    <row r="1926" spans="1:24" ht="13">
      <c r="A1926" s="17"/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</row>
    <row r="1927" spans="1:24" ht="13">
      <c r="A1927" s="17"/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</row>
    <row r="1928" spans="1:24" ht="13">
      <c r="A1928" s="17"/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</row>
    <row r="1929" spans="1:24" ht="13">
      <c r="A1929" s="17"/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</row>
    <row r="1930" spans="1:24" ht="13">
      <c r="A1930" s="17"/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</row>
    <row r="1931" spans="1:24" ht="13">
      <c r="A1931" s="17"/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</row>
    <row r="1932" spans="1:24" ht="13">
      <c r="A1932" s="17"/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</row>
    <row r="1933" spans="1:24" ht="13">
      <c r="A1933" s="17"/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</row>
    <row r="1934" spans="1:24" ht="13">
      <c r="A1934" s="17"/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</row>
    <row r="1935" spans="1:24" ht="13">
      <c r="A1935" s="17"/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</row>
    <row r="1936" spans="1:24" ht="13">
      <c r="A1936" s="17"/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</row>
    <row r="1937" spans="1:24" ht="13">
      <c r="A1937" s="17"/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</row>
    <row r="1938" spans="1:24" ht="13">
      <c r="A1938" s="17"/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</row>
    <row r="1939" spans="1:24" ht="13">
      <c r="A1939" s="17"/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</row>
    <row r="1940" spans="1:24" ht="13">
      <c r="A1940" s="17"/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</row>
    <row r="1941" spans="1:24" ht="13">
      <c r="A1941" s="17"/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</row>
    <row r="1942" spans="1:24" ht="13">
      <c r="A1942" s="17"/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</row>
    <row r="1943" spans="1:24" ht="13">
      <c r="A1943" s="17"/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</row>
    <row r="1944" spans="1:24" ht="13">
      <c r="A1944" s="17"/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</row>
    <row r="1945" spans="1:24" ht="13">
      <c r="A1945" s="17"/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</row>
    <row r="1946" spans="1:24" ht="13">
      <c r="A1946" s="17"/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</row>
    <row r="1947" spans="1:24" ht="13">
      <c r="A1947" s="17"/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</row>
    <row r="1948" spans="1:24" ht="13">
      <c r="A1948" s="17"/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</row>
    <row r="1949" spans="1:24" ht="13">
      <c r="A1949" s="17"/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</row>
    <row r="1950" spans="1:24" ht="13">
      <c r="A1950" s="17"/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</row>
    <row r="1951" spans="1:24" ht="13">
      <c r="A1951" s="17"/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</row>
    <row r="1952" spans="1:24" ht="13">
      <c r="A1952" s="17"/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</row>
    <row r="1953" spans="1:24" ht="13">
      <c r="A1953" s="17"/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</row>
    <row r="1954" spans="1:24" ht="13">
      <c r="A1954" s="17"/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</row>
    <row r="1955" spans="1:24" ht="13">
      <c r="A1955" s="17"/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</row>
    <row r="1956" spans="1:24" ht="13">
      <c r="A1956" s="17"/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</row>
    <row r="1957" spans="1:24" ht="13">
      <c r="A1957" s="17"/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</row>
    <row r="1958" spans="1:24" ht="13">
      <c r="A1958" s="17"/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</row>
    <row r="1959" spans="1:24" ht="13">
      <c r="A1959" s="17"/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</row>
    <row r="1960" spans="1:24" ht="13">
      <c r="A1960" s="17"/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</row>
    <row r="1961" spans="1:24" ht="13">
      <c r="A1961" s="17"/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</row>
    <row r="1962" spans="1:24" ht="13">
      <c r="A1962" s="17"/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</row>
    <row r="1963" spans="1:24" ht="13">
      <c r="A1963" s="17"/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</row>
    <row r="1964" spans="1:24" ht="13">
      <c r="A1964" s="17"/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</row>
    <row r="1965" spans="1:24" ht="13">
      <c r="A1965" s="17"/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</row>
    <row r="1966" spans="1:24" ht="13">
      <c r="A1966" s="17"/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</row>
    <row r="1967" spans="1:24" ht="13">
      <c r="A1967" s="17"/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</row>
    <row r="1968" spans="1:24" ht="13">
      <c r="A1968" s="17"/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</row>
    <row r="1969" spans="1:24" ht="13">
      <c r="A1969" s="17"/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</row>
    <row r="1970" spans="1:24" ht="13">
      <c r="A1970" s="17"/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</row>
    <row r="1971" spans="1:24" ht="13">
      <c r="A1971" s="17"/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</row>
    <row r="1972" spans="1:24" ht="13">
      <c r="A1972" s="17"/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</row>
    <row r="1973" spans="1:24" ht="13">
      <c r="A1973" s="17"/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</row>
    <row r="1974" spans="1:24" ht="13">
      <c r="A1974" s="17"/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</row>
    <row r="1975" spans="1:24" ht="13">
      <c r="A1975" s="17"/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</row>
    <row r="1976" spans="1:24" ht="13">
      <c r="A1976" s="17"/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</row>
    <row r="1977" spans="1:24" ht="13">
      <c r="A1977" s="17"/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</row>
    <row r="1978" spans="1:24" ht="13">
      <c r="A1978" s="17"/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</row>
    <row r="1979" spans="1:24" ht="13">
      <c r="A1979" s="17"/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</row>
    <row r="1980" spans="1:24" ht="13">
      <c r="A1980" s="17"/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</row>
    <row r="1981" spans="1:24" ht="13">
      <c r="A1981" s="17"/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</row>
    <row r="1982" spans="1:24" ht="13">
      <c r="A1982" s="17"/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</row>
    <row r="1983" spans="1:24" ht="13">
      <c r="A1983" s="17"/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</row>
    <row r="1984" spans="1:24" ht="13">
      <c r="A1984" s="17"/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</row>
    <row r="1985" spans="1:24" ht="13">
      <c r="A1985" s="17"/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</row>
    <row r="1986" spans="1:24" ht="13">
      <c r="A1986" s="17"/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</row>
    <row r="1987" spans="1:24" ht="13">
      <c r="A1987" s="17"/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</row>
    <row r="1988" spans="1:24" ht="13">
      <c r="A1988" s="17"/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</row>
    <row r="1989" spans="1:24" ht="13">
      <c r="A1989" s="17"/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</row>
    <row r="1990" spans="1:24" ht="13">
      <c r="A1990" s="17"/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</row>
    <row r="1991" spans="1:24" ht="13">
      <c r="A1991" s="17"/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</row>
    <row r="1992" spans="1:24" ht="13">
      <c r="A1992" s="17"/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</row>
    <row r="1993" spans="1:24" ht="13">
      <c r="A1993" s="17"/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</row>
    <row r="1994" spans="1:24" ht="13">
      <c r="A1994" s="17"/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</row>
    <row r="1995" spans="1:24" ht="13">
      <c r="A1995" s="17"/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</row>
    <row r="1996" spans="1:24" ht="13">
      <c r="A1996" s="17"/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</row>
    <row r="1997" spans="1:24" ht="13">
      <c r="A1997" s="17"/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</row>
    <row r="1998" spans="1:24" ht="13">
      <c r="A1998" s="17"/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</row>
    <row r="1999" spans="1:24" ht="13">
      <c r="A1999" s="17"/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</row>
    <row r="2000" spans="1:24" ht="13">
      <c r="A2000" s="17"/>
      <c r="B2000" s="17"/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</row>
    <row r="2001" spans="1:24" ht="13">
      <c r="A2001" s="17"/>
      <c r="B2001" s="17"/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</row>
    <row r="2002" spans="1:24" ht="13">
      <c r="A2002" s="17"/>
      <c r="B2002" s="17"/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</row>
    <row r="2003" spans="1:24" ht="13">
      <c r="A2003" s="17"/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</row>
    <row r="2004" spans="1:24" ht="13">
      <c r="A2004" s="17"/>
      <c r="B2004" s="17"/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</row>
    <row r="2005" spans="1:24" ht="13">
      <c r="A2005" s="17"/>
      <c r="B2005" s="17"/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</row>
    <row r="2006" spans="1:24" ht="13">
      <c r="A2006" s="17"/>
      <c r="B2006" s="17"/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</row>
    <row r="2007" spans="1:24" ht="13">
      <c r="A2007" s="17"/>
      <c r="B2007" s="17"/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</row>
    <row r="2008" spans="1:24" ht="13">
      <c r="A2008" s="17"/>
      <c r="B2008" s="17"/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</row>
    <row r="2009" spans="1:24" ht="13">
      <c r="A2009" s="17"/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</row>
    <row r="2010" spans="1:24" ht="13">
      <c r="A2010" s="17"/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</row>
    <row r="2011" spans="1:24" ht="13">
      <c r="A2011" s="17"/>
      <c r="B2011" s="17"/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</row>
    <row r="2012" spans="1:24" ht="13">
      <c r="A2012" s="17"/>
      <c r="B2012" s="17"/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</row>
    <row r="2013" spans="1:24" ht="13">
      <c r="A2013" s="17"/>
      <c r="B2013" s="17"/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</row>
    <row r="2014" spans="1:24" ht="13">
      <c r="A2014" s="17"/>
      <c r="B2014" s="17"/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</row>
    <row r="2015" spans="1:24" ht="13">
      <c r="A2015" s="17"/>
      <c r="B2015" s="17"/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</row>
    <row r="2016" spans="1:24" ht="13">
      <c r="A2016" s="17"/>
      <c r="B2016" s="17"/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</row>
    <row r="2017" spans="1:24" ht="13">
      <c r="A2017" s="17"/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</row>
    <row r="2018" spans="1:24" ht="13">
      <c r="A2018" s="17"/>
      <c r="B2018" s="17"/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</row>
    <row r="2019" spans="1:24" ht="13">
      <c r="A2019" s="17"/>
      <c r="B2019" s="17"/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</row>
    <row r="2020" spans="1:24" ht="13">
      <c r="A2020" s="17"/>
      <c r="B2020" s="17"/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</row>
    <row r="2021" spans="1:24" ht="13">
      <c r="A2021" s="17"/>
      <c r="B2021" s="17"/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</row>
    <row r="2022" spans="1:24" ht="13">
      <c r="A2022" s="17"/>
      <c r="B2022" s="17"/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</row>
    <row r="2023" spans="1:24" ht="13">
      <c r="A2023" s="17"/>
      <c r="B2023" s="17"/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</row>
    <row r="2024" spans="1:24" ht="13">
      <c r="A2024" s="17"/>
      <c r="B2024" s="17"/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</row>
    <row r="2025" spans="1:24" ht="13">
      <c r="A2025" s="17"/>
      <c r="B2025" s="17"/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</row>
    <row r="2026" spans="1:24" ht="13">
      <c r="A2026" s="17"/>
      <c r="B2026" s="17"/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</row>
    <row r="2027" spans="1:24" ht="13">
      <c r="A2027" s="17"/>
      <c r="B2027" s="17"/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</row>
    <row r="2028" spans="1:24" ht="13">
      <c r="A2028" s="17"/>
      <c r="B2028" s="17"/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</row>
    <row r="2029" spans="1:24" ht="13">
      <c r="A2029" s="17"/>
      <c r="B2029" s="17"/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</row>
    <row r="2030" spans="1:24" ht="13">
      <c r="A2030" s="17"/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</row>
    <row r="2031" spans="1:24" ht="13">
      <c r="A2031" s="17"/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</row>
    <row r="2032" spans="1:24" ht="13">
      <c r="A2032" s="17"/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</row>
    <row r="2033" spans="1:24" ht="13">
      <c r="A2033" s="17"/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</row>
    <row r="2034" spans="1:24" ht="13">
      <c r="A2034" s="17"/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</row>
    <row r="2035" spans="1:24" ht="13">
      <c r="A2035" s="17"/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</row>
    <row r="2036" spans="1:24" ht="13">
      <c r="A2036" s="17"/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</row>
    <row r="2037" spans="1:24" ht="13">
      <c r="A2037" s="17"/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</row>
    <row r="2038" spans="1:24" ht="13">
      <c r="A2038" s="17"/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</row>
    <row r="2039" spans="1:24" ht="13">
      <c r="A2039" s="17"/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</row>
    <row r="2040" spans="1:24" ht="13">
      <c r="A2040" s="17"/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</row>
    <row r="2041" spans="1:24" ht="13">
      <c r="A2041" s="17"/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</row>
    <row r="2042" spans="1:24" ht="13">
      <c r="A2042" s="17"/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</row>
    <row r="2043" spans="1:24" ht="13">
      <c r="A2043" s="17"/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</row>
    <row r="2044" spans="1:24" ht="13">
      <c r="A2044" s="17"/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</row>
    <row r="2045" spans="1:24" ht="13">
      <c r="A2045" s="17"/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</row>
    <row r="2046" spans="1:24" ht="13">
      <c r="A2046" s="17"/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</row>
    <row r="2047" spans="1:24" ht="13">
      <c r="A2047" s="17"/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</row>
    <row r="2048" spans="1:24" ht="13">
      <c r="A2048" s="17"/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</row>
    <row r="2049" spans="1:24" ht="13">
      <c r="A2049" s="17"/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</row>
    <row r="2050" spans="1:24" ht="13">
      <c r="A2050" s="17"/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</row>
    <row r="2051" spans="1:24" ht="13">
      <c r="A2051" s="17"/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</row>
    <row r="2052" spans="1:24" ht="13">
      <c r="A2052" s="17"/>
      <c r="B2052" s="17"/>
      <c r="C2052" s="17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</row>
    <row r="2053" spans="1:24" ht="13">
      <c r="A2053" s="17"/>
      <c r="B2053" s="17"/>
      <c r="C2053" s="17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</row>
    <row r="2054" spans="1:24" ht="13">
      <c r="A2054" s="17"/>
      <c r="B2054" s="17"/>
      <c r="C2054" s="17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</row>
    <row r="2055" spans="1:24" ht="13">
      <c r="A2055" s="17"/>
      <c r="B2055" s="17"/>
      <c r="C2055" s="17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</row>
    <row r="2056" spans="1:24" ht="13">
      <c r="A2056" s="17"/>
      <c r="B2056" s="17"/>
      <c r="C2056" s="17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</row>
    <row r="2057" spans="1:24" ht="13">
      <c r="A2057" s="17"/>
      <c r="B2057" s="17"/>
      <c r="C2057" s="17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</row>
    <row r="2058" spans="1:24" ht="13">
      <c r="A2058" s="17"/>
      <c r="B2058" s="17"/>
      <c r="C2058" s="17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</row>
    <row r="2059" spans="1:24" ht="13">
      <c r="A2059" s="17"/>
      <c r="B2059" s="17"/>
      <c r="C2059" s="17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</row>
    <row r="2060" spans="1:24" ht="13">
      <c r="A2060" s="17"/>
      <c r="B2060" s="17"/>
      <c r="C2060" s="17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</row>
    <row r="2061" spans="1:24" ht="13">
      <c r="A2061" s="17"/>
      <c r="B2061" s="17"/>
      <c r="C2061" s="17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</row>
    <row r="2062" spans="1:24" ht="13">
      <c r="A2062" s="17"/>
      <c r="B2062" s="17"/>
      <c r="C2062" s="17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</row>
    <row r="2063" spans="1:24" ht="13">
      <c r="A2063" s="17"/>
      <c r="B2063" s="17"/>
      <c r="C2063" s="17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</row>
    <row r="2064" spans="1:24" ht="13">
      <c r="A2064" s="17"/>
      <c r="B2064" s="17"/>
      <c r="C2064" s="17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</row>
    <row r="2065" spans="1:24" ht="13">
      <c r="A2065" s="17"/>
      <c r="B2065" s="17"/>
      <c r="C2065" s="17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</row>
    <row r="2066" spans="1:24" ht="13">
      <c r="A2066" s="17"/>
      <c r="B2066" s="17"/>
      <c r="C2066" s="17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</row>
    <row r="2067" spans="1:24" ht="13">
      <c r="A2067" s="17"/>
      <c r="B2067" s="17"/>
      <c r="C2067" s="17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</row>
    <row r="2068" spans="1:24" ht="13">
      <c r="A2068" s="17"/>
      <c r="B2068" s="17"/>
      <c r="C2068" s="17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</row>
    <row r="2069" spans="1:24" ht="13">
      <c r="A2069" s="17"/>
      <c r="B2069" s="17"/>
      <c r="C2069" s="17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</row>
    <row r="2070" spans="1:24" ht="13">
      <c r="A2070" s="17"/>
      <c r="B2070" s="17"/>
      <c r="C2070" s="17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</row>
    <row r="2071" spans="1:24" ht="13">
      <c r="A2071" s="17"/>
      <c r="B2071" s="17"/>
      <c r="C2071" s="17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</row>
    <row r="2072" spans="1:24" ht="13">
      <c r="A2072" s="17"/>
      <c r="B2072" s="17"/>
      <c r="C2072" s="17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</row>
    <row r="2073" spans="1:24" ht="13">
      <c r="A2073" s="17"/>
      <c r="B2073" s="17"/>
      <c r="C2073" s="17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</row>
    <row r="2074" spans="1:24" ht="13">
      <c r="A2074" s="17"/>
      <c r="B2074" s="17"/>
      <c r="C2074" s="17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</row>
    <row r="2075" spans="1:24" ht="13">
      <c r="A2075" s="17"/>
      <c r="B2075" s="17"/>
      <c r="C2075" s="17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</row>
    <row r="2076" spans="1:24" ht="13">
      <c r="A2076" s="17"/>
      <c r="B2076" s="17"/>
      <c r="C2076" s="17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</row>
    <row r="2077" spans="1:24" ht="13">
      <c r="A2077" s="17"/>
      <c r="B2077" s="17"/>
      <c r="C2077" s="17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</row>
    <row r="2078" spans="1:24" ht="13">
      <c r="A2078" s="17"/>
      <c r="B2078" s="17"/>
      <c r="C2078" s="17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</row>
    <row r="2079" spans="1:24" ht="13">
      <c r="A2079" s="17"/>
      <c r="B2079" s="17"/>
      <c r="C2079" s="17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</row>
    <row r="2080" spans="1:24" ht="13">
      <c r="A2080" s="17"/>
      <c r="B2080" s="17"/>
      <c r="C2080" s="17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</row>
    <row r="2081" spans="1:24" ht="13">
      <c r="A2081" s="17"/>
      <c r="B2081" s="17"/>
      <c r="C2081" s="17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</row>
    <row r="2082" spans="1:24" ht="13">
      <c r="A2082" s="17"/>
      <c r="B2082" s="17"/>
      <c r="C2082" s="17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</row>
    <row r="2083" spans="1:24" ht="13">
      <c r="A2083" s="17"/>
      <c r="B2083" s="17"/>
      <c r="C2083" s="17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</row>
    <row r="2084" spans="1:24" ht="13">
      <c r="A2084" s="17"/>
      <c r="B2084" s="17"/>
      <c r="C2084" s="17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</row>
    <row r="2085" spans="1:24" ht="13">
      <c r="A2085" s="17"/>
      <c r="B2085" s="17"/>
      <c r="C2085" s="17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</row>
    <row r="2086" spans="1:24" ht="13">
      <c r="A2086" s="17"/>
      <c r="B2086" s="17"/>
      <c r="C2086" s="17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</row>
    <row r="2087" spans="1:24" ht="13">
      <c r="A2087" s="17"/>
      <c r="B2087" s="17"/>
      <c r="C2087" s="17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</row>
    <row r="2088" spans="1:24" ht="13">
      <c r="A2088" s="17"/>
      <c r="B2088" s="17"/>
      <c r="C2088" s="17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</row>
    <row r="2089" spans="1:24" ht="13">
      <c r="A2089" s="17"/>
      <c r="B2089" s="17"/>
      <c r="C2089" s="17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</row>
    <row r="2090" spans="1:24" ht="13">
      <c r="A2090" s="17"/>
      <c r="B2090" s="17"/>
      <c r="C2090" s="17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</row>
    <row r="2091" spans="1:24" ht="13">
      <c r="A2091" s="17"/>
      <c r="B2091" s="17"/>
      <c r="C2091" s="17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</row>
    <row r="2092" spans="1:24" ht="13">
      <c r="A2092" s="17"/>
      <c r="B2092" s="17"/>
      <c r="C2092" s="17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</row>
    <row r="2093" spans="1:24" ht="13">
      <c r="A2093" s="17"/>
      <c r="B2093" s="17"/>
      <c r="C2093" s="17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</row>
    <row r="2094" spans="1:24" ht="13">
      <c r="A2094" s="17"/>
      <c r="B2094" s="17"/>
      <c r="C2094" s="17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</row>
    <row r="2095" spans="1:24" ht="13">
      <c r="A2095" s="17"/>
      <c r="B2095" s="17"/>
      <c r="C2095" s="17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</row>
    <row r="2096" spans="1:24" ht="13">
      <c r="A2096" s="17"/>
      <c r="B2096" s="17"/>
      <c r="C2096" s="17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</row>
    <row r="2097" spans="1:24" ht="13">
      <c r="A2097" s="17"/>
      <c r="B2097" s="17"/>
      <c r="C2097" s="17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</row>
    <row r="2098" spans="1:24" ht="13">
      <c r="A2098" s="17"/>
      <c r="B2098" s="17"/>
      <c r="C2098" s="17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</row>
    <row r="2099" spans="1:24" ht="13">
      <c r="A2099" s="17"/>
      <c r="B2099" s="17"/>
      <c r="C2099" s="17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</row>
    <row r="2100" spans="1:24" ht="13">
      <c r="A2100" s="17"/>
      <c r="B2100" s="17"/>
      <c r="C2100" s="17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</row>
    <row r="2101" spans="1:24" ht="13">
      <c r="A2101" s="17"/>
      <c r="B2101" s="17"/>
      <c r="C2101" s="17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</row>
    <row r="2102" spans="1:24" ht="13">
      <c r="A2102" s="17"/>
      <c r="B2102" s="17"/>
      <c r="C2102" s="17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</row>
    <row r="2103" spans="1:24" ht="13">
      <c r="A2103" s="17"/>
      <c r="B2103" s="17"/>
      <c r="C2103" s="17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</row>
    <row r="2104" spans="1:24" ht="13">
      <c r="A2104" s="17"/>
      <c r="B2104" s="17"/>
      <c r="C2104" s="17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</row>
    <row r="2105" spans="1:24" ht="13">
      <c r="A2105" s="17"/>
      <c r="B2105" s="17"/>
      <c r="C2105" s="17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</row>
    <row r="2106" spans="1:24" ht="13">
      <c r="A2106" s="17"/>
      <c r="B2106" s="17"/>
      <c r="C2106" s="17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</row>
    <row r="2107" spans="1:24" ht="13">
      <c r="A2107" s="17"/>
      <c r="B2107" s="17"/>
      <c r="C2107" s="17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</row>
    <row r="2108" spans="1:24" ht="13">
      <c r="A2108" s="17"/>
      <c r="B2108" s="17"/>
      <c r="C2108" s="17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</row>
    <row r="2109" spans="1:24" ht="13">
      <c r="A2109" s="17"/>
      <c r="B2109" s="17"/>
      <c r="C2109" s="17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</row>
    <row r="2110" spans="1:24" ht="13">
      <c r="A2110" s="17"/>
      <c r="B2110" s="17"/>
      <c r="C2110" s="17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</row>
    <row r="2111" spans="1:24" ht="13">
      <c r="A2111" s="17"/>
      <c r="B2111" s="17"/>
      <c r="C2111" s="17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</row>
    <row r="2112" spans="1:24" ht="13">
      <c r="A2112" s="17"/>
      <c r="B2112" s="17"/>
      <c r="C2112" s="17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</row>
    <row r="2113" spans="1:24" ht="13">
      <c r="A2113" s="17"/>
      <c r="B2113" s="17"/>
      <c r="C2113" s="17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</row>
    <row r="2114" spans="1:24" ht="13">
      <c r="A2114" s="17"/>
      <c r="B2114" s="17"/>
      <c r="C2114" s="17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</row>
    <row r="2115" spans="1:24" ht="13">
      <c r="A2115" s="17"/>
      <c r="B2115" s="17"/>
      <c r="C2115" s="17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</row>
    <row r="2116" spans="1:24" ht="13">
      <c r="A2116" s="17"/>
      <c r="B2116" s="17"/>
      <c r="C2116" s="17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</row>
    <row r="2117" spans="1:24" ht="13">
      <c r="A2117" s="17"/>
      <c r="B2117" s="17"/>
      <c r="C2117" s="17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</row>
    <row r="2118" spans="1:24" ht="13">
      <c r="A2118" s="17"/>
      <c r="B2118" s="17"/>
      <c r="C2118" s="17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</row>
    <row r="2119" spans="1:24" ht="13">
      <c r="A2119" s="17"/>
      <c r="B2119" s="17"/>
      <c r="C2119" s="17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</row>
    <row r="2120" spans="1:24" ht="13">
      <c r="A2120" s="17"/>
      <c r="B2120" s="17"/>
      <c r="C2120" s="17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</row>
    <row r="2121" spans="1:24" ht="13">
      <c r="A2121" s="17"/>
      <c r="B2121" s="17"/>
      <c r="C2121" s="17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</row>
    <row r="2122" spans="1:24" ht="13">
      <c r="A2122" s="17"/>
      <c r="B2122" s="17"/>
      <c r="C2122" s="17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</row>
    <row r="2123" spans="1:24" ht="13">
      <c r="A2123" s="17"/>
      <c r="B2123" s="17"/>
      <c r="C2123" s="17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</row>
    <row r="2124" spans="1:24" ht="13">
      <c r="A2124" s="17"/>
      <c r="B2124" s="17"/>
      <c r="C2124" s="17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</row>
    <row r="2125" spans="1:24" ht="13">
      <c r="A2125" s="17"/>
      <c r="B2125" s="17"/>
      <c r="C2125" s="17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I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/>
  <cols>
    <col min="1" max="6" width="12.6640625" customWidth="1"/>
    <col min="9" max="9" width="16.1640625" customWidth="1"/>
    <col min="29" max="29" width="77" customWidth="1"/>
  </cols>
  <sheetData>
    <row r="1" spans="1:35" ht="15.75" customHeight="1">
      <c r="A1" s="212" t="s">
        <v>83</v>
      </c>
      <c r="B1" s="212" t="s">
        <v>92</v>
      </c>
      <c r="C1" s="212" t="s">
        <v>92</v>
      </c>
      <c r="D1" s="203" t="s">
        <v>5881</v>
      </c>
      <c r="E1" s="31"/>
      <c r="F1" s="212" t="s">
        <v>93</v>
      </c>
      <c r="G1" s="212" t="s">
        <v>94</v>
      </c>
      <c r="H1" s="212" t="s">
        <v>5882</v>
      </c>
      <c r="I1" s="213" t="s">
        <v>5883</v>
      </c>
      <c r="J1" s="212" t="s">
        <v>5884</v>
      </c>
      <c r="K1" s="214" t="s">
        <v>5885</v>
      </c>
      <c r="L1" s="212" t="s">
        <v>5886</v>
      </c>
      <c r="M1" s="212" t="s">
        <v>89</v>
      </c>
      <c r="N1" s="215" t="s">
        <v>95</v>
      </c>
      <c r="O1" s="213" t="s">
        <v>684</v>
      </c>
      <c r="P1" s="212" t="s">
        <v>5887</v>
      </c>
      <c r="Q1" s="212" t="s">
        <v>97</v>
      </c>
      <c r="R1" s="212" t="s">
        <v>5888</v>
      </c>
      <c r="S1" s="212" t="s">
        <v>5889</v>
      </c>
      <c r="T1" s="212" t="s">
        <v>5890</v>
      </c>
      <c r="U1" s="212" t="s">
        <v>5891</v>
      </c>
      <c r="V1" s="212"/>
      <c r="W1" s="212" t="s">
        <v>97</v>
      </c>
      <c r="X1" s="216" t="s">
        <v>5892</v>
      </c>
      <c r="Y1" s="212" t="s">
        <v>89</v>
      </c>
      <c r="Z1" s="217" t="s">
        <v>5893</v>
      </c>
      <c r="AA1" s="218"/>
      <c r="AB1" s="212"/>
      <c r="AC1" s="212"/>
      <c r="AD1" s="212"/>
      <c r="AE1" s="212" t="s">
        <v>5892</v>
      </c>
      <c r="AF1" s="212"/>
      <c r="AG1" s="212"/>
      <c r="AH1" s="212"/>
      <c r="AI1" s="212"/>
    </row>
    <row r="2" spans="1:35" ht="15.75" customHeight="1">
      <c r="A2" s="219"/>
      <c r="B2" s="17" t="s">
        <v>5894</v>
      </c>
      <c r="C2" s="17" t="s">
        <v>5894</v>
      </c>
      <c r="D2" s="203"/>
      <c r="E2" s="31"/>
      <c r="F2" s="17"/>
      <c r="G2" s="17"/>
      <c r="H2" s="220"/>
      <c r="I2" s="132"/>
      <c r="J2" s="132"/>
      <c r="K2" s="221"/>
      <c r="L2" s="132"/>
      <c r="M2" s="20"/>
      <c r="N2" s="222"/>
      <c r="O2" s="223"/>
      <c r="P2" s="22" t="s">
        <v>5895</v>
      </c>
      <c r="Q2" s="22"/>
      <c r="R2" s="17" t="s">
        <v>5896</v>
      </c>
      <c r="S2" s="17" t="s">
        <v>5897</v>
      </c>
      <c r="T2" s="132"/>
      <c r="W2" s="22"/>
      <c r="X2" s="224"/>
      <c r="Z2" s="225"/>
      <c r="AA2" s="57"/>
    </row>
    <row r="3" spans="1:35" ht="15.75" customHeight="1">
      <c r="A3" s="219" t="s">
        <v>5898</v>
      </c>
      <c r="B3" s="17" t="s">
        <v>5899</v>
      </c>
      <c r="C3" s="226">
        <v>45135</v>
      </c>
      <c r="D3" s="203" t="s">
        <v>5898</v>
      </c>
      <c r="E3" s="31" t="s">
        <v>5900</v>
      </c>
      <c r="F3" s="17">
        <v>1074.5</v>
      </c>
      <c r="G3" s="17">
        <v>250</v>
      </c>
      <c r="H3" s="220">
        <f ca="1">IFERROR(__xludf.DUMMYFUNCTION("index(sortn(GoogleFinance(D3,""high"",C3, TODAY(),""DAILY""),2,1,2,0),2,2)"),261.95)</f>
        <v>261.95</v>
      </c>
      <c r="I3" s="132">
        <f t="shared" ref="I3:I103" ca="1" si="0">(H3-F3)/F3</f>
        <v>-0.75621219171707765</v>
      </c>
      <c r="J3" s="132" t="str">
        <f t="shared" ref="J3:J103" ca="1" si="1">IF(AND(I3&gt;0.1,I3&lt;0.15),I3-0.07, IF(AND(I3&gt;0.15,I3&lt;0.2), I3-0.09, IF(AND(I3&gt;0.2,I3&lt;0.25), I3-0.08, IF(AND(I3&gt;0.25,I3&lt;0.4), I3-0.1, IF(AND(I3&gt;0.4,I3&lt;0.5), I3-0.13, IF(AND(I3&gt;0.5,I3&lt;0.6), I3-0.15, IF(I3&gt;0.6, I3-0.2, "error")))))))</f>
        <v>error</v>
      </c>
      <c r="K3" s="221" t="e">
        <f t="shared" ref="K3:K103" ca="1" si="2">F3*(1+J3)</f>
        <v>#VALUE!</v>
      </c>
      <c r="L3" s="132">
        <f t="shared" ref="L3:L103" ca="1" si="3">(M3-F3)/F3</f>
        <v>-0.82405770125639832</v>
      </c>
      <c r="M3" s="20">
        <f ca="1">IFERROR(__xludf.DUMMYFUNCTION("GOOGLEFINANCE(""NSE:adffoods"",""price"")"),189.05)</f>
        <v>189.05</v>
      </c>
      <c r="N3" s="222">
        <f t="shared" ref="N3:N103" ca="1" si="4">(M3-F3)*G3</f>
        <v>-221362.5</v>
      </c>
      <c r="O3" s="223">
        <f t="shared" ref="O3:O103" ca="1" si="5">(M3-F3)/F3</f>
        <v>-0.82405770125639832</v>
      </c>
      <c r="P3" s="22">
        <v>1010</v>
      </c>
      <c r="Q3" s="22">
        <v>1492</v>
      </c>
      <c r="R3" s="17">
        <f t="shared" ref="R3:R103" ca="1" si="6">M3-P3</f>
        <v>-820.95</v>
      </c>
      <c r="S3" s="17" t="e">
        <f t="shared" ref="S3:S103" ca="1" si="7">M3-K3</f>
        <v>#VALUE!</v>
      </c>
      <c r="T3" s="132" t="e">
        <f t="shared" ref="T3:T103" ca="1" si="8">S3/F3</f>
        <v>#VALUE!</v>
      </c>
      <c r="U3" s="17">
        <f t="shared" ref="U3:U103" ca="1" si="9">(Q3-M3)</f>
        <v>1302.95</v>
      </c>
      <c r="W3" s="22"/>
      <c r="X3" s="224">
        <f t="shared" ref="X3:X93" ca="1" si="10">MAX(M3,Y3)</f>
        <v>1095</v>
      </c>
      <c r="Y3" s="17">
        <v>1095</v>
      </c>
      <c r="Z3" s="225">
        <f t="shared" ref="Z3:Z103" ca="1" si="11">AB3/Y3</f>
        <v>-0.827351598173516</v>
      </c>
      <c r="AA3" s="57">
        <f t="shared" ref="AA3:AA103" ca="1" si="12">Z3/Y3</f>
        <v>-7.5557223577490051E-4</v>
      </c>
      <c r="AB3" s="17">
        <f t="shared" ref="AB3:AB103" ca="1" si="13">M3-Y3</f>
        <v>-905.95</v>
      </c>
      <c r="AE3" s="17">
        <v>1099</v>
      </c>
    </row>
    <row r="4" spans="1:35" ht="15.75" customHeight="1">
      <c r="A4" s="9" t="s">
        <v>5901</v>
      </c>
      <c r="B4" s="17" t="s">
        <v>5902</v>
      </c>
      <c r="C4" s="226">
        <v>45132</v>
      </c>
      <c r="D4" s="203" t="s">
        <v>5903</v>
      </c>
      <c r="E4" s="31" t="s">
        <v>5904</v>
      </c>
      <c r="F4" s="17">
        <v>835</v>
      </c>
      <c r="G4" s="17">
        <v>300</v>
      </c>
      <c r="H4" s="220">
        <f ca="1">IFERROR(__xludf.DUMMYFUNCTION("index(sortn(GoogleFinance(D4,""high"",C4, TODAY(),""DAILY""),2,1,2,0),2,2)"),1155)</f>
        <v>1155</v>
      </c>
      <c r="I4" s="132">
        <f t="shared" ca="1" si="0"/>
        <v>0.38323353293413176</v>
      </c>
      <c r="J4" s="132">
        <f t="shared" ca="1" si="1"/>
        <v>0.28323353293413178</v>
      </c>
      <c r="K4" s="221">
        <f t="shared" ca="1" si="2"/>
        <v>1071.5</v>
      </c>
      <c r="L4" s="132">
        <f t="shared" ca="1" si="3"/>
        <v>-2.2095808383233589E-2</v>
      </c>
      <c r="M4" s="20">
        <f ca="1">IFERROR(__xludf.DUMMYFUNCTION("GOOGLEFINANCE(""NSE:agarind"",""price"")"),816.55)</f>
        <v>816.55</v>
      </c>
      <c r="N4" s="222">
        <f t="shared" ca="1" si="4"/>
        <v>-5535.0000000000136</v>
      </c>
      <c r="O4" s="223">
        <f t="shared" ca="1" si="5"/>
        <v>-2.2095808383233589E-2</v>
      </c>
      <c r="P4" s="22">
        <v>732</v>
      </c>
      <c r="Q4" s="22">
        <v>960</v>
      </c>
      <c r="R4" s="17">
        <f t="shared" ca="1" si="6"/>
        <v>84.549999999999955</v>
      </c>
      <c r="S4" s="221">
        <f t="shared" ca="1" si="7"/>
        <v>-254.95000000000005</v>
      </c>
      <c r="T4" s="132">
        <f t="shared" ca="1" si="8"/>
        <v>-0.30532934131736533</v>
      </c>
      <c r="U4" s="17">
        <f t="shared" ca="1" si="9"/>
        <v>143.45000000000005</v>
      </c>
      <c r="W4" s="22" t="s">
        <v>5905</v>
      </c>
      <c r="X4" s="224">
        <f t="shared" ca="1" si="10"/>
        <v>840</v>
      </c>
      <c r="Y4" s="17">
        <v>840</v>
      </c>
      <c r="Z4" s="225">
        <f t="shared" ca="1" si="11"/>
        <v>-2.7916666666666722E-2</v>
      </c>
      <c r="AA4" s="57">
        <f t="shared" ca="1" si="12"/>
        <v>-3.3234126984127051E-5</v>
      </c>
      <c r="AB4" s="17">
        <f t="shared" ca="1" si="13"/>
        <v>-23.450000000000045</v>
      </c>
      <c r="AC4" s="9" t="s">
        <v>5906</v>
      </c>
      <c r="AD4" s="17"/>
      <c r="AE4" s="17">
        <v>843.95</v>
      </c>
      <c r="AF4" s="17"/>
      <c r="AG4" s="17"/>
      <c r="AH4" s="17"/>
      <c r="AI4" s="17"/>
    </row>
    <row r="5" spans="1:35" ht="15.75" customHeight="1">
      <c r="A5" s="227" t="s">
        <v>5907</v>
      </c>
      <c r="B5" s="228" t="s">
        <v>5908</v>
      </c>
      <c r="C5" s="229">
        <v>45072</v>
      </c>
      <c r="D5" s="230" t="s">
        <v>2406</v>
      </c>
      <c r="E5" s="231" t="s">
        <v>716</v>
      </c>
      <c r="F5" s="228">
        <v>2500</v>
      </c>
      <c r="G5" s="228">
        <v>75</v>
      </c>
      <c r="H5" s="232">
        <f ca="1">IFERROR(__xludf.DUMMYFUNCTION("index(sortn(GoogleFinance(D5,""high"",C5, TODAY(),""DAILY""),2,1,2,0),2,2)"),3058)</f>
        <v>3058</v>
      </c>
      <c r="I5" s="233">
        <f t="shared" ca="1" si="0"/>
        <v>0.22320000000000001</v>
      </c>
      <c r="J5" s="233">
        <f t="shared" ca="1" si="1"/>
        <v>0.14319999999999999</v>
      </c>
      <c r="K5" s="234">
        <f t="shared" ca="1" si="2"/>
        <v>2858</v>
      </c>
      <c r="L5" s="233">
        <f t="shared" ca="1" si="3"/>
        <v>-1.6E-2</v>
      </c>
      <c r="M5" s="235">
        <f ca="1">IFERROR(__xludf.DUMMYFUNCTION("GOOGLEFINANCE(""NSE:AKZOINDIA"",""price"")"),2460)</f>
        <v>2460</v>
      </c>
      <c r="N5" s="236">
        <f t="shared" ca="1" si="4"/>
        <v>-3000</v>
      </c>
      <c r="O5" s="237">
        <f t="shared" ca="1" si="5"/>
        <v>-1.6E-2</v>
      </c>
      <c r="P5" s="238">
        <v>2630</v>
      </c>
      <c r="Q5" s="238">
        <v>3300</v>
      </c>
      <c r="R5" s="228">
        <f t="shared" ca="1" si="6"/>
        <v>-170</v>
      </c>
      <c r="S5" s="234">
        <f t="shared" ca="1" si="7"/>
        <v>-398</v>
      </c>
      <c r="T5" s="233">
        <f t="shared" ca="1" si="8"/>
        <v>-0.15920000000000001</v>
      </c>
      <c r="U5" s="228">
        <f t="shared" ca="1" si="9"/>
        <v>840</v>
      </c>
      <c r="V5" s="239"/>
      <c r="W5" s="238"/>
      <c r="X5" s="240">
        <f t="shared" ca="1" si="10"/>
        <v>2820</v>
      </c>
      <c r="Y5" s="228">
        <v>2820</v>
      </c>
      <c r="Z5" s="241">
        <f t="shared" ca="1" si="11"/>
        <v>-0.1276595744680851</v>
      </c>
      <c r="AA5" s="242">
        <f t="shared" ca="1" si="12"/>
        <v>-4.526935264825713E-5</v>
      </c>
      <c r="AB5" s="228">
        <f t="shared" ca="1" si="13"/>
        <v>-360</v>
      </c>
      <c r="AC5" s="228" t="s">
        <v>5909</v>
      </c>
      <c r="AD5" s="228"/>
      <c r="AE5" s="228">
        <v>2820</v>
      </c>
      <c r="AF5" s="228"/>
      <c r="AG5" s="228"/>
      <c r="AH5" s="228"/>
      <c r="AI5" s="228"/>
    </row>
    <row r="6" spans="1:35" ht="15.75" customHeight="1">
      <c r="A6" s="227" t="s">
        <v>5910</v>
      </c>
      <c r="B6" s="228" t="s">
        <v>284</v>
      </c>
      <c r="C6" s="229">
        <v>45064</v>
      </c>
      <c r="D6" s="230" t="s">
        <v>5911</v>
      </c>
      <c r="E6" s="231" t="s">
        <v>5912</v>
      </c>
      <c r="F6" s="228">
        <v>332.56</v>
      </c>
      <c r="G6" s="228">
        <v>981</v>
      </c>
      <c r="H6" s="232">
        <f ca="1">IFERROR(__xludf.DUMMYFUNCTION("index(sortn(GoogleFinance(D6,""high"",C6, TODAY(),""DAILY""),2,1,2,0),2,2)"),422.82)</f>
        <v>422.82</v>
      </c>
      <c r="I6" s="233">
        <f t="shared" ca="1" si="0"/>
        <v>0.27140967043541014</v>
      </c>
      <c r="J6" s="233">
        <f t="shared" ca="1" si="1"/>
        <v>0.17140967043541014</v>
      </c>
      <c r="K6" s="234">
        <f t="shared" ca="1" si="2"/>
        <v>389.56400000000002</v>
      </c>
      <c r="L6" s="233">
        <f t="shared" ca="1" si="3"/>
        <v>-0.28103199422660574</v>
      </c>
      <c r="M6" s="235">
        <f ca="1">IFERROR(__xludf.DUMMYFUNCTION("GOOGLEFINANCE(""NSE:aptecht"",""price"")"),239.1)</f>
        <v>239.1</v>
      </c>
      <c r="N6" s="236">
        <f t="shared" ca="1" si="4"/>
        <v>-91684.260000000009</v>
      </c>
      <c r="O6" s="237">
        <f t="shared" ca="1" si="5"/>
        <v>-0.28103199422660574</v>
      </c>
      <c r="P6" s="238">
        <v>318</v>
      </c>
      <c r="Q6" s="238" t="s">
        <v>5913</v>
      </c>
      <c r="R6" s="228">
        <f t="shared" ca="1" si="6"/>
        <v>-78.900000000000006</v>
      </c>
      <c r="S6" s="234">
        <f t="shared" ca="1" si="7"/>
        <v>-150.46400000000003</v>
      </c>
      <c r="T6" s="233">
        <f t="shared" ca="1" si="8"/>
        <v>-0.45244166466201596</v>
      </c>
      <c r="U6" s="228" t="e">
        <f t="shared" ca="1" si="9"/>
        <v>#VALUE!</v>
      </c>
      <c r="V6" s="239"/>
      <c r="W6" s="238">
        <v>700</v>
      </c>
      <c r="X6" s="240">
        <f t="shared" ca="1" si="10"/>
        <v>339</v>
      </c>
      <c r="Y6" s="228">
        <v>339</v>
      </c>
      <c r="Z6" s="241">
        <f t="shared" ca="1" si="11"/>
        <v>-0.29469026548672567</v>
      </c>
      <c r="AA6" s="242">
        <f t="shared" ca="1" si="12"/>
        <v>-8.6929281854491352E-4</v>
      </c>
      <c r="AB6" s="228">
        <f t="shared" ca="1" si="13"/>
        <v>-99.9</v>
      </c>
      <c r="AC6" s="228" t="s">
        <v>5914</v>
      </c>
      <c r="AD6" s="228"/>
      <c r="AE6" s="228">
        <v>339</v>
      </c>
      <c r="AF6" s="228"/>
      <c r="AG6" s="228"/>
      <c r="AH6" s="228"/>
      <c r="AI6" s="228"/>
    </row>
    <row r="7" spans="1:35" ht="15.75" customHeight="1">
      <c r="A7" s="243" t="s">
        <v>344</v>
      </c>
      <c r="B7" s="244" t="s">
        <v>345</v>
      </c>
      <c r="C7" s="245">
        <v>45098</v>
      </c>
      <c r="D7" s="246" t="s">
        <v>5915</v>
      </c>
      <c r="E7" s="247" t="s">
        <v>5916</v>
      </c>
      <c r="F7" s="244">
        <v>356</v>
      </c>
      <c r="G7" s="244">
        <v>1750</v>
      </c>
      <c r="H7" s="248">
        <f ca="1">IFERROR(__xludf.DUMMYFUNCTION("index(sortn(GoogleFinance(D7,""high"",C7, TODAY(),""DAILY""),2,1,2,0),2,2)"),750.75)</f>
        <v>750.75</v>
      </c>
      <c r="I7" s="249">
        <f t="shared" ca="1" si="0"/>
        <v>1.1088483146067416</v>
      </c>
      <c r="J7" s="249">
        <f t="shared" ca="1" si="1"/>
        <v>0.90884831460674165</v>
      </c>
      <c r="K7" s="250">
        <f t="shared" ca="1" si="2"/>
        <v>679.55000000000007</v>
      </c>
      <c r="L7" s="249">
        <f t="shared" ca="1" si="3"/>
        <v>0.86741573033707853</v>
      </c>
      <c r="M7" s="251">
        <f ca="1">IFERROR(__xludf.DUMMYFUNCTION("GOOGLEFINANCE(""NSE:arvsmart"",""price"")"),664.8)</f>
        <v>664.8</v>
      </c>
      <c r="N7" s="252">
        <f t="shared" ca="1" si="4"/>
        <v>540399.99999999988</v>
      </c>
      <c r="O7" s="253">
        <f t="shared" ca="1" si="5"/>
        <v>0.86741573033707853</v>
      </c>
      <c r="P7" s="254">
        <v>355</v>
      </c>
      <c r="Q7" s="254">
        <v>460</v>
      </c>
      <c r="R7" s="244">
        <f t="shared" ca="1" si="6"/>
        <v>309.79999999999995</v>
      </c>
      <c r="S7" s="250">
        <f t="shared" ca="1" si="7"/>
        <v>-14.750000000000114</v>
      </c>
      <c r="T7" s="249">
        <f t="shared" ca="1" si="8"/>
        <v>-4.1432584269663238E-2</v>
      </c>
      <c r="U7" s="244">
        <f t="shared" ca="1" si="9"/>
        <v>-204.79999999999995</v>
      </c>
      <c r="V7" s="21"/>
      <c r="W7" s="254"/>
      <c r="X7" s="255">
        <f t="shared" ca="1" si="10"/>
        <v>664.8</v>
      </c>
      <c r="Y7" s="244">
        <v>390.8</v>
      </c>
      <c r="Z7" s="256">
        <f t="shared" ca="1" si="11"/>
        <v>0.70112589559877159</v>
      </c>
      <c r="AA7" s="257">
        <f t="shared" ca="1" si="12"/>
        <v>1.7940785455444514E-3</v>
      </c>
      <c r="AB7" s="244">
        <f t="shared" ca="1" si="13"/>
        <v>273.99999999999994</v>
      </c>
      <c r="AC7" s="244" t="s">
        <v>5917</v>
      </c>
      <c r="AD7" s="244"/>
      <c r="AE7" s="244">
        <v>390.8</v>
      </c>
      <c r="AF7" s="244"/>
      <c r="AG7" s="244"/>
      <c r="AH7" s="244"/>
      <c r="AI7" s="244"/>
    </row>
    <row r="8" spans="1:35" ht="15.75" customHeight="1">
      <c r="A8" s="243" t="s">
        <v>447</v>
      </c>
      <c r="B8" s="244" t="s">
        <v>348</v>
      </c>
      <c r="C8" s="245">
        <v>45084</v>
      </c>
      <c r="D8" s="246" t="s">
        <v>5918</v>
      </c>
      <c r="E8" s="247" t="s">
        <v>447</v>
      </c>
      <c r="F8" s="244">
        <v>277</v>
      </c>
      <c r="G8" s="244">
        <v>1000</v>
      </c>
      <c r="H8" s="248">
        <f ca="1">IFERROR(__xludf.DUMMYFUNCTION("index(sortn(GoogleFinance(D8,""high"",C8, TODAY(),""DAILY""),2,1,2,0),2,2)"),500)</f>
        <v>500</v>
      </c>
      <c r="I8" s="249">
        <f t="shared" ca="1" si="0"/>
        <v>0.80505415162454874</v>
      </c>
      <c r="J8" s="249">
        <f t="shared" ca="1" si="1"/>
        <v>0.60505415162454868</v>
      </c>
      <c r="K8" s="250">
        <f t="shared" ca="1" si="2"/>
        <v>444.59999999999997</v>
      </c>
      <c r="L8" s="249">
        <f t="shared" ca="1" si="3"/>
        <v>0.75812274368231047</v>
      </c>
      <c r="M8" s="251">
        <f ca="1">IFERROR(__xludf.DUMMYFUNCTION("GOOGLEFINANCE(""NSE:asterdm"",""price"")"),487)</f>
        <v>487</v>
      </c>
      <c r="N8" s="252">
        <f t="shared" ca="1" si="4"/>
        <v>210000</v>
      </c>
      <c r="O8" s="253">
        <f t="shared" ca="1" si="5"/>
        <v>0.75812274368231047</v>
      </c>
      <c r="P8" s="254">
        <v>294</v>
      </c>
      <c r="Q8" s="254">
        <v>350</v>
      </c>
      <c r="R8" s="244">
        <f t="shared" ca="1" si="6"/>
        <v>193</v>
      </c>
      <c r="S8" s="250">
        <f t="shared" ca="1" si="7"/>
        <v>42.400000000000034</v>
      </c>
      <c r="T8" s="249">
        <f t="shared" ca="1" si="8"/>
        <v>0.15306859205776185</v>
      </c>
      <c r="U8" s="244">
        <f t="shared" ca="1" si="9"/>
        <v>-137</v>
      </c>
      <c r="V8" s="21"/>
      <c r="W8" s="254"/>
      <c r="X8" s="255">
        <f t="shared" ca="1" si="10"/>
        <v>487</v>
      </c>
      <c r="Y8" s="244">
        <v>321.5</v>
      </c>
      <c r="Z8" s="256">
        <f t="shared" ca="1" si="11"/>
        <v>0.51477449455676516</v>
      </c>
      <c r="AA8" s="257">
        <f t="shared" ca="1" si="12"/>
        <v>1.6011648353243084E-3</v>
      </c>
      <c r="AB8" s="244">
        <f t="shared" ca="1" si="13"/>
        <v>165.5</v>
      </c>
      <c r="AC8" s="244" t="s">
        <v>5919</v>
      </c>
      <c r="AD8" s="244"/>
      <c r="AE8" s="244">
        <v>321.5</v>
      </c>
      <c r="AF8" s="244"/>
      <c r="AG8" s="244"/>
      <c r="AH8" s="244"/>
      <c r="AI8" s="244"/>
    </row>
    <row r="9" spans="1:35" ht="15.75" customHeight="1">
      <c r="A9" s="9" t="s">
        <v>5920</v>
      </c>
      <c r="B9" s="17" t="s">
        <v>444</v>
      </c>
      <c r="C9" s="226">
        <v>45071</v>
      </c>
      <c r="D9" s="203" t="s">
        <v>5921</v>
      </c>
      <c r="E9" s="31" t="s">
        <v>5920</v>
      </c>
      <c r="F9" s="17">
        <v>380</v>
      </c>
      <c r="G9" s="17">
        <v>750</v>
      </c>
      <c r="H9" s="220">
        <f ca="1">IFERROR(__xludf.DUMMYFUNCTION("index(sortn(GoogleFinance(D9,""high"",C9, TODAY(),""DAILY""),2,1,2,0),2,2)"),850)</f>
        <v>850</v>
      </c>
      <c r="I9" s="132">
        <f t="shared" ca="1" si="0"/>
        <v>1.236842105263158</v>
      </c>
      <c r="J9" s="132">
        <f t="shared" ca="1" si="1"/>
        <v>1.036842105263158</v>
      </c>
      <c r="K9" s="221">
        <f t="shared" ca="1" si="2"/>
        <v>774.00000000000011</v>
      </c>
      <c r="L9" s="132">
        <f t="shared" ca="1" si="3"/>
        <v>0.6</v>
      </c>
      <c r="M9" s="20">
        <f ca="1">IFERROR(__xludf.DUMMYFUNCTION("GOOGLEFINANCE(""NSE:axiscades"",""price"")"),608)</f>
        <v>608</v>
      </c>
      <c r="N9" s="10">
        <f t="shared" ca="1" si="4"/>
        <v>171000</v>
      </c>
      <c r="O9" s="223">
        <f t="shared" ca="1" si="5"/>
        <v>0.6</v>
      </c>
      <c r="P9" s="22">
        <v>443</v>
      </c>
      <c r="Q9" s="22">
        <v>570</v>
      </c>
      <c r="R9" s="17">
        <f t="shared" ca="1" si="6"/>
        <v>165</v>
      </c>
      <c r="S9" s="221">
        <f t="shared" ca="1" si="7"/>
        <v>-166.00000000000011</v>
      </c>
      <c r="T9" s="132">
        <f t="shared" ca="1" si="8"/>
        <v>-0.4368421052631582</v>
      </c>
      <c r="U9" s="17">
        <f t="shared" ca="1" si="9"/>
        <v>-38</v>
      </c>
      <c r="W9" s="22" t="s">
        <v>5922</v>
      </c>
      <c r="X9" s="224">
        <f t="shared" ca="1" si="10"/>
        <v>608</v>
      </c>
      <c r="Y9" s="17">
        <v>481</v>
      </c>
      <c r="Z9" s="225">
        <f t="shared" ca="1" si="11"/>
        <v>0.26403326403326405</v>
      </c>
      <c r="AA9" s="57">
        <f t="shared" ca="1" si="12"/>
        <v>5.4892570485086086E-4</v>
      </c>
      <c r="AB9" s="17">
        <f t="shared" ca="1" si="13"/>
        <v>127</v>
      </c>
      <c r="AC9" s="17" t="s">
        <v>5923</v>
      </c>
      <c r="AD9" s="17"/>
      <c r="AE9" s="17">
        <v>487.4</v>
      </c>
      <c r="AF9" s="17"/>
      <c r="AG9" s="17"/>
      <c r="AH9" s="17"/>
      <c r="AI9" s="17"/>
    </row>
    <row r="10" spans="1:35" ht="15.75" customHeight="1">
      <c r="A10" s="243" t="s">
        <v>5924</v>
      </c>
      <c r="B10" s="244" t="s">
        <v>313</v>
      </c>
      <c r="C10" s="245">
        <v>45078</v>
      </c>
      <c r="D10" s="246" t="s">
        <v>5925</v>
      </c>
      <c r="E10" s="247" t="s">
        <v>5926</v>
      </c>
      <c r="F10" s="244">
        <v>7250</v>
      </c>
      <c r="G10" s="244">
        <v>30</v>
      </c>
      <c r="H10" s="248">
        <f ca="1">IFERROR(__xludf.DUMMYFUNCTION("index(sortn(GoogleFinance(D10,""high"",C10, TODAY(),""DAILY""),2,1,2,0),2,2)"),9348.95)</f>
        <v>9348.9500000000007</v>
      </c>
      <c r="I10" s="249">
        <f t="shared" ca="1" si="0"/>
        <v>0.28951034482758631</v>
      </c>
      <c r="J10" s="249">
        <f t="shared" ca="1" si="1"/>
        <v>0.1895103448275863</v>
      </c>
      <c r="K10" s="250">
        <f t="shared" ca="1" si="2"/>
        <v>8623.9500000000007</v>
      </c>
      <c r="L10" s="249">
        <f t="shared" ca="1" si="3"/>
        <v>0.1296551724137931</v>
      </c>
      <c r="M10" s="251">
        <f ca="1">IFERROR(__xludf.DUMMYFUNCTION("GOOGLEFINANCE(""NSE:bajajhldng"",""price"")"),8190)</f>
        <v>8190</v>
      </c>
      <c r="N10" s="252">
        <f t="shared" ca="1" si="4"/>
        <v>28200</v>
      </c>
      <c r="O10" s="253">
        <f t="shared" ca="1" si="5"/>
        <v>0.1296551724137931</v>
      </c>
      <c r="P10" s="254">
        <v>6730</v>
      </c>
      <c r="Q10" s="254" t="s">
        <v>5913</v>
      </c>
      <c r="R10" s="244">
        <f t="shared" ca="1" si="6"/>
        <v>1460</v>
      </c>
      <c r="S10" s="250">
        <f t="shared" ca="1" si="7"/>
        <v>-433.95000000000073</v>
      </c>
      <c r="T10" s="249">
        <f t="shared" ca="1" si="8"/>
        <v>-5.9855172413793206E-2</v>
      </c>
      <c r="U10" s="244" t="e">
        <f t="shared" ca="1" si="9"/>
        <v>#VALUE!</v>
      </c>
      <c r="V10" s="21"/>
      <c r="W10" s="254"/>
      <c r="X10" s="255">
        <f t="shared" ca="1" si="10"/>
        <v>8190</v>
      </c>
      <c r="Y10" s="244">
        <v>7400</v>
      </c>
      <c r="Z10" s="256">
        <f t="shared" ca="1" si="11"/>
        <v>0.10675675675675676</v>
      </c>
      <c r="AA10" s="257">
        <f t="shared" ca="1" si="12"/>
        <v>1.4426588750913075E-5</v>
      </c>
      <c r="AB10" s="244">
        <f t="shared" ca="1" si="13"/>
        <v>790</v>
      </c>
      <c r="AC10" s="244" t="s">
        <v>5927</v>
      </c>
      <c r="AD10" s="244"/>
      <c r="AE10" s="244">
        <v>7501</v>
      </c>
      <c r="AF10" s="244"/>
      <c r="AG10" s="244"/>
      <c r="AH10" s="244"/>
      <c r="AI10" s="244"/>
    </row>
    <row r="11" spans="1:35" ht="15.75" customHeight="1">
      <c r="A11" s="243" t="s">
        <v>385</v>
      </c>
      <c r="B11" s="244" t="s">
        <v>266</v>
      </c>
      <c r="C11" s="245">
        <v>45062</v>
      </c>
      <c r="D11" s="246" t="s">
        <v>5928</v>
      </c>
      <c r="E11" s="247" t="s">
        <v>5929</v>
      </c>
      <c r="F11" s="244">
        <v>271.3</v>
      </c>
      <c r="G11" s="244">
        <v>800</v>
      </c>
      <c r="H11" s="248">
        <f ca="1">IFERROR(__xludf.DUMMYFUNCTION("index(sortn(GoogleFinance(D11,""high"",C11, TODAY(),""DAILY""),2,1,2,0),2,2)"),733.95)</f>
        <v>733.95</v>
      </c>
      <c r="I11" s="249">
        <f t="shared" ca="1" si="0"/>
        <v>1.705307777368227</v>
      </c>
      <c r="J11" s="249">
        <f t="shared" ca="1" si="1"/>
        <v>1.5053077773682271</v>
      </c>
      <c r="K11" s="250">
        <f t="shared" ca="1" si="2"/>
        <v>679.68999999999994</v>
      </c>
      <c r="L11" s="249">
        <f t="shared" ca="1" si="3"/>
        <v>1.2410615554736453</v>
      </c>
      <c r="M11" s="251">
        <f ca="1">IFERROR(__xludf.DUMMYFUNCTION("GOOGLEFINANCE(""NSE:bancoindia"",""price"")"),608)</f>
        <v>608</v>
      </c>
      <c r="N11" s="252">
        <f t="shared" ca="1" si="4"/>
        <v>269360</v>
      </c>
      <c r="O11" s="253">
        <f t="shared" ca="1" si="5"/>
        <v>1.2410615554736453</v>
      </c>
      <c r="P11" s="254">
        <v>323</v>
      </c>
      <c r="Q11" s="254">
        <v>360</v>
      </c>
      <c r="R11" s="244">
        <f t="shared" ca="1" si="6"/>
        <v>285</v>
      </c>
      <c r="S11" s="250">
        <f t="shared" ca="1" si="7"/>
        <v>-71.689999999999941</v>
      </c>
      <c r="T11" s="249">
        <f t="shared" ca="1" si="8"/>
        <v>-0.26424622189458141</v>
      </c>
      <c r="U11" s="244">
        <f t="shared" ca="1" si="9"/>
        <v>-248</v>
      </c>
      <c r="V11" s="21"/>
      <c r="W11" s="254" t="s">
        <v>5930</v>
      </c>
      <c r="X11" s="255">
        <f t="shared" ca="1" si="10"/>
        <v>608</v>
      </c>
      <c r="Y11" s="244">
        <v>354.8</v>
      </c>
      <c r="Z11" s="256">
        <f t="shared" ca="1" si="11"/>
        <v>0.71364148816234496</v>
      </c>
      <c r="AA11" s="257">
        <f t="shared" ca="1" si="12"/>
        <v>2.0113908911001828E-3</v>
      </c>
      <c r="AB11" s="244">
        <f t="shared" ca="1" si="13"/>
        <v>253.2</v>
      </c>
      <c r="AC11" s="244" t="s">
        <v>5931</v>
      </c>
      <c r="AD11" s="244"/>
      <c r="AE11" s="244">
        <v>354.8</v>
      </c>
      <c r="AF11" s="244"/>
      <c r="AG11" s="244"/>
      <c r="AH11" s="244"/>
      <c r="AI11" s="244"/>
    </row>
    <row r="12" spans="1:35" ht="15.75" customHeight="1">
      <c r="A12" s="227" t="s">
        <v>5932</v>
      </c>
      <c r="B12" s="228" t="s">
        <v>345</v>
      </c>
      <c r="C12" s="229">
        <v>45098</v>
      </c>
      <c r="D12" s="230" t="s">
        <v>5933</v>
      </c>
      <c r="E12" s="231" t="s">
        <v>5934</v>
      </c>
      <c r="F12" s="228">
        <v>176</v>
      </c>
      <c r="G12" s="228">
        <v>1750</v>
      </c>
      <c r="H12" s="232">
        <f ca="1">IFERROR(__xludf.DUMMYFUNCTION("index(sortn(GoogleFinance(D12,""high"",C12, TODAY(),""DAILY""),2,1,2,0),2,2)"),429.7)</f>
        <v>429.7</v>
      </c>
      <c r="I12" s="233">
        <f t="shared" ca="1" si="0"/>
        <v>1.4414772727272727</v>
      </c>
      <c r="J12" s="233">
        <f t="shared" ca="1" si="1"/>
        <v>1.2414772727272727</v>
      </c>
      <c r="K12" s="234">
        <f t="shared" ca="1" si="2"/>
        <v>394.49999999999994</v>
      </c>
      <c r="L12" s="233">
        <f t="shared" ca="1" si="3"/>
        <v>0.49829545454545449</v>
      </c>
      <c r="M12" s="235">
        <f ca="1">IFERROR(__xludf.DUMMYFUNCTION("GOOGLEFINANCE(""NSE:birlacable"",""price"")"),263.7)</f>
        <v>263.7</v>
      </c>
      <c r="N12" s="236">
        <f t="shared" ca="1" si="4"/>
        <v>153474.99999999997</v>
      </c>
      <c r="O12" s="237">
        <f t="shared" ca="1" si="5"/>
        <v>0.49829545454545449</v>
      </c>
      <c r="P12" s="238">
        <v>180</v>
      </c>
      <c r="Q12" s="238">
        <v>220</v>
      </c>
      <c r="R12" s="228">
        <f t="shared" ca="1" si="6"/>
        <v>83.699999999999989</v>
      </c>
      <c r="S12" s="234">
        <f t="shared" ca="1" si="7"/>
        <v>-130.79999999999995</v>
      </c>
      <c r="T12" s="233">
        <f t="shared" ca="1" si="8"/>
        <v>-0.74318181818181794</v>
      </c>
      <c r="U12" s="228">
        <f t="shared" ca="1" si="9"/>
        <v>-43.699999999999989</v>
      </c>
      <c r="V12" s="239"/>
      <c r="W12" s="238"/>
      <c r="X12" s="240">
        <f t="shared" ca="1" si="10"/>
        <v>263.7</v>
      </c>
      <c r="Y12" s="228">
        <v>190.9</v>
      </c>
      <c r="Z12" s="241">
        <f t="shared" ca="1" si="11"/>
        <v>0.38135149292823456</v>
      </c>
      <c r="AA12" s="242">
        <f t="shared" ca="1" si="12"/>
        <v>1.9976505653652938E-3</v>
      </c>
      <c r="AB12" s="228">
        <f t="shared" ca="1" si="13"/>
        <v>72.799999999999983</v>
      </c>
      <c r="AC12" s="228" t="s">
        <v>5935</v>
      </c>
      <c r="AD12" s="228"/>
      <c r="AE12" s="228">
        <v>190.95</v>
      </c>
      <c r="AF12" s="228"/>
      <c r="AG12" s="228"/>
      <c r="AH12" s="228"/>
      <c r="AI12" s="228"/>
    </row>
    <row r="13" spans="1:35" ht="15.75" customHeight="1">
      <c r="A13" s="243" t="s">
        <v>463</v>
      </c>
      <c r="B13" s="244" t="s">
        <v>435</v>
      </c>
      <c r="C13" s="245">
        <v>45091</v>
      </c>
      <c r="D13" s="246" t="s">
        <v>5936</v>
      </c>
      <c r="E13" s="247" t="s">
        <v>5937</v>
      </c>
      <c r="F13" s="244">
        <v>577</v>
      </c>
      <c r="G13" s="244">
        <v>900</v>
      </c>
      <c r="H13" s="248">
        <f ca="1">IFERROR(__xludf.DUMMYFUNCTION("index(sortn(GoogleFinance(D13,""high"",C13, TODAY(),""DAILY""),2,1,2,0),2,2)"),1108)</f>
        <v>1108</v>
      </c>
      <c r="I13" s="249">
        <f t="shared" ca="1" si="0"/>
        <v>0.92027729636048528</v>
      </c>
      <c r="J13" s="249">
        <f t="shared" ca="1" si="1"/>
        <v>0.72027729636048532</v>
      </c>
      <c r="K13" s="250">
        <f t="shared" ca="1" si="2"/>
        <v>992.6</v>
      </c>
      <c r="L13" s="249">
        <f t="shared" ca="1" si="3"/>
        <v>0.739688041594454</v>
      </c>
      <c r="M13" s="251">
        <f ca="1">IFERROR(__xludf.DUMMYFUNCTION("GOOGLEFINANCE(""NSE:brigade"",""price"")"),1003.8)</f>
        <v>1003.8</v>
      </c>
      <c r="N13" s="252">
        <f t="shared" ca="1" si="4"/>
        <v>384119.99999999994</v>
      </c>
      <c r="O13" s="253">
        <f t="shared" ca="1" si="5"/>
        <v>0.739688041594454</v>
      </c>
      <c r="P13" s="254">
        <v>559</v>
      </c>
      <c r="Q13" s="254">
        <v>740</v>
      </c>
      <c r="R13" s="244">
        <f t="shared" ca="1" si="6"/>
        <v>444.79999999999995</v>
      </c>
      <c r="S13" s="250">
        <f t="shared" ca="1" si="7"/>
        <v>11.199999999999932</v>
      </c>
      <c r="T13" s="249">
        <f t="shared" ca="1" si="8"/>
        <v>1.9410745233968685E-2</v>
      </c>
      <c r="U13" s="244">
        <f t="shared" ca="1" si="9"/>
        <v>-263.79999999999995</v>
      </c>
      <c r="V13" s="21"/>
      <c r="W13" s="254"/>
      <c r="X13" s="255">
        <f t="shared" ca="1" si="10"/>
        <v>1003.8</v>
      </c>
      <c r="Y13" s="244">
        <v>586</v>
      </c>
      <c r="Z13" s="256">
        <f t="shared" ca="1" si="11"/>
        <v>0.71296928327645048</v>
      </c>
      <c r="AA13" s="257">
        <f t="shared" ca="1" si="12"/>
        <v>1.2166711318710758E-3</v>
      </c>
      <c r="AB13" s="244">
        <f t="shared" ca="1" si="13"/>
        <v>417.79999999999995</v>
      </c>
      <c r="AC13" s="244" t="s">
        <v>5938</v>
      </c>
      <c r="AD13" s="244"/>
      <c r="AE13" s="244">
        <v>592</v>
      </c>
      <c r="AF13" s="244"/>
      <c r="AG13" s="244"/>
      <c r="AH13" s="244"/>
      <c r="AI13" s="244"/>
    </row>
    <row r="14" spans="1:35" ht="15.75" customHeight="1">
      <c r="A14" s="227" t="s">
        <v>403</v>
      </c>
      <c r="B14" s="228" t="s">
        <v>313</v>
      </c>
      <c r="C14" s="229">
        <v>45078</v>
      </c>
      <c r="D14" s="230" t="s">
        <v>5939</v>
      </c>
      <c r="E14" s="231" t="s">
        <v>403</v>
      </c>
      <c r="F14" s="228">
        <v>3770</v>
      </c>
      <c r="G14" s="228">
        <v>56</v>
      </c>
      <c r="H14" s="232">
        <f ca="1">IFERROR(__xludf.DUMMYFUNCTION("index(sortn(GoogleFinance(D14,""high"",C14, TODAY(),""DAILY""),2,1,2,0),2,2)"),5268.5)</f>
        <v>5268.5</v>
      </c>
      <c r="I14" s="233">
        <f t="shared" ca="1" si="0"/>
        <v>0.39748010610079576</v>
      </c>
      <c r="J14" s="233">
        <f t="shared" ca="1" si="1"/>
        <v>0.29748010610079578</v>
      </c>
      <c r="K14" s="234">
        <f t="shared" ca="1" si="2"/>
        <v>4891.5000000000009</v>
      </c>
      <c r="L14" s="233">
        <f t="shared" ca="1" si="3"/>
        <v>0.27851458885941643</v>
      </c>
      <c r="M14" s="235">
        <f ca="1">IFERROR(__xludf.DUMMYFUNCTION("GOOGLEFINANCE(""NSE:crisil"",""price"")"),4820)</f>
        <v>4820</v>
      </c>
      <c r="N14" s="236">
        <f t="shared" ca="1" si="4"/>
        <v>58800</v>
      </c>
      <c r="O14" s="237">
        <f t="shared" ca="1" si="5"/>
        <v>0.27851458885941643</v>
      </c>
      <c r="P14" s="238">
        <v>3675</v>
      </c>
      <c r="Q14" s="238">
        <v>4473</v>
      </c>
      <c r="R14" s="228">
        <f t="shared" ca="1" si="6"/>
        <v>1145</v>
      </c>
      <c r="S14" s="234">
        <f t="shared" ca="1" si="7"/>
        <v>-71.500000000000909</v>
      </c>
      <c r="T14" s="233">
        <f t="shared" ca="1" si="8"/>
        <v>-1.8965517241379553E-2</v>
      </c>
      <c r="U14" s="228">
        <f t="shared" ca="1" si="9"/>
        <v>-347</v>
      </c>
      <c r="V14" s="239"/>
      <c r="W14" s="238" t="s">
        <v>5940</v>
      </c>
      <c r="X14" s="240">
        <f t="shared" ca="1" si="10"/>
        <v>4820</v>
      </c>
      <c r="Y14" s="228">
        <v>3872.25</v>
      </c>
      <c r="Z14" s="241">
        <f t="shared" ca="1" si="11"/>
        <v>0.2447543417909484</v>
      </c>
      <c r="AA14" s="242">
        <f t="shared" ca="1" si="12"/>
        <v>6.3207267555283979E-5</v>
      </c>
      <c r="AB14" s="228">
        <f t="shared" ca="1" si="13"/>
        <v>947.75</v>
      </c>
      <c r="AC14" s="228" t="s">
        <v>5941</v>
      </c>
      <c r="AD14" s="228"/>
      <c r="AE14" s="228">
        <v>3910.05</v>
      </c>
      <c r="AF14" s="228"/>
      <c r="AG14" s="228"/>
      <c r="AH14" s="228"/>
      <c r="AI14" s="228"/>
    </row>
    <row r="15" spans="1:35" ht="15.75" customHeight="1">
      <c r="A15" s="227" t="s">
        <v>5942</v>
      </c>
      <c r="B15" s="228" t="s">
        <v>5943</v>
      </c>
      <c r="C15" s="229">
        <v>45105</v>
      </c>
      <c r="D15" s="230" t="s">
        <v>5944</v>
      </c>
      <c r="E15" s="231" t="s">
        <v>5945</v>
      </c>
      <c r="F15" s="228">
        <v>178.3</v>
      </c>
      <c r="G15" s="228">
        <v>1000</v>
      </c>
      <c r="H15" s="232">
        <f ca="1">IFERROR(__xludf.DUMMYFUNCTION("index(sortn(GoogleFinance(D15,""high"",C15, TODAY(),""DAILY""),2,1,2,0),2,2)"),331.75)</f>
        <v>331.75</v>
      </c>
      <c r="I15" s="233">
        <f t="shared" ca="1" si="0"/>
        <v>0.86062815479528876</v>
      </c>
      <c r="J15" s="233">
        <f t="shared" ca="1" si="1"/>
        <v>0.6606281547952888</v>
      </c>
      <c r="K15" s="234">
        <f t="shared" ca="1" si="2"/>
        <v>296.09000000000003</v>
      </c>
      <c r="L15" s="233">
        <f t="shared" ca="1" si="3"/>
        <v>0.70499158721256294</v>
      </c>
      <c r="M15" s="235">
        <f ca="1">IFERROR(__xludf.DUMMYFUNCTION("GOOGLEFINANCE(""NSE:deepinds"",""price"")"),304)</f>
        <v>304</v>
      </c>
      <c r="N15" s="236">
        <f t="shared" ca="1" si="4"/>
        <v>125699.99999999999</v>
      </c>
      <c r="O15" s="237">
        <f t="shared" ca="1" si="5"/>
        <v>0.70499158721256294</v>
      </c>
      <c r="P15" s="238">
        <v>209</v>
      </c>
      <c r="Q15" s="238">
        <v>230</v>
      </c>
      <c r="R15" s="228">
        <f t="shared" ca="1" si="6"/>
        <v>95</v>
      </c>
      <c r="S15" s="234">
        <f t="shared" ca="1" si="7"/>
        <v>7.9099999999999682</v>
      </c>
      <c r="T15" s="233">
        <f t="shared" ca="1" si="8"/>
        <v>4.4363432417274078E-2</v>
      </c>
      <c r="U15" s="228">
        <f t="shared" ca="1" si="9"/>
        <v>-74</v>
      </c>
      <c r="V15" s="239"/>
      <c r="W15" s="238" t="s">
        <v>5946</v>
      </c>
      <c r="X15" s="240">
        <f t="shared" ca="1" si="10"/>
        <v>304</v>
      </c>
      <c r="Y15" s="228">
        <v>229.5</v>
      </c>
      <c r="Z15" s="241">
        <f t="shared" ca="1" si="11"/>
        <v>0.32461873638344224</v>
      </c>
      <c r="AA15" s="242">
        <f t="shared" ca="1" si="12"/>
        <v>1.4144607249823192E-3</v>
      </c>
      <c r="AB15" s="228">
        <f t="shared" ca="1" si="13"/>
        <v>74.5</v>
      </c>
      <c r="AC15" s="228" t="s">
        <v>5947</v>
      </c>
      <c r="AD15" s="228"/>
      <c r="AE15" s="228">
        <v>229.5</v>
      </c>
      <c r="AF15" s="228"/>
      <c r="AG15" s="228"/>
      <c r="AH15" s="228"/>
      <c r="AI15" s="228"/>
    </row>
    <row r="16" spans="1:35" ht="15.75" customHeight="1">
      <c r="A16" s="243" t="s">
        <v>5948</v>
      </c>
      <c r="B16" s="244" t="s">
        <v>415</v>
      </c>
      <c r="C16" s="245">
        <v>45114</v>
      </c>
      <c r="D16" s="246" t="s">
        <v>5949</v>
      </c>
      <c r="E16" s="247" t="s">
        <v>5948</v>
      </c>
      <c r="F16" s="244">
        <v>504</v>
      </c>
      <c r="G16" s="244">
        <v>300</v>
      </c>
      <c r="H16" s="248">
        <f ca="1">IFERROR(__xludf.DUMMYFUNCTION("index(sortn(GoogleFinance(D16,""high"",C16, TODAY(),""DAILY""),2,1,2,0),2,2)"),1087)</f>
        <v>1087</v>
      </c>
      <c r="I16" s="249">
        <f t="shared" ca="1" si="0"/>
        <v>1.1567460317460319</v>
      </c>
      <c r="J16" s="249">
        <f t="shared" ca="1" si="1"/>
        <v>0.9567460317460319</v>
      </c>
      <c r="K16" s="250">
        <f t="shared" ca="1" si="2"/>
        <v>986.2</v>
      </c>
      <c r="L16" s="249">
        <f t="shared" ca="1" si="3"/>
        <v>0.94444444444444442</v>
      </c>
      <c r="M16" s="251">
        <f ca="1">IFERROR(__xludf.DUMMYFUNCTION("GOOGLEFINANCE(""NSE:dssl"",""price"")"),980)</f>
        <v>980</v>
      </c>
      <c r="N16" s="252">
        <f t="shared" ca="1" si="4"/>
        <v>142800</v>
      </c>
      <c r="O16" s="253">
        <f t="shared" ca="1" si="5"/>
        <v>0.94444444444444442</v>
      </c>
      <c r="P16" s="254">
        <v>550</v>
      </c>
      <c r="Q16" s="254">
        <v>790</v>
      </c>
      <c r="R16" s="244">
        <f t="shared" ca="1" si="6"/>
        <v>430</v>
      </c>
      <c r="S16" s="250">
        <f t="shared" ca="1" si="7"/>
        <v>-6.2000000000000455</v>
      </c>
      <c r="T16" s="249">
        <f t="shared" ca="1" si="8"/>
        <v>-1.2301587301587391E-2</v>
      </c>
      <c r="U16" s="244">
        <f t="shared" ca="1" si="9"/>
        <v>-190</v>
      </c>
      <c r="V16" s="21"/>
      <c r="W16" s="254"/>
      <c r="X16" s="255">
        <f t="shared" ca="1" si="10"/>
        <v>980</v>
      </c>
      <c r="Y16" s="244">
        <v>589.79999999999995</v>
      </c>
      <c r="Z16" s="256">
        <f t="shared" ca="1" si="11"/>
        <v>0.66158019667683976</v>
      </c>
      <c r="AA16" s="257">
        <f t="shared" ca="1" si="12"/>
        <v>1.1217026054202099E-3</v>
      </c>
      <c r="AB16" s="244">
        <f t="shared" ca="1" si="13"/>
        <v>390.20000000000005</v>
      </c>
      <c r="AC16" s="244" t="s">
        <v>5950</v>
      </c>
      <c r="AD16" s="244"/>
      <c r="AE16" s="244">
        <v>589.79999999999995</v>
      </c>
      <c r="AF16" s="244"/>
      <c r="AG16" s="244"/>
      <c r="AH16" s="244"/>
      <c r="AI16" s="244"/>
    </row>
    <row r="17" spans="1:35" ht="15.75" customHeight="1">
      <c r="A17" s="9" t="s">
        <v>5951</v>
      </c>
      <c r="B17" s="17" t="s">
        <v>345</v>
      </c>
      <c r="C17" s="226">
        <v>45098</v>
      </c>
      <c r="D17" s="203" t="s">
        <v>5952</v>
      </c>
      <c r="E17" s="31" t="s">
        <v>5953</v>
      </c>
      <c r="F17" s="17">
        <v>214.65</v>
      </c>
      <c r="G17" s="17">
        <v>3000</v>
      </c>
      <c r="H17" s="220">
        <f ca="1">IFERROR(__xludf.DUMMYFUNCTION("index(sortn(GoogleFinance(D17,""high"",C17, TODAY(),""DAILY""),2,1,2,0),2,2)"),502.2)</f>
        <v>502.2</v>
      </c>
      <c r="I17" s="132">
        <f t="shared" ca="1" si="0"/>
        <v>1.3396226415094337</v>
      </c>
      <c r="J17" s="132">
        <f t="shared" ca="1" si="1"/>
        <v>1.1396226415094337</v>
      </c>
      <c r="K17" s="221">
        <f t="shared" ca="1" si="2"/>
        <v>459.27</v>
      </c>
      <c r="L17" s="132">
        <f t="shared" ca="1" si="3"/>
        <v>1.1989284882366644</v>
      </c>
      <c r="M17" s="20">
        <f ca="1">IFERROR(__xludf.DUMMYFUNCTION("GOOGLEFINANCE(""NSE:eihotel"",""price"")"),472)</f>
        <v>472</v>
      </c>
      <c r="N17" s="222">
        <f t="shared" ca="1" si="4"/>
        <v>772050.00000000012</v>
      </c>
      <c r="O17" s="223">
        <f t="shared" ca="1" si="5"/>
        <v>1.1989284882366644</v>
      </c>
      <c r="P17" s="22">
        <v>203</v>
      </c>
      <c r="Q17" s="22">
        <v>250</v>
      </c>
      <c r="R17" s="17">
        <f t="shared" ca="1" si="6"/>
        <v>269</v>
      </c>
      <c r="S17" s="221">
        <f t="shared" ca="1" si="7"/>
        <v>12.730000000000018</v>
      </c>
      <c r="T17" s="132">
        <f t="shared" ca="1" si="8"/>
        <v>5.9305846727230459E-2</v>
      </c>
      <c r="U17" s="17">
        <f t="shared" ca="1" si="9"/>
        <v>-222</v>
      </c>
      <c r="W17" s="22" t="s">
        <v>252</v>
      </c>
      <c r="X17" s="224">
        <f t="shared" ca="1" si="10"/>
        <v>472</v>
      </c>
      <c r="Y17" s="17">
        <v>210</v>
      </c>
      <c r="Z17" s="225">
        <f t="shared" ca="1" si="11"/>
        <v>1.2476190476190476</v>
      </c>
      <c r="AA17" s="57">
        <f t="shared" ca="1" si="12"/>
        <v>5.9410430839002271E-3</v>
      </c>
      <c r="AB17" s="17">
        <f t="shared" ca="1" si="13"/>
        <v>262</v>
      </c>
      <c r="AC17" s="17"/>
      <c r="AD17" s="17"/>
      <c r="AE17" s="17">
        <v>212.25</v>
      </c>
      <c r="AF17" s="17"/>
      <c r="AG17" s="17"/>
      <c r="AH17" s="17"/>
      <c r="AI17" s="17"/>
    </row>
    <row r="18" spans="1:35" ht="15.75" customHeight="1">
      <c r="A18" s="9" t="s">
        <v>5954</v>
      </c>
      <c r="B18" s="17" t="s">
        <v>275</v>
      </c>
      <c r="C18" s="226">
        <v>45075</v>
      </c>
      <c r="D18" s="203" t="s">
        <v>2911</v>
      </c>
      <c r="E18" s="31" t="s">
        <v>797</v>
      </c>
      <c r="F18" s="17">
        <v>45.5</v>
      </c>
      <c r="G18" s="17">
        <v>660</v>
      </c>
      <c r="H18" s="220">
        <f ca="1">IFERROR(__xludf.DUMMYFUNCTION("index(sortn(GoogleFinance(D18,""high"",C18, TODAY(),""DAILY""),2,1,2,0),2,2)"),204.4)</f>
        <v>204.4</v>
      </c>
      <c r="I18" s="132">
        <f t="shared" ca="1" si="0"/>
        <v>3.4923076923076923</v>
      </c>
      <c r="J18" s="132">
        <f t="shared" ca="1" si="1"/>
        <v>3.2923076923076922</v>
      </c>
      <c r="K18" s="221">
        <f t="shared" ca="1" si="2"/>
        <v>195.29999999999998</v>
      </c>
      <c r="L18" s="132">
        <f t="shared" ca="1" si="3"/>
        <v>3.1956043956043958</v>
      </c>
      <c r="M18" s="20">
        <f ca="1">IFERROR(__xludf.DUMMYFUNCTION("GOOGLEFINANCE(""NSE:ELECTCAST"",""price"")"),190.9)</f>
        <v>190.9</v>
      </c>
      <c r="N18" s="10">
        <f t="shared" ca="1" si="4"/>
        <v>95964</v>
      </c>
      <c r="O18" s="223">
        <f t="shared" ca="1" si="5"/>
        <v>3.1956043956043958</v>
      </c>
      <c r="P18" s="22">
        <v>54.5</v>
      </c>
      <c r="Q18" s="22">
        <v>64.400000000000006</v>
      </c>
      <c r="R18" s="17">
        <f t="shared" ca="1" si="6"/>
        <v>136.4</v>
      </c>
      <c r="S18" s="221">
        <f t="shared" ca="1" si="7"/>
        <v>-4.3999999999999773</v>
      </c>
      <c r="T18" s="132">
        <f t="shared" ca="1" si="8"/>
        <v>-9.6703296703296207E-2</v>
      </c>
      <c r="U18" s="17">
        <f t="shared" ca="1" si="9"/>
        <v>-126.5</v>
      </c>
      <c r="W18" s="22"/>
      <c r="X18" s="224">
        <f t="shared" ca="1" si="10"/>
        <v>190.9</v>
      </c>
      <c r="Y18" s="17">
        <v>58.8</v>
      </c>
      <c r="Z18" s="225">
        <f t="shared" ca="1" si="11"/>
        <v>2.2465986394557826</v>
      </c>
      <c r="AA18" s="57">
        <f t="shared" ca="1" si="12"/>
        <v>3.8207459854690186E-2</v>
      </c>
      <c r="AB18" s="17">
        <f t="shared" ca="1" si="13"/>
        <v>132.10000000000002</v>
      </c>
      <c r="AE18" s="17">
        <v>58.8</v>
      </c>
    </row>
    <row r="19" spans="1:35" ht="15.75" customHeight="1">
      <c r="A19" s="9" t="s">
        <v>5955</v>
      </c>
      <c r="B19" s="17" t="s">
        <v>335</v>
      </c>
      <c r="C19" s="226">
        <v>45120</v>
      </c>
      <c r="D19" s="203" t="s">
        <v>5956</v>
      </c>
      <c r="E19" s="31" t="s">
        <v>5957</v>
      </c>
      <c r="F19" s="17">
        <v>585</v>
      </c>
      <c r="G19" s="17">
        <v>500</v>
      </c>
      <c r="H19" s="220">
        <f ca="1">IFERROR(__xludf.DUMMYFUNCTION("index(sortn(GoogleFinance(D19,""high"",C19, TODAY(),""DAILY""),2,1,2,0),2,2)"),714.2)</f>
        <v>714.2</v>
      </c>
      <c r="I19" s="132">
        <f t="shared" ca="1" si="0"/>
        <v>0.22085470085470094</v>
      </c>
      <c r="J19" s="132">
        <f t="shared" ca="1" si="1"/>
        <v>0.14085470085470092</v>
      </c>
      <c r="K19" s="221">
        <f t="shared" ca="1" si="2"/>
        <v>667.40000000000009</v>
      </c>
      <c r="L19" s="132">
        <f t="shared" ca="1" si="3"/>
        <v>0.10401709401709405</v>
      </c>
      <c r="M19" s="20">
        <f ca="1">IFERROR(__xludf.DUMMYFUNCTION("GOOGLEFINANCE(""NSE:elgiequip"",""price"")"),645.85)</f>
        <v>645.85</v>
      </c>
      <c r="N19" s="222">
        <f t="shared" ca="1" si="4"/>
        <v>30425.000000000011</v>
      </c>
      <c r="O19" s="223">
        <f t="shared" ca="1" si="5"/>
        <v>0.10401709401709405</v>
      </c>
      <c r="P19" s="22">
        <v>522</v>
      </c>
      <c r="Q19" s="17" t="s">
        <v>5913</v>
      </c>
      <c r="R19" s="17">
        <f t="shared" ca="1" si="6"/>
        <v>123.85000000000002</v>
      </c>
      <c r="S19" s="221">
        <f t="shared" ca="1" si="7"/>
        <v>-21.550000000000068</v>
      </c>
      <c r="T19" s="132">
        <f t="shared" ca="1" si="8"/>
        <v>-3.6837606837606951E-2</v>
      </c>
      <c r="U19" s="17" t="e">
        <f t="shared" ca="1" si="9"/>
        <v>#VALUE!</v>
      </c>
      <c r="W19" s="22"/>
      <c r="X19" s="224">
        <f t="shared" ca="1" si="10"/>
        <v>645.85</v>
      </c>
      <c r="Y19" s="17">
        <v>539.45000000000005</v>
      </c>
      <c r="Z19" s="225">
        <f t="shared" ca="1" si="11"/>
        <v>0.19723792751876906</v>
      </c>
      <c r="AA19" s="57">
        <f t="shared" ca="1" si="12"/>
        <v>3.6562782003664665E-4</v>
      </c>
      <c r="AB19" s="17">
        <f t="shared" ca="1" si="13"/>
        <v>106.39999999999998</v>
      </c>
      <c r="AE19" s="17">
        <v>539.45000000000005</v>
      </c>
    </row>
    <row r="20" spans="1:35" ht="15.75" customHeight="1">
      <c r="A20" s="9" t="s">
        <v>5958</v>
      </c>
      <c r="B20" s="17" t="s">
        <v>349</v>
      </c>
      <c r="C20" s="226">
        <v>45134</v>
      </c>
      <c r="D20" s="203" t="s">
        <v>5959</v>
      </c>
      <c r="E20" s="31" t="s">
        <v>5960</v>
      </c>
      <c r="F20" s="17">
        <v>640</v>
      </c>
      <c r="G20" s="17">
        <v>650</v>
      </c>
      <c r="H20" s="220">
        <f ca="1">IFERROR(__xludf.DUMMYFUNCTION("index(sortn(GoogleFinance(D20,""high"",C20, TODAY(),""DAILY""),2,1,2,0),2,2)"),935)</f>
        <v>935</v>
      </c>
      <c r="I20" s="132">
        <f t="shared" ca="1" si="0"/>
        <v>0.4609375</v>
      </c>
      <c r="J20" s="132">
        <f t="shared" ca="1" si="1"/>
        <v>0.3309375</v>
      </c>
      <c r="K20" s="221">
        <f t="shared" ca="1" si="2"/>
        <v>851.80000000000007</v>
      </c>
      <c r="L20" s="132">
        <f t="shared" ca="1" si="3"/>
        <v>0.16484375000000001</v>
      </c>
      <c r="M20" s="20">
        <f ca="1">IFERROR(__xludf.DUMMYFUNCTION("GOOGLEFINANCE(""NSE:gandhitube"",""price"")"),745.5)</f>
        <v>745.5</v>
      </c>
      <c r="N20" s="222">
        <f t="shared" ca="1" si="4"/>
        <v>68575</v>
      </c>
      <c r="O20" s="223">
        <f t="shared" ca="1" si="5"/>
        <v>0.16484375000000001</v>
      </c>
      <c r="P20" s="22">
        <v>600</v>
      </c>
      <c r="Q20" s="22">
        <v>810</v>
      </c>
      <c r="R20" s="17">
        <f t="shared" ca="1" si="6"/>
        <v>145.5</v>
      </c>
      <c r="S20" s="221">
        <f t="shared" ca="1" si="7"/>
        <v>-106.30000000000007</v>
      </c>
      <c r="T20" s="132">
        <f t="shared" ca="1" si="8"/>
        <v>-0.1660937500000001</v>
      </c>
      <c r="U20" s="17">
        <f t="shared" ca="1" si="9"/>
        <v>64.5</v>
      </c>
      <c r="W20" s="22"/>
      <c r="X20" s="224">
        <f t="shared" ca="1" si="10"/>
        <v>745.5</v>
      </c>
      <c r="Y20" s="17">
        <v>645.5</v>
      </c>
      <c r="Z20" s="225">
        <f t="shared" ca="1" si="11"/>
        <v>0.15491866769945778</v>
      </c>
      <c r="AA20" s="57">
        <f t="shared" ca="1" si="12"/>
        <v>2.3999793601775025E-4</v>
      </c>
      <c r="AB20" s="17">
        <f t="shared" ca="1" si="13"/>
        <v>100</v>
      </c>
      <c r="AE20" s="17">
        <v>650.25</v>
      </c>
    </row>
    <row r="21" spans="1:35" ht="15.75" customHeight="1">
      <c r="A21" s="17" t="s">
        <v>5961</v>
      </c>
      <c r="B21" s="17" t="s">
        <v>5962</v>
      </c>
      <c r="C21" s="226">
        <v>45119</v>
      </c>
      <c r="D21" s="203" t="s">
        <v>5963</v>
      </c>
      <c r="E21" s="31" t="s">
        <v>425</v>
      </c>
      <c r="F21" s="17">
        <v>619.5</v>
      </c>
      <c r="G21" s="17">
        <v>300</v>
      </c>
      <c r="H21" s="220">
        <f ca="1">IFERROR(__xludf.DUMMYFUNCTION("index(sortn(GoogleFinance(D21,""high"",C21, TODAY(),""DAILY""),2,1,2,0),2,2)"),974.8)</f>
        <v>974.8</v>
      </c>
      <c r="I21" s="132">
        <f t="shared" ca="1" si="0"/>
        <v>0.57352703793381754</v>
      </c>
      <c r="J21" s="132">
        <f t="shared" ca="1" si="1"/>
        <v>0.42352703793381752</v>
      </c>
      <c r="K21" s="221">
        <f t="shared" ca="1" si="2"/>
        <v>881.87499999999989</v>
      </c>
      <c r="L21" s="132">
        <f t="shared" ca="1" si="3"/>
        <v>0.42510088781275224</v>
      </c>
      <c r="M21" s="20">
        <f ca="1">IFERROR(__xludf.DUMMYFUNCTION("GOOGLEFINANCE(""NSE:grse"",""price"")"),882.85)</f>
        <v>882.85</v>
      </c>
      <c r="N21" s="222">
        <f t="shared" ca="1" si="4"/>
        <v>79005</v>
      </c>
      <c r="O21" s="223">
        <f t="shared" ca="1" si="5"/>
        <v>0.42510088781275224</v>
      </c>
      <c r="P21" s="22">
        <v>580</v>
      </c>
      <c r="Q21" s="17" t="s">
        <v>5913</v>
      </c>
      <c r="R21" s="17">
        <f t="shared" ca="1" si="6"/>
        <v>302.85000000000002</v>
      </c>
      <c r="S21" s="221">
        <f t="shared" ca="1" si="7"/>
        <v>0.97500000000013642</v>
      </c>
      <c r="T21" s="132">
        <f t="shared" ca="1" si="8"/>
        <v>1.5738498789348448E-3</v>
      </c>
      <c r="U21" s="17" t="e">
        <f t="shared" ca="1" si="9"/>
        <v>#VALUE!</v>
      </c>
      <c r="W21" s="22"/>
      <c r="X21" s="224">
        <f t="shared" ca="1" si="10"/>
        <v>882.85</v>
      </c>
      <c r="Y21" s="17">
        <v>624.6</v>
      </c>
      <c r="Z21" s="225">
        <f t="shared" ca="1" si="11"/>
        <v>0.41346461735510726</v>
      </c>
      <c r="AA21" s="57">
        <f t="shared" ca="1" si="12"/>
        <v>6.619670466780455E-4</v>
      </c>
      <c r="AB21" s="17">
        <f t="shared" ca="1" si="13"/>
        <v>258.25</v>
      </c>
      <c r="AE21" s="17">
        <v>624.6</v>
      </c>
    </row>
    <row r="22" spans="1:35" ht="15.75" customHeight="1">
      <c r="A22" s="9" t="s">
        <v>412</v>
      </c>
      <c r="B22" s="17" t="s">
        <v>313</v>
      </c>
      <c r="C22" s="226">
        <v>45078</v>
      </c>
      <c r="D22" s="203" t="s">
        <v>5964</v>
      </c>
      <c r="E22" s="31" t="s">
        <v>407</v>
      </c>
      <c r="F22" s="17">
        <v>319.2</v>
      </c>
      <c r="G22" s="17">
        <v>1000</v>
      </c>
      <c r="H22" s="220">
        <f ca="1">IFERROR(__xludf.DUMMYFUNCTION("index(sortn(GoogleFinance(D22,""high"",C22, TODAY(),""DAILY""),2,1,2,0),2,2)"),401)</f>
        <v>401</v>
      </c>
      <c r="I22" s="132">
        <f t="shared" ca="1" si="0"/>
        <v>0.25626566416040103</v>
      </c>
      <c r="J22" s="132">
        <f t="shared" ca="1" si="1"/>
        <v>0.15626566416040102</v>
      </c>
      <c r="K22" s="221">
        <f t="shared" ca="1" si="2"/>
        <v>369.08</v>
      </c>
      <c r="L22" s="132">
        <f t="shared" ca="1" si="3"/>
        <v>0.16071428571428575</v>
      </c>
      <c r="M22" s="20">
        <f ca="1">IFERROR(__xludf.DUMMYFUNCTION("GOOGLEFINANCE(""NSE:hcg"",""price"")"),370.5)</f>
        <v>370.5</v>
      </c>
      <c r="N22" s="222">
        <f t="shared" ca="1" si="4"/>
        <v>51300.000000000015</v>
      </c>
      <c r="O22" s="223">
        <f t="shared" ca="1" si="5"/>
        <v>0.16071428571428575</v>
      </c>
      <c r="P22" s="22">
        <v>318</v>
      </c>
      <c r="Q22" s="22">
        <v>353</v>
      </c>
      <c r="R22" s="17">
        <f t="shared" ca="1" si="6"/>
        <v>52.5</v>
      </c>
      <c r="S22" s="221">
        <f t="shared" ca="1" si="7"/>
        <v>1.4200000000000159</v>
      </c>
      <c r="T22" s="132">
        <f t="shared" ca="1" si="8"/>
        <v>4.4486215538847617E-3</v>
      </c>
      <c r="U22" s="17">
        <f t="shared" ca="1" si="9"/>
        <v>-17.5</v>
      </c>
      <c r="W22" s="22"/>
      <c r="X22" s="224">
        <f t="shared" ca="1" si="10"/>
        <v>370.5</v>
      </c>
      <c r="Y22" s="17">
        <v>345</v>
      </c>
      <c r="Z22" s="225">
        <f t="shared" ca="1" si="11"/>
        <v>7.3913043478260873E-2</v>
      </c>
      <c r="AA22" s="57">
        <f t="shared" ca="1" si="12"/>
        <v>2.1424070573408948E-4</v>
      </c>
      <c r="AB22" s="17">
        <f t="shared" ca="1" si="13"/>
        <v>25.5</v>
      </c>
      <c r="AE22" s="17">
        <v>345</v>
      </c>
    </row>
    <row r="23" spans="1:35" ht="15.75" customHeight="1">
      <c r="A23" s="9" t="s">
        <v>5965</v>
      </c>
      <c r="B23" s="17" t="s">
        <v>256</v>
      </c>
      <c r="C23" s="226">
        <v>45068</v>
      </c>
      <c r="D23" s="203" t="s">
        <v>5966</v>
      </c>
      <c r="E23" s="31" t="s">
        <v>5967</v>
      </c>
      <c r="F23" s="17">
        <v>245.45</v>
      </c>
      <c r="G23" s="17">
        <v>700</v>
      </c>
      <c r="H23" s="220">
        <f ca="1">IFERROR(__xludf.DUMMYFUNCTION("index(sortn(GoogleFinance(D23,""high"",C23, TODAY(),""DAILY""),2,1,2,0),2,2)"),584)</f>
        <v>584</v>
      </c>
      <c r="I23" s="132">
        <f t="shared" ca="1" si="0"/>
        <v>1.3793033204318599</v>
      </c>
      <c r="J23" s="132">
        <f t="shared" ca="1" si="1"/>
        <v>1.1793033204318599</v>
      </c>
      <c r="K23" s="221">
        <f t="shared" ca="1" si="2"/>
        <v>534.91</v>
      </c>
      <c r="L23" s="132">
        <f t="shared" ca="1" si="3"/>
        <v>1.1271134650641681</v>
      </c>
      <c r="M23" s="20">
        <f ca="1">IFERROR(__xludf.DUMMYFUNCTION("GOOGLEFINANCE(""NSE:hercules"",""price"")"),522.1)</f>
        <v>522.1</v>
      </c>
      <c r="N23" s="10">
        <f t="shared" ca="1" si="4"/>
        <v>193655.00000000003</v>
      </c>
      <c r="O23" s="223">
        <f t="shared" ca="1" si="5"/>
        <v>1.1271134650641681</v>
      </c>
      <c r="P23" s="22">
        <v>306</v>
      </c>
      <c r="Q23" s="22">
        <v>360</v>
      </c>
      <c r="R23" s="17">
        <f t="shared" ca="1" si="6"/>
        <v>216.10000000000002</v>
      </c>
      <c r="S23" s="221">
        <f t="shared" ca="1" si="7"/>
        <v>-12.809999999999945</v>
      </c>
      <c r="T23" s="132">
        <f t="shared" ca="1" si="8"/>
        <v>-5.2189855367691773E-2</v>
      </c>
      <c r="U23" s="17">
        <f t="shared" ca="1" si="9"/>
        <v>-162.10000000000002</v>
      </c>
      <c r="W23" s="22" t="s">
        <v>5968</v>
      </c>
      <c r="X23" s="224">
        <f t="shared" ca="1" si="10"/>
        <v>522.1</v>
      </c>
      <c r="Y23" s="17">
        <v>340.5</v>
      </c>
      <c r="Z23" s="225">
        <f t="shared" ca="1" si="11"/>
        <v>0.53333333333333344</v>
      </c>
      <c r="AA23" s="57">
        <f t="shared" ca="1" si="12"/>
        <v>1.5663240332843861E-3</v>
      </c>
      <c r="AB23" s="17">
        <f t="shared" ca="1" si="13"/>
        <v>181.60000000000002</v>
      </c>
      <c r="AE23" s="17">
        <v>340.5</v>
      </c>
    </row>
    <row r="24" spans="1:35" ht="15.75" customHeight="1">
      <c r="A24" s="9" t="s">
        <v>5969</v>
      </c>
      <c r="B24" s="17" t="s">
        <v>5970</v>
      </c>
      <c r="C24" s="226">
        <v>45009</v>
      </c>
      <c r="D24" s="203" t="s">
        <v>5971</v>
      </c>
      <c r="E24" s="31" t="s">
        <v>5972</v>
      </c>
      <c r="F24" s="17">
        <v>285.7</v>
      </c>
      <c r="G24" s="17">
        <v>800</v>
      </c>
      <c r="H24" s="220">
        <f ca="1">IFERROR(__xludf.DUMMYFUNCTION("index(sortn(GoogleFinance(D24,""high"",C24, TODAY(),""DAILY""),2,1,2,0),2,2)"),329)</f>
        <v>329</v>
      </c>
      <c r="I24" s="132">
        <f t="shared" ca="1" si="0"/>
        <v>0.15155757787889398</v>
      </c>
      <c r="J24" s="132">
        <f t="shared" ca="1" si="1"/>
        <v>6.1557577878893988E-2</v>
      </c>
      <c r="K24" s="221">
        <f t="shared" ca="1" si="2"/>
        <v>303.28699999999998</v>
      </c>
      <c r="L24" s="132">
        <f t="shared" ca="1" si="3"/>
        <v>5.8102905145257344E-2</v>
      </c>
      <c r="M24" s="20">
        <f ca="1">IFERROR(__xludf.DUMMYFUNCTION("GOOGLEFINANCE(""NSE:hikal"",""price"")"),302.3)</f>
        <v>302.3</v>
      </c>
      <c r="N24" s="10">
        <f t="shared" ca="1" si="4"/>
        <v>13280.000000000018</v>
      </c>
      <c r="O24" s="223">
        <f t="shared" ca="1" si="5"/>
        <v>5.8102905145257344E-2</v>
      </c>
      <c r="P24" s="22">
        <v>294</v>
      </c>
      <c r="Q24" s="22">
        <v>347</v>
      </c>
      <c r="R24" s="17">
        <f t="shared" ca="1" si="6"/>
        <v>8.3000000000000114</v>
      </c>
      <c r="S24" s="221">
        <f t="shared" ca="1" si="7"/>
        <v>-0.98699999999996635</v>
      </c>
      <c r="T24" s="132">
        <f t="shared" ca="1" si="8"/>
        <v>-3.454672733636564E-3</v>
      </c>
      <c r="U24" s="17">
        <f t="shared" ca="1" si="9"/>
        <v>44.699999999999989</v>
      </c>
      <c r="W24" s="22" t="s">
        <v>5973</v>
      </c>
      <c r="X24" s="224">
        <f t="shared" ca="1" si="10"/>
        <v>302.3</v>
      </c>
      <c r="Y24" s="17">
        <v>291</v>
      </c>
      <c r="Z24" s="225">
        <f t="shared" ca="1" si="11"/>
        <v>3.8831615120274957E-2</v>
      </c>
      <c r="AA24" s="57">
        <f t="shared" ca="1" si="12"/>
        <v>1.334419763583332E-4</v>
      </c>
      <c r="AB24" s="17">
        <f t="shared" ca="1" si="13"/>
        <v>11.300000000000011</v>
      </c>
      <c r="AE24" s="17">
        <v>291</v>
      </c>
    </row>
    <row r="25" spans="1:35" ht="15.75" customHeight="1">
      <c r="A25" s="9" t="s">
        <v>5974</v>
      </c>
      <c r="B25" s="17" t="s">
        <v>399</v>
      </c>
      <c r="C25" s="226">
        <v>45083</v>
      </c>
      <c r="D25" s="203" t="s">
        <v>5975</v>
      </c>
      <c r="E25" s="31" t="s">
        <v>5974</v>
      </c>
      <c r="F25" s="17">
        <v>60.7</v>
      </c>
      <c r="G25" s="17">
        <v>2000</v>
      </c>
      <c r="H25" s="220">
        <f ca="1">IFERROR(__xludf.DUMMYFUNCTION("index(sortn(GoogleFinance(D25,""high"",C25, TODAY(),""DAILY""),2,1,2,0),2,2)"),226.45)</f>
        <v>226.45</v>
      </c>
      <c r="I25" s="132">
        <f t="shared" ca="1" si="0"/>
        <v>2.7306425041186162</v>
      </c>
      <c r="J25" s="132">
        <f t="shared" ca="1" si="1"/>
        <v>2.530642504118616</v>
      </c>
      <c r="K25" s="221">
        <f t="shared" ca="1" si="2"/>
        <v>214.31</v>
      </c>
      <c r="L25" s="132">
        <f t="shared" ca="1" si="3"/>
        <v>2.3772652388797364</v>
      </c>
      <c r="M25" s="20">
        <f ca="1">IFERROR(__xludf.DUMMYFUNCTION("GOOGLEFINANCE(""NSE:hudco"",""price"")"),205)</f>
        <v>205</v>
      </c>
      <c r="N25" s="222">
        <f t="shared" ca="1" si="4"/>
        <v>288600</v>
      </c>
      <c r="O25" s="223">
        <f t="shared" ca="1" si="5"/>
        <v>2.3772652388797364</v>
      </c>
      <c r="P25" s="22">
        <v>61.5</v>
      </c>
      <c r="Q25" s="22">
        <v>75</v>
      </c>
      <c r="R25" s="17">
        <f t="shared" ca="1" si="6"/>
        <v>143.5</v>
      </c>
      <c r="S25" s="221">
        <f t="shared" ca="1" si="7"/>
        <v>-9.3100000000000023</v>
      </c>
      <c r="T25" s="132">
        <f t="shared" ca="1" si="8"/>
        <v>-0.15337726523887976</v>
      </c>
      <c r="U25" s="17">
        <f t="shared" ca="1" si="9"/>
        <v>-130</v>
      </c>
      <c r="W25" s="22" t="s">
        <v>5976</v>
      </c>
      <c r="X25" s="224">
        <f t="shared" ca="1" si="10"/>
        <v>205</v>
      </c>
      <c r="Y25" s="17">
        <v>64.55</v>
      </c>
      <c r="Z25" s="225">
        <f t="shared" ca="1" si="11"/>
        <v>2.1758326878388847</v>
      </c>
      <c r="AA25" s="57">
        <f t="shared" ca="1" si="12"/>
        <v>3.3707710113693029E-2</v>
      </c>
      <c r="AB25" s="17">
        <f t="shared" ca="1" si="13"/>
        <v>140.44999999999999</v>
      </c>
      <c r="AE25" s="17">
        <v>64.55</v>
      </c>
    </row>
    <row r="26" spans="1:35" ht="15.75" customHeight="1">
      <c r="A26" s="9" t="s">
        <v>419</v>
      </c>
      <c r="B26" s="17" t="s">
        <v>313</v>
      </c>
      <c r="C26" s="226">
        <v>45078</v>
      </c>
      <c r="D26" s="203" t="s">
        <v>5977</v>
      </c>
      <c r="E26" s="31" t="s">
        <v>419</v>
      </c>
      <c r="F26" s="17">
        <v>41.5</v>
      </c>
      <c r="G26" s="17">
        <v>3500</v>
      </c>
      <c r="H26" s="220">
        <f ca="1">IFERROR(__xludf.DUMMYFUNCTION("index(sortn(GoogleFinance(D26,""high"",C26, TODAY(),""DAILY""),2,1,2,0),2,2)"),90.7)</f>
        <v>90.7</v>
      </c>
      <c r="I26" s="132">
        <f t="shared" ca="1" si="0"/>
        <v>1.185542168674699</v>
      </c>
      <c r="J26" s="132">
        <f t="shared" ca="1" si="1"/>
        <v>0.98554216867469902</v>
      </c>
      <c r="K26" s="221">
        <f t="shared" ca="1" si="2"/>
        <v>82.4</v>
      </c>
      <c r="L26" s="132">
        <f t="shared" ca="1" si="3"/>
        <v>0.98795180722891562</v>
      </c>
      <c r="M26" s="20">
        <f ca="1">IFERROR(__xludf.DUMMYFUNCTION("GOOGLEFINANCE(""NSE:imagicaa"",""price"")"),82.5)</f>
        <v>82.5</v>
      </c>
      <c r="N26" s="127">
        <f t="shared" ca="1" si="4"/>
        <v>143500</v>
      </c>
      <c r="O26" s="223">
        <f t="shared" ca="1" si="5"/>
        <v>0.98795180722891562</v>
      </c>
      <c r="P26" s="22">
        <v>51</v>
      </c>
      <c r="Q26" s="22">
        <v>56</v>
      </c>
      <c r="R26" s="17">
        <f t="shared" ca="1" si="6"/>
        <v>31.5</v>
      </c>
      <c r="S26" s="221">
        <f t="shared" ca="1" si="7"/>
        <v>9.9999999999994316E-2</v>
      </c>
      <c r="T26" s="132">
        <f t="shared" ca="1" si="8"/>
        <v>2.4096385542167306E-3</v>
      </c>
      <c r="U26" s="17">
        <f t="shared" ca="1" si="9"/>
        <v>-26.5</v>
      </c>
      <c r="W26" s="22" t="s">
        <v>5978</v>
      </c>
      <c r="X26" s="224">
        <f t="shared" ca="1" si="10"/>
        <v>82.5</v>
      </c>
      <c r="Y26" s="17">
        <v>54.5</v>
      </c>
      <c r="Z26" s="225">
        <f t="shared" ca="1" si="11"/>
        <v>0.51376146788990829</v>
      </c>
      <c r="AA26" s="57">
        <f t="shared" ca="1" si="12"/>
        <v>9.4268159245854723E-3</v>
      </c>
      <c r="AB26" s="17">
        <f t="shared" ca="1" si="13"/>
        <v>28</v>
      </c>
      <c r="AE26" s="17">
        <v>54.5</v>
      </c>
    </row>
    <row r="27" spans="1:35" ht="15.75" customHeight="1">
      <c r="A27" s="9" t="s">
        <v>5979</v>
      </c>
      <c r="B27" s="17" t="s">
        <v>5980</v>
      </c>
      <c r="C27" s="226">
        <v>45110</v>
      </c>
      <c r="D27" s="203" t="s">
        <v>4081</v>
      </c>
      <c r="E27" s="31" t="s">
        <v>5981</v>
      </c>
      <c r="F27" s="17">
        <v>91</v>
      </c>
      <c r="G27" s="17">
        <v>3000</v>
      </c>
      <c r="H27" s="220">
        <f ca="1">IFERROR(__xludf.DUMMYFUNCTION("index(sortn(GoogleFinance(D27,""high"",C27, TODAY(),""DAILY""),2,1,2,0),2,2)"),253.85)</f>
        <v>253.85</v>
      </c>
      <c r="I27" s="132">
        <f t="shared" ca="1" si="0"/>
        <v>1.7895604395604394</v>
      </c>
      <c r="J27" s="132">
        <f t="shared" ca="1" si="1"/>
        <v>1.5895604395604395</v>
      </c>
      <c r="K27" s="221">
        <f t="shared" ca="1" si="2"/>
        <v>235.64999999999998</v>
      </c>
      <c r="L27" s="132">
        <f t="shared" ca="1" si="3"/>
        <v>1.6406593406593408</v>
      </c>
      <c r="M27" s="20">
        <f ca="1">IFERROR(__xludf.DUMMYFUNCTION("GOOGLEFINANCE(""NSE:INDRAMEDCO"",""price"")"),240.3)</f>
        <v>240.3</v>
      </c>
      <c r="N27" s="222">
        <f t="shared" ca="1" si="4"/>
        <v>447900.00000000006</v>
      </c>
      <c r="O27" s="223">
        <f t="shared" ca="1" si="5"/>
        <v>1.6406593406593408</v>
      </c>
      <c r="P27" s="22">
        <v>120</v>
      </c>
      <c r="Q27" s="22">
        <v>137</v>
      </c>
      <c r="R27" s="17">
        <f t="shared" ca="1" si="6"/>
        <v>120.30000000000001</v>
      </c>
      <c r="S27" s="221">
        <f t="shared" ca="1" si="7"/>
        <v>4.6500000000000341</v>
      </c>
      <c r="T27" s="132">
        <f t="shared" ca="1" si="8"/>
        <v>5.1098901098901472E-2</v>
      </c>
      <c r="U27" s="17">
        <f t="shared" ca="1" si="9"/>
        <v>-103.30000000000001</v>
      </c>
      <c r="W27" s="22"/>
      <c r="X27" s="224">
        <f t="shared" ca="1" si="10"/>
        <v>240.3</v>
      </c>
      <c r="Y27" s="17">
        <v>126</v>
      </c>
      <c r="Z27" s="225">
        <f t="shared" ca="1" si="11"/>
        <v>0.90714285714285725</v>
      </c>
      <c r="AA27" s="57">
        <f t="shared" ca="1" si="12"/>
        <v>7.1995464852607719E-3</v>
      </c>
      <c r="AB27" s="17">
        <f t="shared" ca="1" si="13"/>
        <v>114.30000000000001</v>
      </c>
      <c r="AE27" s="17">
        <v>126.85</v>
      </c>
    </row>
    <row r="28" spans="1:35" ht="15.75" customHeight="1">
      <c r="A28" s="9" t="s">
        <v>5982</v>
      </c>
      <c r="B28" s="17" t="s">
        <v>5983</v>
      </c>
      <c r="C28" s="226">
        <v>45133</v>
      </c>
      <c r="D28" s="203" t="s">
        <v>5984</v>
      </c>
      <c r="E28" s="31" t="s">
        <v>5985</v>
      </c>
      <c r="F28" s="17">
        <v>211</v>
      </c>
      <c r="G28" s="17">
        <v>1440</v>
      </c>
      <c r="H28" s="220">
        <f ca="1">IFERROR(__xludf.DUMMYFUNCTION("index(sortn(GoogleFinance(D28,""high"",C28, TODAY(),""DAILY""),2,1,2,0),2,2)"),648)</f>
        <v>648</v>
      </c>
      <c r="I28" s="132">
        <f t="shared" ca="1" si="0"/>
        <v>2.0710900473933651</v>
      </c>
      <c r="J28" s="132">
        <f t="shared" ca="1" si="1"/>
        <v>1.8710900473933652</v>
      </c>
      <c r="K28" s="221">
        <f t="shared" ca="1" si="2"/>
        <v>605.80000000000007</v>
      </c>
      <c r="L28" s="132">
        <f t="shared" ca="1" si="3"/>
        <v>1.6774881516587681</v>
      </c>
      <c r="M28" s="20">
        <f ca="1">IFERROR(__xludf.DUMMYFUNCTION("GOOGLEFINANCE(""NSE:inoxwind"",""price"")"),564.95)</f>
        <v>564.95000000000005</v>
      </c>
      <c r="N28" s="222">
        <f t="shared" ca="1" si="4"/>
        <v>509688.00000000006</v>
      </c>
      <c r="O28" s="223">
        <f t="shared" ca="1" si="5"/>
        <v>1.6774881516587681</v>
      </c>
      <c r="P28" s="22">
        <v>197</v>
      </c>
      <c r="Q28" s="22">
        <v>230</v>
      </c>
      <c r="R28" s="17">
        <f t="shared" ca="1" si="6"/>
        <v>367.95000000000005</v>
      </c>
      <c r="S28" s="221">
        <f t="shared" ca="1" si="7"/>
        <v>-40.850000000000023</v>
      </c>
      <c r="T28" s="132">
        <f t="shared" ca="1" si="8"/>
        <v>-0.19360189573459727</v>
      </c>
      <c r="U28" s="17">
        <f t="shared" ca="1" si="9"/>
        <v>-334.95000000000005</v>
      </c>
      <c r="W28" s="22"/>
      <c r="X28" s="224">
        <f t="shared" ca="1" si="10"/>
        <v>564.95000000000005</v>
      </c>
      <c r="Y28" s="17">
        <v>207</v>
      </c>
      <c r="Z28" s="225">
        <f t="shared" ca="1" si="11"/>
        <v>1.7292270531400968</v>
      </c>
      <c r="AA28" s="57">
        <f t="shared" ca="1" si="12"/>
        <v>8.3537538799038497E-3</v>
      </c>
      <c r="AB28" s="17">
        <f t="shared" ca="1" si="13"/>
        <v>357.95000000000005</v>
      </c>
      <c r="AE28" s="17">
        <v>211.3</v>
      </c>
    </row>
    <row r="29" spans="1:35" ht="15.75" customHeight="1">
      <c r="A29" s="9" t="s">
        <v>5986</v>
      </c>
      <c r="B29" s="17" t="s">
        <v>374</v>
      </c>
      <c r="C29" s="226">
        <v>45096</v>
      </c>
      <c r="D29" s="203" t="s">
        <v>5987</v>
      </c>
      <c r="E29" s="31" t="s">
        <v>5988</v>
      </c>
      <c r="F29" s="17">
        <v>84</v>
      </c>
      <c r="G29" s="17">
        <v>6500</v>
      </c>
      <c r="H29" s="220">
        <f ca="1">IFERROR(__xludf.DUMMYFUNCTION("index(sortn(GoogleFinance(D29,""high"",C29, TODAY(),""DAILY""),2,1,2,0),2,2)"),280.85)</f>
        <v>280.85000000000002</v>
      </c>
      <c r="I29" s="132">
        <f t="shared" ca="1" si="0"/>
        <v>2.3434523809523813</v>
      </c>
      <c r="J29" s="132">
        <f t="shared" ca="1" si="1"/>
        <v>2.1434523809523811</v>
      </c>
      <c r="K29" s="221">
        <f t="shared" ca="1" si="2"/>
        <v>264.05</v>
      </c>
      <c r="L29" s="132">
        <f t="shared" ca="1" si="3"/>
        <v>1.6934523809523809</v>
      </c>
      <c r="M29" s="20">
        <f ca="1">IFERROR(__xludf.DUMMYFUNCTION("GOOGLEFINANCE(""NSE:ircon"",""price"")"),226.25)</f>
        <v>226.25</v>
      </c>
      <c r="N29" s="222">
        <f t="shared" ca="1" si="4"/>
        <v>924625</v>
      </c>
      <c r="O29" s="223">
        <f t="shared" ca="1" si="5"/>
        <v>1.6934523809523809</v>
      </c>
      <c r="P29" s="22">
        <v>89.7</v>
      </c>
      <c r="Q29" s="22">
        <v>130</v>
      </c>
      <c r="R29" s="17">
        <f t="shared" ca="1" si="6"/>
        <v>136.55000000000001</v>
      </c>
      <c r="S29" s="221">
        <f t="shared" ca="1" si="7"/>
        <v>-37.800000000000011</v>
      </c>
      <c r="T29" s="132">
        <f t="shared" ca="1" si="8"/>
        <v>-0.45000000000000012</v>
      </c>
      <c r="U29" s="17">
        <f t="shared" ca="1" si="9"/>
        <v>-96.25</v>
      </c>
      <c r="W29" s="22"/>
      <c r="X29" s="224">
        <f t="shared" ca="1" si="10"/>
        <v>226.25</v>
      </c>
      <c r="Y29" s="17">
        <v>98.25</v>
      </c>
      <c r="Z29" s="225">
        <f t="shared" ca="1" si="11"/>
        <v>1.3027989821882953</v>
      </c>
      <c r="AA29" s="57">
        <f t="shared" ca="1" si="12"/>
        <v>1.3260040531178578E-2</v>
      </c>
      <c r="AB29" s="17">
        <f t="shared" ca="1" si="13"/>
        <v>128</v>
      </c>
      <c r="AE29" s="17">
        <v>98.25</v>
      </c>
    </row>
    <row r="30" spans="1:35" ht="15.75" customHeight="1">
      <c r="A30" s="9" t="s">
        <v>460</v>
      </c>
      <c r="B30" s="17" t="s">
        <v>342</v>
      </c>
      <c r="C30" s="226">
        <v>45127</v>
      </c>
      <c r="D30" s="203" t="s">
        <v>5989</v>
      </c>
      <c r="E30" s="31" t="s">
        <v>5990</v>
      </c>
      <c r="F30" s="17">
        <v>81.52</v>
      </c>
      <c r="G30" s="17">
        <v>3000</v>
      </c>
      <c r="H30" s="220">
        <f ca="1">IFERROR(__xludf.DUMMYFUNCTION("index(sortn(GoogleFinance(D30,""high"",C30, TODAY(),""DAILY""),2,1,2,0),2,2)"),112.25)</f>
        <v>112.25</v>
      </c>
      <c r="I30" s="132">
        <f t="shared" ca="1" si="0"/>
        <v>0.37696270853778219</v>
      </c>
      <c r="J30" s="132">
        <f t="shared" ca="1" si="1"/>
        <v>0.27696270853778215</v>
      </c>
      <c r="K30" s="221">
        <f t="shared" ca="1" si="2"/>
        <v>104.098</v>
      </c>
      <c r="L30" s="132">
        <f t="shared" ca="1" si="3"/>
        <v>0.18559862610402367</v>
      </c>
      <c r="M30" s="20">
        <f ca="1">IFERROR(__xludf.DUMMYFUNCTION("GOOGLEFINANCE(""NSE:ismtltd"",""price"")"),96.65)</f>
        <v>96.65</v>
      </c>
      <c r="N30" s="222">
        <f t="shared" ca="1" si="4"/>
        <v>45390.000000000029</v>
      </c>
      <c r="O30" s="223">
        <f t="shared" ca="1" si="5"/>
        <v>0.18559862610402367</v>
      </c>
      <c r="P30" s="22">
        <v>82</v>
      </c>
      <c r="Q30" s="22" t="s">
        <v>5913</v>
      </c>
      <c r="R30" s="17">
        <f t="shared" ca="1" si="6"/>
        <v>14.650000000000006</v>
      </c>
      <c r="S30" s="221">
        <f t="shared" ca="1" si="7"/>
        <v>-7.4479999999999933</v>
      </c>
      <c r="T30" s="132">
        <f t="shared" ca="1" si="8"/>
        <v>-9.1364082433758514E-2</v>
      </c>
      <c r="U30" s="17" t="e">
        <f t="shared" ca="1" si="9"/>
        <v>#VALUE!</v>
      </c>
      <c r="W30" s="22"/>
      <c r="X30" s="224">
        <f t="shared" ca="1" si="10"/>
        <v>96.65</v>
      </c>
      <c r="Y30" s="17">
        <v>87.35</v>
      </c>
      <c r="Z30" s="225">
        <f t="shared" ca="1" si="11"/>
        <v>0.1064682312535777</v>
      </c>
      <c r="AA30" s="57">
        <f t="shared" ca="1" si="12"/>
        <v>1.2188692759425037E-3</v>
      </c>
      <c r="AB30" s="17">
        <f t="shared" ca="1" si="13"/>
        <v>9.3000000000000114</v>
      </c>
      <c r="AE30" s="17">
        <v>87.35</v>
      </c>
    </row>
    <row r="31" spans="1:35" ht="15.75" customHeight="1">
      <c r="A31" s="9" t="s">
        <v>453</v>
      </c>
      <c r="B31" s="17" t="s">
        <v>5908</v>
      </c>
      <c r="C31" s="226">
        <v>45072</v>
      </c>
      <c r="D31" s="203" t="s">
        <v>5991</v>
      </c>
      <c r="E31" s="31" t="s">
        <v>5992</v>
      </c>
      <c r="F31" s="17">
        <v>147.5</v>
      </c>
      <c r="G31" s="17">
        <v>2000</v>
      </c>
      <c r="H31" s="220">
        <f ca="1">IFERROR(__xludf.DUMMYFUNCTION("index(sortn(GoogleFinance(D31,""high"",C31, TODAY(),""DAILY""),2,1,2,0),2,2)"),374.95)</f>
        <v>374.95</v>
      </c>
      <c r="I31" s="132">
        <f t="shared" ca="1" si="0"/>
        <v>1.5420338983050847</v>
      </c>
      <c r="J31" s="132">
        <f t="shared" ca="1" si="1"/>
        <v>1.3420338983050848</v>
      </c>
      <c r="K31" s="221">
        <f t="shared" ca="1" si="2"/>
        <v>345.45</v>
      </c>
      <c r="L31" s="132">
        <f t="shared" ca="1" si="3"/>
        <v>1.2803389830508476</v>
      </c>
      <c r="M31" s="20">
        <f ca="1">IFERROR(__xludf.DUMMYFUNCTION("GOOGLEFINANCE(""NSE:ITDcem"",""price"")"),336.35)</f>
        <v>336.35</v>
      </c>
      <c r="N31" s="10">
        <f t="shared" ca="1" si="4"/>
        <v>377700.00000000006</v>
      </c>
      <c r="O31" s="223">
        <f t="shared" ca="1" si="5"/>
        <v>1.2803389830508476</v>
      </c>
      <c r="P31" s="22">
        <v>169</v>
      </c>
      <c r="Q31" s="22">
        <v>190</v>
      </c>
      <c r="R31" s="17">
        <f t="shared" ca="1" si="6"/>
        <v>167.35000000000002</v>
      </c>
      <c r="S31" s="221">
        <f t="shared" ca="1" si="7"/>
        <v>-9.0999999999999659</v>
      </c>
      <c r="T31" s="132">
        <f t="shared" ca="1" si="8"/>
        <v>-6.1694915254237058E-2</v>
      </c>
      <c r="U31" s="17">
        <f t="shared" ca="1" si="9"/>
        <v>-146.35000000000002</v>
      </c>
      <c r="W31" s="22" t="s">
        <v>5993</v>
      </c>
      <c r="X31" s="224">
        <f t="shared" ca="1" si="10"/>
        <v>336.35</v>
      </c>
      <c r="Y31" s="17">
        <v>186.75</v>
      </c>
      <c r="Z31" s="225">
        <f t="shared" ca="1" si="11"/>
        <v>0.80107095046854093</v>
      </c>
      <c r="AA31" s="57">
        <f t="shared" ca="1" si="12"/>
        <v>4.28953654869366E-3</v>
      </c>
      <c r="AB31" s="17">
        <f t="shared" ca="1" si="13"/>
        <v>149.60000000000002</v>
      </c>
      <c r="AE31" s="17">
        <v>186.75</v>
      </c>
    </row>
    <row r="32" spans="1:35" ht="15.75" customHeight="1">
      <c r="A32" s="9" t="s">
        <v>5994</v>
      </c>
      <c r="B32" s="17" t="s">
        <v>357</v>
      </c>
      <c r="C32" s="226">
        <v>45065</v>
      </c>
      <c r="D32" s="203" t="s">
        <v>5995</v>
      </c>
      <c r="E32" s="31" t="s">
        <v>5994</v>
      </c>
      <c r="F32" s="17">
        <v>186</v>
      </c>
      <c r="G32" s="17">
        <v>1600</v>
      </c>
      <c r="H32" s="220">
        <f ca="1">IFERROR(__xludf.DUMMYFUNCTION("index(sortn(GoogleFinance(D32,""high"",C32, TODAY(),""DAILY""),2,1,2,0),2,2)"),290)</f>
        <v>290</v>
      </c>
      <c r="I32" s="132">
        <f t="shared" ca="1" si="0"/>
        <v>0.55913978494623651</v>
      </c>
      <c r="J32" s="132">
        <f t="shared" ca="1" si="1"/>
        <v>0.40913978494623648</v>
      </c>
      <c r="K32" s="221">
        <f t="shared" ca="1" si="2"/>
        <v>262.10000000000002</v>
      </c>
      <c r="L32" s="132">
        <f t="shared" ca="1" si="3"/>
        <v>-4.3548387096774166E-2</v>
      </c>
      <c r="M32" s="20">
        <f ca="1">IFERROR(__xludf.DUMMYFUNCTION("GOOGLEFINANCE(""NSE:IVP"",""price"")"),177.9)</f>
        <v>177.9</v>
      </c>
      <c r="N32" s="10">
        <f t="shared" ca="1" si="4"/>
        <v>-12959.999999999991</v>
      </c>
      <c r="O32" s="223">
        <f t="shared" ca="1" si="5"/>
        <v>-4.3548387096774166E-2</v>
      </c>
      <c r="P32" s="22">
        <v>155</v>
      </c>
      <c r="Q32" s="22">
        <v>220</v>
      </c>
      <c r="R32" s="17">
        <f t="shared" ca="1" si="6"/>
        <v>22.900000000000006</v>
      </c>
      <c r="S32" s="221">
        <f t="shared" ca="1" si="7"/>
        <v>-84.200000000000017</v>
      </c>
      <c r="T32" s="132">
        <f t="shared" ca="1" si="8"/>
        <v>-0.45268817204301082</v>
      </c>
      <c r="U32" s="17">
        <f t="shared" ca="1" si="9"/>
        <v>42.099999999999994</v>
      </c>
      <c r="W32" s="22"/>
      <c r="X32" s="224">
        <f t="shared" ca="1" si="10"/>
        <v>177.9</v>
      </c>
      <c r="Y32" s="17">
        <v>169.9</v>
      </c>
      <c r="Z32" s="225">
        <f t="shared" ca="1" si="11"/>
        <v>4.7086521483225424E-2</v>
      </c>
      <c r="AA32" s="57">
        <f t="shared" ca="1" si="12"/>
        <v>2.7714256317378118E-4</v>
      </c>
      <c r="AB32" s="17">
        <f t="shared" ca="1" si="13"/>
        <v>8</v>
      </c>
      <c r="AE32" s="17">
        <v>169.9</v>
      </c>
    </row>
    <row r="33" spans="1:31" ht="15.75" customHeight="1">
      <c r="A33" s="9" t="s">
        <v>5996</v>
      </c>
      <c r="B33" s="17" t="s">
        <v>438</v>
      </c>
      <c r="C33" s="226">
        <v>45104</v>
      </c>
      <c r="D33" s="203" t="s">
        <v>5997</v>
      </c>
      <c r="E33" s="31" t="s">
        <v>5998</v>
      </c>
      <c r="F33" s="17">
        <v>352</v>
      </c>
      <c r="G33" s="17">
        <v>1000</v>
      </c>
      <c r="H33" s="220">
        <f ca="1">IFERROR(__xludf.DUMMYFUNCTION("index(sortn(GoogleFinance(D33,""high"",C33, TODAY(),""DAILY""),2,1,2,0),2,2)"),915)</f>
        <v>915</v>
      </c>
      <c r="I33" s="132">
        <f t="shared" ca="1" si="0"/>
        <v>1.5994318181818181</v>
      </c>
      <c r="J33" s="132">
        <f t="shared" ca="1" si="1"/>
        <v>1.3994318181818182</v>
      </c>
      <c r="K33" s="221">
        <f t="shared" ca="1" si="2"/>
        <v>844.6</v>
      </c>
      <c r="L33" s="132">
        <f t="shared" ca="1" si="3"/>
        <v>0.97784090909090926</v>
      </c>
      <c r="M33" s="20">
        <f ca="1">IFERROR(__xludf.DUMMYFUNCTION("GOOGLEFINANCE(""NSE:jindrill"",""price"")"),696.2)</f>
        <v>696.2</v>
      </c>
      <c r="N33" s="222">
        <f t="shared" ca="1" si="4"/>
        <v>344200.00000000006</v>
      </c>
      <c r="O33" s="223">
        <f t="shared" ca="1" si="5"/>
        <v>0.97784090909090926</v>
      </c>
      <c r="P33" s="22">
        <v>370</v>
      </c>
      <c r="Q33" s="22" t="s">
        <v>5913</v>
      </c>
      <c r="R33" s="17">
        <f t="shared" ca="1" si="6"/>
        <v>326.20000000000005</v>
      </c>
      <c r="S33" s="221">
        <f t="shared" ca="1" si="7"/>
        <v>-148.39999999999998</v>
      </c>
      <c r="T33" s="132">
        <f t="shared" ca="1" si="8"/>
        <v>-0.42159090909090902</v>
      </c>
      <c r="U33" s="17" t="e">
        <f t="shared" ca="1" si="9"/>
        <v>#VALUE!</v>
      </c>
      <c r="W33" s="22"/>
      <c r="X33" s="224">
        <f t="shared" ca="1" si="10"/>
        <v>696.2</v>
      </c>
      <c r="Y33" s="17">
        <v>416</v>
      </c>
      <c r="Z33" s="225">
        <f t="shared" ca="1" si="11"/>
        <v>0.67355769230769247</v>
      </c>
      <c r="AA33" s="57">
        <f t="shared" ca="1" si="12"/>
        <v>1.6191290680473377E-3</v>
      </c>
      <c r="AB33" s="17">
        <f t="shared" ca="1" si="13"/>
        <v>280.20000000000005</v>
      </c>
      <c r="AE33" s="17">
        <v>419.9</v>
      </c>
    </row>
    <row r="34" spans="1:31" ht="15.75" customHeight="1">
      <c r="A34" s="9" t="s">
        <v>5999</v>
      </c>
      <c r="B34" s="17" t="s">
        <v>438</v>
      </c>
      <c r="C34" s="226">
        <v>45104</v>
      </c>
      <c r="D34" s="203" t="s">
        <v>6000</v>
      </c>
      <c r="E34" s="31" t="s">
        <v>6001</v>
      </c>
      <c r="F34" s="17">
        <v>595.29999999999995</v>
      </c>
      <c r="G34" s="17">
        <v>850</v>
      </c>
      <c r="H34" s="220">
        <f ca="1">IFERROR(__xludf.DUMMYFUNCTION("index(sortn(GoogleFinance(D34,""high"",C34, TODAY(),""DAILY""),2,1,2,0),2,2)"),844.4)</f>
        <v>844.4</v>
      </c>
      <c r="I34" s="132">
        <f t="shared" ca="1" si="0"/>
        <v>0.41844448177389559</v>
      </c>
      <c r="J34" s="132">
        <f t="shared" ca="1" si="1"/>
        <v>0.28844448177389559</v>
      </c>
      <c r="K34" s="221">
        <f t="shared" ca="1" si="2"/>
        <v>767.01099999999997</v>
      </c>
      <c r="L34" s="132">
        <f t="shared" ca="1" si="3"/>
        <v>0.10700487149336478</v>
      </c>
      <c r="M34" s="20">
        <f ca="1">IFERROR(__xludf.DUMMYFUNCTION("GOOGLEFINANCE(""NSE:jpolyinvst"",""price"")"),659)</f>
        <v>659</v>
      </c>
      <c r="N34" s="222">
        <f t="shared" ca="1" si="4"/>
        <v>54145.000000000036</v>
      </c>
      <c r="O34" s="223">
        <f t="shared" ca="1" si="5"/>
        <v>0.10700487149336478</v>
      </c>
      <c r="P34" s="22">
        <v>526</v>
      </c>
      <c r="Q34" s="22">
        <v>690</v>
      </c>
      <c r="R34" s="17">
        <f t="shared" ca="1" si="6"/>
        <v>133</v>
      </c>
      <c r="S34" s="221">
        <f t="shared" ca="1" si="7"/>
        <v>-108.01099999999997</v>
      </c>
      <c r="T34" s="132">
        <f t="shared" ca="1" si="8"/>
        <v>-0.18143961028053079</v>
      </c>
      <c r="U34" s="17">
        <f t="shared" ca="1" si="9"/>
        <v>31</v>
      </c>
      <c r="W34" s="22" t="s">
        <v>6002</v>
      </c>
      <c r="X34" s="224">
        <f t="shared" ca="1" si="10"/>
        <v>659</v>
      </c>
      <c r="Y34" s="17">
        <v>549</v>
      </c>
      <c r="Z34" s="225">
        <f t="shared" ca="1" si="11"/>
        <v>0.20036429872495445</v>
      </c>
      <c r="AA34" s="57">
        <f t="shared" ca="1" si="12"/>
        <v>3.6496229275947989E-4</v>
      </c>
      <c r="AB34" s="17">
        <f t="shared" ca="1" si="13"/>
        <v>110</v>
      </c>
      <c r="AE34" s="17">
        <v>549</v>
      </c>
    </row>
    <row r="35" spans="1:31" ht="15.75" customHeight="1">
      <c r="A35" s="9" t="s">
        <v>6003</v>
      </c>
      <c r="B35" s="17" t="s">
        <v>5983</v>
      </c>
      <c r="C35" s="226">
        <v>45133</v>
      </c>
      <c r="D35" s="203" t="s">
        <v>6004</v>
      </c>
      <c r="E35" s="31" t="s">
        <v>6005</v>
      </c>
      <c r="F35" s="17">
        <v>805</v>
      </c>
      <c r="G35" s="17">
        <v>400</v>
      </c>
      <c r="H35" s="220">
        <f ca="1">IFERROR(__xludf.DUMMYFUNCTION("index(sortn(GoogleFinance(D35,""high"",C35, TODAY(),""DAILY""),2,1,2,0),2,2)"),895.75)</f>
        <v>895.75</v>
      </c>
      <c r="I35" s="132">
        <f t="shared" ca="1" si="0"/>
        <v>0.11273291925465838</v>
      </c>
      <c r="J35" s="132">
        <f t="shared" ca="1" si="1"/>
        <v>4.2732919254658372E-2</v>
      </c>
      <c r="K35" s="221">
        <f t="shared" ca="1" si="2"/>
        <v>839.4</v>
      </c>
      <c r="L35" s="132">
        <f t="shared" ca="1" si="3"/>
        <v>7.3167701863354015E-2</v>
      </c>
      <c r="M35" s="20">
        <f ca="1">IFERROR(__xludf.DUMMYFUNCTION("GOOGLEFINANCE(""NSE:jswsteel"",""price"")"),863.9)</f>
        <v>863.9</v>
      </c>
      <c r="N35" s="222">
        <f t="shared" ca="1" si="4"/>
        <v>23559.999999999993</v>
      </c>
      <c r="O35" s="223">
        <f t="shared" ca="1" si="5"/>
        <v>7.3167701863354015E-2</v>
      </c>
      <c r="P35" s="22">
        <v>770</v>
      </c>
      <c r="Q35" s="22">
        <v>920</v>
      </c>
      <c r="R35" s="17">
        <f t="shared" ca="1" si="6"/>
        <v>93.899999999999977</v>
      </c>
      <c r="S35" s="221">
        <f t="shared" ca="1" si="7"/>
        <v>24.5</v>
      </c>
      <c r="T35" s="132">
        <f t="shared" ca="1" si="8"/>
        <v>3.0434782608695653E-2</v>
      </c>
      <c r="U35" s="17">
        <f t="shared" ca="1" si="9"/>
        <v>56.100000000000023</v>
      </c>
      <c r="W35" s="22" t="s">
        <v>6006</v>
      </c>
      <c r="X35" s="224">
        <f t="shared" ca="1" si="10"/>
        <v>863.9</v>
      </c>
      <c r="Y35" s="17">
        <v>820.5</v>
      </c>
      <c r="Z35" s="225">
        <f t="shared" ca="1" si="11"/>
        <v>5.2894576477757436E-2</v>
      </c>
      <c r="AA35" s="57">
        <f t="shared" ca="1" si="12"/>
        <v>6.4466272367772625E-5</v>
      </c>
      <c r="AB35" s="17">
        <f t="shared" ca="1" si="13"/>
        <v>43.399999999999977</v>
      </c>
      <c r="AE35" s="17">
        <v>820.5</v>
      </c>
    </row>
    <row r="36" spans="1:31" ht="15.75" customHeight="1">
      <c r="A36" s="9" t="s">
        <v>364</v>
      </c>
      <c r="B36" s="17" t="s">
        <v>365</v>
      </c>
      <c r="C36" s="226">
        <v>45079</v>
      </c>
      <c r="D36" s="203" t="s">
        <v>6007</v>
      </c>
      <c r="E36" s="31" t="s">
        <v>364</v>
      </c>
      <c r="F36" s="17">
        <v>1231</v>
      </c>
      <c r="G36" s="17">
        <v>200</v>
      </c>
      <c r="H36" s="220">
        <f ca="1">IFERROR(__xludf.DUMMYFUNCTION("index(sortn(GoogleFinance(D36,""high"",C36, TODAY(),""DAILY""),2,1,2,0),2,2)"),3119.9)</f>
        <v>3119.9</v>
      </c>
      <c r="I36" s="132">
        <f t="shared" ca="1" si="0"/>
        <v>1.5344435418359059</v>
      </c>
      <c r="J36" s="132">
        <f t="shared" ca="1" si="1"/>
        <v>1.334443541835906</v>
      </c>
      <c r="K36" s="221">
        <f t="shared" ca="1" si="2"/>
        <v>2873.7000000000007</v>
      </c>
      <c r="L36" s="132">
        <f t="shared" ca="1" si="3"/>
        <v>1.1810722989439482</v>
      </c>
      <c r="M36" s="20">
        <f ca="1">IFERROR(__xludf.DUMMYFUNCTION("GOOGLEFINANCE(""NSE:kddl"",""price"")"),2684.9)</f>
        <v>2684.9</v>
      </c>
      <c r="N36" s="222">
        <f t="shared" ca="1" si="4"/>
        <v>290780</v>
      </c>
      <c r="O36" s="223">
        <f t="shared" ca="1" si="5"/>
        <v>1.1810722989439482</v>
      </c>
      <c r="P36" s="22">
        <v>1275</v>
      </c>
      <c r="Q36" s="22" t="s">
        <v>5913</v>
      </c>
      <c r="R36" s="17">
        <f t="shared" ca="1" si="6"/>
        <v>1409.9</v>
      </c>
      <c r="S36" s="221">
        <f t="shared" ca="1" si="7"/>
        <v>-188.80000000000064</v>
      </c>
      <c r="T36" s="132">
        <f t="shared" ca="1" si="8"/>
        <v>-0.15337124289195828</v>
      </c>
      <c r="U36" s="17" t="e">
        <f t="shared" ca="1" si="9"/>
        <v>#VALUE!</v>
      </c>
      <c r="W36" s="22"/>
      <c r="X36" s="224">
        <f t="shared" ca="1" si="10"/>
        <v>2684.9</v>
      </c>
      <c r="Y36" s="17">
        <v>1537.05</v>
      </c>
      <c r="Z36" s="225">
        <f t="shared" ca="1" si="11"/>
        <v>0.74678767769428467</v>
      </c>
      <c r="AA36" s="57">
        <f t="shared" ca="1" si="12"/>
        <v>4.8585776500067318E-4</v>
      </c>
      <c r="AB36" s="17">
        <f t="shared" ca="1" si="13"/>
        <v>1147.8500000000001</v>
      </c>
      <c r="AE36" s="17">
        <v>1615</v>
      </c>
    </row>
    <row r="37" spans="1:31" ht="15.75" customHeight="1">
      <c r="A37" s="9" t="s">
        <v>6008</v>
      </c>
      <c r="B37" s="17" t="s">
        <v>6009</v>
      </c>
      <c r="C37" s="226">
        <v>45040</v>
      </c>
      <c r="D37" s="203" t="s">
        <v>6010</v>
      </c>
      <c r="E37" s="31" t="s">
        <v>6008</v>
      </c>
      <c r="F37" s="17">
        <v>95.3</v>
      </c>
      <c r="G37" s="17">
        <v>2000</v>
      </c>
      <c r="H37" s="220">
        <f ca="1">IFERROR(__xludf.DUMMYFUNCTION("index(sortn(GoogleFinance(D37,""high"",C37, TODAY(),""DAILY""),2,1,2,0),2,2)"),163.95)</f>
        <v>163.95</v>
      </c>
      <c r="I37" s="132">
        <f t="shared" ca="1" si="0"/>
        <v>0.72035676810073446</v>
      </c>
      <c r="J37" s="132">
        <f t="shared" ca="1" si="1"/>
        <v>0.52035676810073439</v>
      </c>
      <c r="K37" s="221">
        <f t="shared" ca="1" si="2"/>
        <v>144.88999999999999</v>
      </c>
      <c r="L37" s="132">
        <f t="shared" ca="1" si="3"/>
        <v>0.22770199370409239</v>
      </c>
      <c r="M37" s="20">
        <f ca="1">IFERROR(__xludf.DUMMYFUNCTION("GOOGLEFINANCE(""NSE:kecl"",""price"")"),117)</f>
        <v>117</v>
      </c>
      <c r="N37" s="10">
        <f t="shared" ca="1" si="4"/>
        <v>43400.000000000007</v>
      </c>
      <c r="O37" s="223">
        <f t="shared" ca="1" si="5"/>
        <v>0.22770199370409239</v>
      </c>
      <c r="P37" s="22">
        <v>103</v>
      </c>
      <c r="Q37" s="22">
        <v>130</v>
      </c>
      <c r="R37" s="17">
        <f t="shared" ca="1" si="6"/>
        <v>14</v>
      </c>
      <c r="S37" s="221">
        <f t="shared" ca="1" si="7"/>
        <v>-27.889999999999986</v>
      </c>
      <c r="T37" s="132">
        <f t="shared" ca="1" si="8"/>
        <v>-0.29265477439664206</v>
      </c>
      <c r="U37" s="17">
        <f t="shared" ca="1" si="9"/>
        <v>13</v>
      </c>
      <c r="W37" s="22" t="s">
        <v>6011</v>
      </c>
      <c r="X37" s="224">
        <f t="shared" ca="1" si="10"/>
        <v>117</v>
      </c>
      <c r="Y37" s="17">
        <v>113.7</v>
      </c>
      <c r="Z37" s="225">
        <f t="shared" ca="1" si="11"/>
        <v>2.9023746701846941E-2</v>
      </c>
      <c r="AA37" s="57">
        <f t="shared" ca="1" si="12"/>
        <v>2.5526602200393088E-4</v>
      </c>
      <c r="AB37" s="17">
        <f t="shared" ca="1" si="13"/>
        <v>3.2999999999999972</v>
      </c>
      <c r="AE37" s="17">
        <v>117.8</v>
      </c>
    </row>
    <row r="38" spans="1:31" ht="15.75" customHeight="1">
      <c r="A38" s="9" t="s">
        <v>6008</v>
      </c>
      <c r="B38" s="17" t="s">
        <v>274</v>
      </c>
      <c r="C38" s="226">
        <v>45055</v>
      </c>
      <c r="D38" s="203" t="s">
        <v>6010</v>
      </c>
      <c r="E38" s="31" t="s">
        <v>6008</v>
      </c>
      <c r="F38" s="17">
        <v>112.95</v>
      </c>
      <c r="G38" s="17">
        <v>1700</v>
      </c>
      <c r="H38" s="220">
        <f ca="1">IFERROR(__xludf.DUMMYFUNCTION("index(sortn(GoogleFinance(D38,""high"",C38, TODAY(),""DAILY""),2,1,2,0),2,2)"),163.95)</f>
        <v>163.95</v>
      </c>
      <c r="I38" s="132">
        <f t="shared" ca="1" si="0"/>
        <v>0.45152722443559085</v>
      </c>
      <c r="J38" s="132">
        <f t="shared" ca="1" si="1"/>
        <v>0.32152722443559084</v>
      </c>
      <c r="K38" s="221">
        <f t="shared" ca="1" si="2"/>
        <v>149.26650000000001</v>
      </c>
      <c r="L38" s="132">
        <f t="shared" ca="1" si="3"/>
        <v>3.5856573705179258E-2</v>
      </c>
      <c r="M38" s="20">
        <f ca="1">IFERROR(__xludf.DUMMYFUNCTION("GOOGLEFINANCE(""NSE:kecl"",""price"")"),117)</f>
        <v>117</v>
      </c>
      <c r="N38" s="10">
        <f t="shared" ca="1" si="4"/>
        <v>6884.9999999999955</v>
      </c>
      <c r="O38" s="223">
        <f t="shared" ca="1" si="5"/>
        <v>3.5856573705179258E-2</v>
      </c>
      <c r="P38" s="22">
        <v>103</v>
      </c>
      <c r="Q38" s="22">
        <v>130</v>
      </c>
      <c r="R38" s="17">
        <f t="shared" ca="1" si="6"/>
        <v>14</v>
      </c>
      <c r="S38" s="221">
        <f t="shared" ca="1" si="7"/>
        <v>-32.266500000000008</v>
      </c>
      <c r="T38" s="132">
        <f t="shared" ca="1" si="8"/>
        <v>-0.28567065073041176</v>
      </c>
      <c r="U38" s="17">
        <f t="shared" ca="1" si="9"/>
        <v>13</v>
      </c>
      <c r="W38" s="22"/>
      <c r="X38" s="224">
        <f t="shared" ca="1" si="10"/>
        <v>117</v>
      </c>
      <c r="Y38" s="17">
        <v>113.7</v>
      </c>
      <c r="Z38" s="225">
        <f t="shared" ca="1" si="11"/>
        <v>2.9023746701846941E-2</v>
      </c>
      <c r="AA38" s="57">
        <f t="shared" ca="1" si="12"/>
        <v>2.5526602200393088E-4</v>
      </c>
      <c r="AB38" s="17">
        <f t="shared" ca="1" si="13"/>
        <v>3.2999999999999972</v>
      </c>
      <c r="AE38" s="17">
        <v>117.8</v>
      </c>
    </row>
    <row r="39" spans="1:31" ht="15.75" customHeight="1">
      <c r="A39" s="9" t="s">
        <v>6012</v>
      </c>
      <c r="B39" s="17" t="s">
        <v>6013</v>
      </c>
      <c r="C39" s="226">
        <v>45077</v>
      </c>
      <c r="D39" s="203" t="s">
        <v>6014</v>
      </c>
      <c r="E39" s="31" t="s">
        <v>6015</v>
      </c>
      <c r="F39" s="17">
        <v>580</v>
      </c>
      <c r="G39" s="17">
        <v>650</v>
      </c>
      <c r="H39" s="220">
        <f ca="1">IFERROR(__xludf.DUMMYFUNCTION("index(sortn(GoogleFinance(D39,""high"",C39, TODAY(),""DAILY""),2,1,2,0),2,2)"),928.15)</f>
        <v>928.15</v>
      </c>
      <c r="I39" s="132">
        <f t="shared" ca="1" si="0"/>
        <v>0.60025862068965519</v>
      </c>
      <c r="J39" s="132">
        <f t="shared" ca="1" si="1"/>
        <v>0.40025862068965518</v>
      </c>
      <c r="K39" s="221">
        <f t="shared" ca="1" si="2"/>
        <v>812.15000000000009</v>
      </c>
      <c r="L39" s="132">
        <f t="shared" ca="1" si="3"/>
        <v>0.42413793103448277</v>
      </c>
      <c r="M39" s="20">
        <f ca="1">IFERROR(__xludf.DUMMYFUNCTION("GOOGLEFINANCE(""NSE:kprmill"",""price"")"),826)</f>
        <v>826</v>
      </c>
      <c r="N39" s="10">
        <f t="shared" ca="1" si="4"/>
        <v>159900</v>
      </c>
      <c r="O39" s="223">
        <f t="shared" ca="1" si="5"/>
        <v>0.42413793103448277</v>
      </c>
      <c r="P39" s="22">
        <v>615</v>
      </c>
      <c r="Q39" s="22" t="s">
        <v>5913</v>
      </c>
      <c r="R39" s="17">
        <f t="shared" ca="1" si="6"/>
        <v>211</v>
      </c>
      <c r="S39" s="221">
        <f t="shared" ca="1" si="7"/>
        <v>13.849999999999909</v>
      </c>
      <c r="T39" s="132">
        <f t="shared" ca="1" si="8"/>
        <v>2.3879310344827428E-2</v>
      </c>
      <c r="U39" s="17" t="e">
        <f t="shared" ca="1" si="9"/>
        <v>#VALUE!</v>
      </c>
      <c r="W39" s="22"/>
      <c r="X39" s="224">
        <f t="shared" ca="1" si="10"/>
        <v>826</v>
      </c>
      <c r="Y39" s="17">
        <v>628.95000000000005</v>
      </c>
      <c r="Z39" s="225">
        <f t="shared" ca="1" si="11"/>
        <v>0.31329994435169717</v>
      </c>
      <c r="AA39" s="57">
        <f t="shared" ca="1" si="12"/>
        <v>4.9813171850178418E-4</v>
      </c>
      <c r="AB39" s="17">
        <f t="shared" ca="1" si="13"/>
        <v>197.04999999999995</v>
      </c>
      <c r="AE39" s="17">
        <v>639.45000000000005</v>
      </c>
    </row>
    <row r="40" spans="1:31" ht="15.75" customHeight="1">
      <c r="A40" s="9" t="s">
        <v>121</v>
      </c>
      <c r="B40" s="17" t="s">
        <v>5902</v>
      </c>
      <c r="C40" s="226">
        <v>45132</v>
      </c>
      <c r="D40" s="203" t="s">
        <v>6016</v>
      </c>
      <c r="E40" s="31" t="s">
        <v>6017</v>
      </c>
      <c r="F40" s="17">
        <v>395</v>
      </c>
      <c r="G40" s="17">
        <v>548</v>
      </c>
      <c r="H40" s="220">
        <f ca="1">IFERROR(__xludf.DUMMYFUNCTION("index(sortn(GoogleFinance(D40,""high"",C40, TODAY(),""DAILY""),2,1,2,0),2,2)"),1074.7)</f>
        <v>1074.7</v>
      </c>
      <c r="I40" s="132">
        <f t="shared" ca="1" si="0"/>
        <v>1.7207594936708861</v>
      </c>
      <c r="J40" s="132">
        <f t="shared" ca="1" si="1"/>
        <v>1.5207594936708861</v>
      </c>
      <c r="K40" s="221">
        <f t="shared" ca="1" si="2"/>
        <v>995.70000000000016</v>
      </c>
      <c r="L40" s="132">
        <f t="shared" ca="1" si="3"/>
        <v>1.2626582278481013</v>
      </c>
      <c r="M40" s="20">
        <f ca="1">IFERROR(__xludf.DUMMYFUNCTION("GOOGLEFINANCE(""NSE:ksl"",""price"")"),893.75)</f>
        <v>893.75</v>
      </c>
      <c r="N40" s="222">
        <f t="shared" ca="1" si="4"/>
        <v>273315</v>
      </c>
      <c r="O40" s="223">
        <f t="shared" ca="1" si="5"/>
        <v>1.2626582278481013</v>
      </c>
      <c r="P40" s="22">
        <v>388</v>
      </c>
      <c r="Q40" s="22">
        <v>467</v>
      </c>
      <c r="R40" s="17">
        <f t="shared" ca="1" si="6"/>
        <v>505.75</v>
      </c>
      <c r="S40" s="221">
        <f t="shared" ca="1" si="7"/>
        <v>-101.95000000000016</v>
      </c>
      <c r="T40" s="132">
        <f t="shared" ca="1" si="8"/>
        <v>-0.2581012658227852</v>
      </c>
      <c r="U40" s="17">
        <f t="shared" ca="1" si="9"/>
        <v>-426.75</v>
      </c>
      <c r="W40" s="22" t="s">
        <v>6018</v>
      </c>
      <c r="X40" s="224">
        <f t="shared" ca="1" si="10"/>
        <v>893.75</v>
      </c>
      <c r="Y40" s="17">
        <v>428.7</v>
      </c>
      <c r="Z40" s="225">
        <f t="shared" ca="1" si="11"/>
        <v>1.0847912292978774</v>
      </c>
      <c r="AA40" s="57">
        <f t="shared" ca="1" si="12"/>
        <v>2.530420408905709E-3</v>
      </c>
      <c r="AB40" s="17">
        <f t="shared" ca="1" si="13"/>
        <v>465.05</v>
      </c>
      <c r="AE40" s="17">
        <v>428.7</v>
      </c>
    </row>
    <row r="41" spans="1:31" ht="15.75" customHeight="1">
      <c r="A41" s="9" t="s">
        <v>6019</v>
      </c>
      <c r="B41" s="17" t="s">
        <v>6020</v>
      </c>
      <c r="C41" s="226">
        <v>45113</v>
      </c>
      <c r="D41" s="203" t="s">
        <v>6021</v>
      </c>
      <c r="E41" s="31" t="s">
        <v>6019</v>
      </c>
      <c r="F41" s="17">
        <v>462</v>
      </c>
      <c r="G41" s="17">
        <v>650</v>
      </c>
      <c r="H41" s="220">
        <f ca="1">IFERROR(__xludf.DUMMYFUNCTION("index(sortn(GoogleFinance(D41,""high"",C41, TODAY(),""DAILY""),2,1,2,0),2,2)"),479.75)</f>
        <v>479.75</v>
      </c>
      <c r="I41" s="132">
        <f t="shared" ca="1" si="0"/>
        <v>3.8419913419913417E-2</v>
      </c>
      <c r="J41" s="132" t="str">
        <f t="shared" ca="1" si="1"/>
        <v>error</v>
      </c>
      <c r="K41" s="221" t="e">
        <f t="shared" ca="1" si="2"/>
        <v>#VALUE!</v>
      </c>
      <c r="L41" s="132">
        <f t="shared" ca="1" si="3"/>
        <v>-0.29664502164502166</v>
      </c>
      <c r="M41" s="20">
        <f ca="1">IFERROR(__xludf.DUMMYFUNCTION("GOOGLEFINANCE(""NSE:laopala"",""price"")"),324.95)</f>
        <v>324.95</v>
      </c>
      <c r="N41" s="222">
        <f t="shared" ca="1" si="4"/>
        <v>-89082.500000000015</v>
      </c>
      <c r="O41" s="223">
        <f t="shared" ca="1" si="5"/>
        <v>-0.29664502164502166</v>
      </c>
      <c r="P41" s="22">
        <v>432</v>
      </c>
      <c r="Q41" s="22">
        <v>530</v>
      </c>
      <c r="R41" s="17">
        <f t="shared" ca="1" si="6"/>
        <v>-107.05000000000001</v>
      </c>
      <c r="S41" s="17" t="e">
        <f t="shared" ca="1" si="7"/>
        <v>#VALUE!</v>
      </c>
      <c r="T41" s="132" t="e">
        <f t="shared" ca="1" si="8"/>
        <v>#VALUE!</v>
      </c>
      <c r="U41" s="17">
        <f t="shared" ca="1" si="9"/>
        <v>205.05</v>
      </c>
      <c r="W41" s="22"/>
      <c r="X41" s="224">
        <f t="shared" ca="1" si="10"/>
        <v>465</v>
      </c>
      <c r="Y41" s="17">
        <v>465</v>
      </c>
      <c r="Z41" s="225">
        <f t="shared" ca="1" si="11"/>
        <v>-0.30118279569892475</v>
      </c>
      <c r="AA41" s="57">
        <f t="shared" ca="1" si="12"/>
        <v>-6.477049369869349E-4</v>
      </c>
      <c r="AB41" s="17">
        <f t="shared" ca="1" si="13"/>
        <v>-140.05000000000001</v>
      </c>
      <c r="AE41" s="17">
        <v>471</v>
      </c>
    </row>
    <row r="42" spans="1:31" ht="15.75" customHeight="1">
      <c r="A42" s="9" t="s">
        <v>6022</v>
      </c>
      <c r="B42" s="17" t="s">
        <v>5902</v>
      </c>
      <c r="C42" s="226">
        <v>45132</v>
      </c>
      <c r="D42" s="203" t="s">
        <v>6023</v>
      </c>
      <c r="E42" s="31" t="s">
        <v>6022</v>
      </c>
      <c r="F42" s="17">
        <v>409</v>
      </c>
      <c r="G42" s="17">
        <v>620</v>
      </c>
      <c r="H42" s="220">
        <f ca="1">IFERROR(__xludf.DUMMYFUNCTION("index(sortn(GoogleFinance(D42,""high"",C42, TODAY(),""DAILY""),2,1,2,0),2,2)"),755.15)</f>
        <v>755.15</v>
      </c>
      <c r="I42" s="132">
        <f t="shared" ca="1" si="0"/>
        <v>0.8463325183374083</v>
      </c>
      <c r="J42" s="132">
        <f t="shared" ca="1" si="1"/>
        <v>0.64633251833740823</v>
      </c>
      <c r="K42" s="221">
        <f t="shared" ca="1" si="2"/>
        <v>673.35</v>
      </c>
      <c r="L42" s="132">
        <f t="shared" ca="1" si="3"/>
        <v>0.46454767726161367</v>
      </c>
      <c r="M42" s="20">
        <f ca="1">IFERROR(__xludf.DUMMYFUNCTION("GOOGLEFINANCE(""NSE:lincoln"",""price"")"),599)</f>
        <v>599</v>
      </c>
      <c r="N42" s="222">
        <f t="shared" ca="1" si="4"/>
        <v>117800</v>
      </c>
      <c r="O42" s="223">
        <f t="shared" ca="1" si="5"/>
        <v>0.46454767726161367</v>
      </c>
      <c r="P42" s="22">
        <v>375</v>
      </c>
      <c r="Q42" s="22">
        <v>570</v>
      </c>
      <c r="R42" s="17">
        <f t="shared" ca="1" si="6"/>
        <v>224</v>
      </c>
      <c r="S42" s="221">
        <f t="shared" ca="1" si="7"/>
        <v>-74.350000000000023</v>
      </c>
      <c r="T42" s="132">
        <f t="shared" ca="1" si="8"/>
        <v>-0.18178484107579468</v>
      </c>
      <c r="U42" s="17">
        <f t="shared" ca="1" si="9"/>
        <v>-29</v>
      </c>
      <c r="W42" s="22"/>
      <c r="X42" s="224">
        <f t="shared" ca="1" si="10"/>
        <v>599</v>
      </c>
      <c r="Y42" s="17">
        <v>438.05</v>
      </c>
      <c r="Z42" s="225">
        <f t="shared" ca="1" si="11"/>
        <v>0.36742381006734387</v>
      </c>
      <c r="AA42" s="57">
        <f t="shared" ca="1" si="12"/>
        <v>8.3877139611310096E-4</v>
      </c>
      <c r="AB42" s="17">
        <f t="shared" ca="1" si="13"/>
        <v>160.94999999999999</v>
      </c>
      <c r="AE42" s="17">
        <v>438.05</v>
      </c>
    </row>
    <row r="43" spans="1:31" ht="15.75" customHeight="1">
      <c r="A43" s="9" t="s">
        <v>6024</v>
      </c>
      <c r="B43" s="17" t="s">
        <v>275</v>
      </c>
      <c r="C43" s="226">
        <v>45075</v>
      </c>
      <c r="D43" s="203" t="s">
        <v>70</v>
      </c>
      <c r="E43" s="31" t="s">
        <v>902</v>
      </c>
      <c r="F43" s="17">
        <v>150.19999999999999</v>
      </c>
      <c r="G43" s="17">
        <v>2000</v>
      </c>
      <c r="H43" s="220">
        <f ca="1">IFERROR(__xludf.DUMMYFUNCTION("index(sortn(GoogleFinance(D43,""high"",C43, TODAY(),""DAILY""),2,1,2,0),2,2)"),469.95)</f>
        <v>469.95</v>
      </c>
      <c r="I43" s="132">
        <f t="shared" ca="1" si="0"/>
        <v>2.1288282290279628</v>
      </c>
      <c r="J43" s="132">
        <f t="shared" ca="1" si="1"/>
        <v>1.9288282290279628</v>
      </c>
      <c r="K43" s="221">
        <f t="shared" ca="1" si="2"/>
        <v>439.91</v>
      </c>
      <c r="L43" s="132">
        <f t="shared" ca="1" si="3"/>
        <v>1.8754993342210386</v>
      </c>
      <c r="M43" s="20">
        <f ca="1">IFERROR(__xludf.DUMMYFUNCTION("GOOGLEFINANCE(""NSE:LOKESHMACH"",""price"")"),431.9)</f>
        <v>431.9</v>
      </c>
      <c r="N43" s="10">
        <f t="shared" ca="1" si="4"/>
        <v>563400</v>
      </c>
      <c r="O43" s="223">
        <f t="shared" ca="1" si="5"/>
        <v>1.8754993342210386</v>
      </c>
      <c r="P43" s="22">
        <v>182</v>
      </c>
      <c r="Q43" s="22">
        <v>204</v>
      </c>
      <c r="R43" s="17">
        <f t="shared" ca="1" si="6"/>
        <v>249.89999999999998</v>
      </c>
      <c r="S43" s="221">
        <f t="shared" ca="1" si="7"/>
        <v>-8.0100000000000477</v>
      </c>
      <c r="T43" s="132">
        <f t="shared" ca="1" si="8"/>
        <v>-5.3328894806924425E-2</v>
      </c>
      <c r="U43" s="17">
        <f t="shared" ca="1" si="9"/>
        <v>-227.89999999999998</v>
      </c>
      <c r="W43" s="22"/>
      <c r="X43" s="224">
        <f t="shared" ca="1" si="10"/>
        <v>431.9</v>
      </c>
      <c r="Y43" s="17">
        <v>200</v>
      </c>
      <c r="Z43" s="225">
        <f t="shared" ca="1" si="11"/>
        <v>1.1595</v>
      </c>
      <c r="AA43" s="57">
        <f t="shared" ca="1" si="12"/>
        <v>5.7974999999999997E-3</v>
      </c>
      <c r="AB43" s="17">
        <f t="shared" ca="1" si="13"/>
        <v>231.89999999999998</v>
      </c>
      <c r="AE43" s="17">
        <v>200</v>
      </c>
    </row>
    <row r="44" spans="1:31" ht="15.75" customHeight="1">
      <c r="A44" s="9" t="s">
        <v>6025</v>
      </c>
      <c r="B44" s="17" t="s">
        <v>5943</v>
      </c>
      <c r="C44" s="226">
        <v>45105</v>
      </c>
      <c r="D44" s="203" t="s">
        <v>6026</v>
      </c>
      <c r="E44" s="31" t="s">
        <v>6027</v>
      </c>
      <c r="F44" s="17">
        <v>129.69999999999999</v>
      </c>
      <c r="G44" s="17">
        <v>1500</v>
      </c>
      <c r="H44" s="220" t="str">
        <f ca="1">IFERROR(__xludf.DUMMYFUNCTION("index(sortn(GoogleFinance(D44,""high"",C44, TODAY(),""DAILY""),2,1,2,0),2,2)"),"#N/A")</f>
        <v>#N/A</v>
      </c>
      <c r="I44" s="132" t="e">
        <f t="shared" ca="1" si="0"/>
        <v>#VALUE!</v>
      </c>
      <c r="J44" s="132" t="e">
        <f t="shared" ca="1" si="1"/>
        <v>#VALUE!</v>
      </c>
      <c r="K44" s="221" t="e">
        <f t="shared" ca="1" si="2"/>
        <v>#VALUE!</v>
      </c>
      <c r="L44" s="132" t="e">
        <f t="shared" ca="1" si="3"/>
        <v>#VALUE!</v>
      </c>
      <c r="M44" s="20" t="str">
        <f ca="1">IFERROR(__xludf.DUMMYFUNCTION("GOOGLEFINANCE(""NSE:daawat"",""price"")"),"#N/A")</f>
        <v>#N/A</v>
      </c>
      <c r="N44" s="222" t="e">
        <f t="shared" ca="1" si="4"/>
        <v>#VALUE!</v>
      </c>
      <c r="O44" s="223" t="e">
        <f t="shared" ca="1" si="5"/>
        <v>#VALUE!</v>
      </c>
      <c r="P44" s="22">
        <v>176</v>
      </c>
      <c r="Q44" s="22">
        <v>200</v>
      </c>
      <c r="R44" s="17" t="e">
        <f t="shared" ca="1" si="6"/>
        <v>#VALUE!</v>
      </c>
      <c r="S44" s="221" t="e">
        <f t="shared" ca="1" si="7"/>
        <v>#VALUE!</v>
      </c>
      <c r="T44" s="132" t="e">
        <f t="shared" ca="1" si="8"/>
        <v>#VALUE!</v>
      </c>
      <c r="U44" s="17" t="e">
        <f t="shared" ca="1" si="9"/>
        <v>#VALUE!</v>
      </c>
      <c r="W44" s="22"/>
      <c r="X44" s="224">
        <f t="shared" ca="1" si="10"/>
        <v>184.5</v>
      </c>
      <c r="Y44" s="17">
        <v>184.5</v>
      </c>
      <c r="Z44" s="225" t="e">
        <f t="shared" ca="1" si="11"/>
        <v>#VALUE!</v>
      </c>
      <c r="AA44" s="57" t="e">
        <f t="shared" ca="1" si="12"/>
        <v>#VALUE!</v>
      </c>
      <c r="AB44" s="17" t="e">
        <f t="shared" ca="1" si="13"/>
        <v>#VALUE!</v>
      </c>
      <c r="AE44" s="17">
        <v>184.5</v>
      </c>
    </row>
    <row r="45" spans="1:31" ht="15.75" customHeight="1">
      <c r="A45" s="9" t="s">
        <v>6028</v>
      </c>
      <c r="B45" s="17" t="s">
        <v>6029</v>
      </c>
      <c r="C45" s="226">
        <v>45026</v>
      </c>
      <c r="D45" s="203" t="s">
        <v>6030</v>
      </c>
      <c r="E45" s="31" t="s">
        <v>371</v>
      </c>
      <c r="F45" s="17">
        <v>282</v>
      </c>
      <c r="G45" s="17">
        <v>500</v>
      </c>
      <c r="H45" s="220">
        <f ca="1">IFERROR(__xludf.DUMMYFUNCTION("index(sortn(GoogleFinance(D45,""high"",C45, TODAY(),""DAILY""),2,1,2,0),2,2)"),502.3)</f>
        <v>502.3</v>
      </c>
      <c r="I45" s="132">
        <f t="shared" ca="1" si="0"/>
        <v>0.78120567375886529</v>
      </c>
      <c r="J45" s="132">
        <f t="shared" ca="1" si="1"/>
        <v>0.58120567375886534</v>
      </c>
      <c r="K45" s="221">
        <f t="shared" ca="1" si="2"/>
        <v>445.90000000000003</v>
      </c>
      <c r="L45" s="132">
        <f t="shared" ca="1" si="3"/>
        <v>0.65248226950354615</v>
      </c>
      <c r="M45" s="20">
        <f ca="1">IFERROR(__xludf.DUMMYFUNCTION("GOOGLEFINANCE(""NSE:lumaxtech"",""price"")"),466)</f>
        <v>466</v>
      </c>
      <c r="N45" s="10">
        <f t="shared" ca="1" si="4"/>
        <v>92000</v>
      </c>
      <c r="O45" s="223">
        <f t="shared" ca="1" si="5"/>
        <v>0.65248226950354615</v>
      </c>
      <c r="P45" s="22">
        <v>355</v>
      </c>
      <c r="Q45" s="22">
        <v>420</v>
      </c>
      <c r="R45" s="17">
        <f t="shared" ca="1" si="6"/>
        <v>111</v>
      </c>
      <c r="S45" s="221">
        <f t="shared" ca="1" si="7"/>
        <v>20.099999999999966</v>
      </c>
      <c r="T45" s="132">
        <f t="shared" ca="1" si="8"/>
        <v>7.1276595744680732E-2</v>
      </c>
      <c r="U45" s="17">
        <f t="shared" ca="1" si="9"/>
        <v>-46</v>
      </c>
      <c r="W45" s="22">
        <v>420</v>
      </c>
      <c r="X45" s="224">
        <f t="shared" ca="1" si="10"/>
        <v>466</v>
      </c>
      <c r="Y45" s="17">
        <v>394</v>
      </c>
      <c r="Z45" s="225">
        <f t="shared" ca="1" si="11"/>
        <v>0.18274111675126903</v>
      </c>
      <c r="AA45" s="57">
        <f t="shared" ca="1" si="12"/>
        <v>4.638099409930686E-4</v>
      </c>
      <c r="AB45" s="17">
        <f t="shared" ca="1" si="13"/>
        <v>72</v>
      </c>
      <c r="AE45" s="17">
        <v>394</v>
      </c>
    </row>
    <row r="46" spans="1:31" ht="15.75" customHeight="1">
      <c r="A46" s="9" t="s">
        <v>432</v>
      </c>
      <c r="B46" s="17" t="s">
        <v>328</v>
      </c>
      <c r="C46" s="226">
        <v>45117</v>
      </c>
      <c r="D46" s="203" t="s">
        <v>2245</v>
      </c>
      <c r="E46" s="31" t="s">
        <v>6031</v>
      </c>
      <c r="F46" s="17">
        <v>474.5</v>
      </c>
      <c r="G46" s="17">
        <v>800</v>
      </c>
      <c r="H46" s="220">
        <f ca="1">IFERROR(__xludf.DUMMYFUNCTION("index(sortn(GoogleFinance(D46,""high"",C46, TODAY(),""DAILY""),2,1,2,0),2,2)"),1097)</f>
        <v>1097</v>
      </c>
      <c r="I46" s="132">
        <f t="shared" ca="1" si="0"/>
        <v>1.3119072708113804</v>
      </c>
      <c r="J46" s="132">
        <f t="shared" ca="1" si="1"/>
        <v>1.1119072708113804</v>
      </c>
      <c r="K46" s="221">
        <f t="shared" ca="1" si="2"/>
        <v>1002.1</v>
      </c>
      <c r="L46" s="132">
        <f t="shared" ca="1" si="3"/>
        <v>0.88598524762908315</v>
      </c>
      <c r="M46" s="20">
        <f ca="1">IFERROR(__xludf.DUMMYFUNCTION("GOOGLEFINANCE(""NSE:MAHSEAMLES"",""price"")"),894.9)</f>
        <v>894.9</v>
      </c>
      <c r="N46" s="222">
        <f t="shared" ca="1" si="4"/>
        <v>336320</v>
      </c>
      <c r="O46" s="223">
        <f t="shared" ca="1" si="5"/>
        <v>0.88598524762908315</v>
      </c>
      <c r="P46" s="22">
        <v>462</v>
      </c>
      <c r="Q46" s="22">
        <v>630</v>
      </c>
      <c r="R46" s="17">
        <f t="shared" ca="1" si="6"/>
        <v>432.9</v>
      </c>
      <c r="S46" s="221">
        <f t="shared" ca="1" si="7"/>
        <v>-107.20000000000005</v>
      </c>
      <c r="T46" s="132">
        <f t="shared" ca="1" si="8"/>
        <v>-0.22592202318229726</v>
      </c>
      <c r="U46" s="17">
        <f t="shared" ca="1" si="9"/>
        <v>-264.89999999999998</v>
      </c>
      <c r="W46" s="22"/>
      <c r="X46" s="224">
        <f t="shared" ca="1" si="10"/>
        <v>894.9</v>
      </c>
      <c r="Y46" s="17">
        <v>492.1</v>
      </c>
      <c r="Z46" s="225">
        <f t="shared" ca="1" si="11"/>
        <v>0.81853281853281845</v>
      </c>
      <c r="AA46" s="57">
        <f t="shared" ca="1" si="12"/>
        <v>1.6633465119545183E-3</v>
      </c>
      <c r="AB46" s="17">
        <f t="shared" ca="1" si="13"/>
        <v>402.79999999999995</v>
      </c>
      <c r="AE46" s="17">
        <v>536.9</v>
      </c>
    </row>
    <row r="47" spans="1:31" ht="15.75" customHeight="1">
      <c r="A47" s="9" t="s">
        <v>6032</v>
      </c>
      <c r="B47" s="17" t="s">
        <v>288</v>
      </c>
      <c r="C47" s="226">
        <v>45082</v>
      </c>
      <c r="D47" s="203" t="s">
        <v>6033</v>
      </c>
      <c r="E47" s="31" t="s">
        <v>6034</v>
      </c>
      <c r="F47" s="17">
        <v>1021.5</v>
      </c>
      <c r="G47" s="17">
        <v>250</v>
      </c>
      <c r="H47" s="220">
        <f ca="1">IFERROR(__xludf.DUMMYFUNCTION("index(sortn(GoogleFinance(D47,""high"",C47, TODAY(),""DAILY""),2,1,2,0),2,2)"),1660.95)</f>
        <v>1660.95</v>
      </c>
      <c r="I47" s="132">
        <f t="shared" ca="1" si="0"/>
        <v>0.6259911894273128</v>
      </c>
      <c r="J47" s="132">
        <f t="shared" ca="1" si="1"/>
        <v>0.42599118942731279</v>
      </c>
      <c r="K47" s="221">
        <f t="shared" ca="1" si="2"/>
        <v>1456.6499999999999</v>
      </c>
      <c r="L47" s="132">
        <f t="shared" ca="1" si="3"/>
        <v>0.43127753303964755</v>
      </c>
      <c r="M47" s="20">
        <f ca="1">IFERROR(__xludf.DUMMYFUNCTION("GOOGLEFINANCE(""NSE:mazda"",""price"")"),1462.05)</f>
        <v>1462.05</v>
      </c>
      <c r="N47" s="222">
        <f t="shared" ca="1" si="4"/>
        <v>110137.49999999999</v>
      </c>
      <c r="O47" s="223">
        <f t="shared" ca="1" si="5"/>
        <v>0.43127753303964755</v>
      </c>
      <c r="P47" s="22">
        <v>865</v>
      </c>
      <c r="Q47" s="22">
        <v>1270</v>
      </c>
      <c r="R47" s="17">
        <f t="shared" ca="1" si="6"/>
        <v>597.04999999999995</v>
      </c>
      <c r="S47" s="221">
        <f t="shared" ca="1" si="7"/>
        <v>5.4000000000000909</v>
      </c>
      <c r="T47" s="132">
        <f t="shared" ca="1" si="8"/>
        <v>5.2863436123348909E-3</v>
      </c>
      <c r="U47" s="17">
        <f t="shared" ca="1" si="9"/>
        <v>-192.04999999999995</v>
      </c>
      <c r="W47" s="22"/>
      <c r="X47" s="224">
        <f t="shared" ca="1" si="10"/>
        <v>1462.05</v>
      </c>
      <c r="Y47" s="17">
        <v>901</v>
      </c>
      <c r="Z47" s="225">
        <f t="shared" ca="1" si="11"/>
        <v>0.62269700332963374</v>
      </c>
      <c r="AA47" s="57">
        <f t="shared" ca="1" si="12"/>
        <v>6.9111765075431045E-4</v>
      </c>
      <c r="AB47" s="17">
        <f t="shared" ca="1" si="13"/>
        <v>561.04999999999995</v>
      </c>
      <c r="AE47" s="17">
        <v>901</v>
      </c>
    </row>
    <row r="48" spans="1:31" ht="15.75" customHeight="1">
      <c r="A48" s="9" t="s">
        <v>6035</v>
      </c>
      <c r="B48" s="17" t="s">
        <v>406</v>
      </c>
      <c r="C48" s="226">
        <v>45054</v>
      </c>
      <c r="D48" s="203" t="s">
        <v>6036</v>
      </c>
      <c r="E48" s="31" t="s">
        <v>6037</v>
      </c>
      <c r="F48" s="17">
        <v>112</v>
      </c>
      <c r="G48" s="17">
        <v>1000</v>
      </c>
      <c r="H48" s="220">
        <f ca="1">IFERROR(__xludf.DUMMYFUNCTION("index(sortn(GoogleFinance(D48,""high"",C48, TODAY(),""DAILY""),2,1,2,0),2,2)"),166.4)</f>
        <v>166.4</v>
      </c>
      <c r="I48" s="132">
        <f t="shared" ca="1" si="0"/>
        <v>0.48571428571428577</v>
      </c>
      <c r="J48" s="132">
        <f t="shared" ca="1" si="1"/>
        <v>0.35571428571428576</v>
      </c>
      <c r="K48" s="221">
        <f t="shared" ca="1" si="2"/>
        <v>151.84000000000003</v>
      </c>
      <c r="L48" s="132">
        <f t="shared" ca="1" si="3"/>
        <v>0.14732142857142858</v>
      </c>
      <c r="M48" s="20">
        <f ca="1">IFERROR(__xludf.DUMMYFUNCTION("GOOGLEFINANCE(""NSE:menonbe"",""price"")"),128.5)</f>
        <v>128.5</v>
      </c>
      <c r="N48" s="10">
        <f t="shared" ca="1" si="4"/>
        <v>16500</v>
      </c>
      <c r="O48" s="223">
        <f t="shared" ca="1" si="5"/>
        <v>0.14732142857142858</v>
      </c>
      <c r="P48" s="22">
        <v>133</v>
      </c>
      <c r="Q48" s="22" t="s">
        <v>5913</v>
      </c>
      <c r="R48" s="17">
        <f t="shared" ca="1" si="6"/>
        <v>-4.5</v>
      </c>
      <c r="S48" s="221">
        <f t="shared" ca="1" si="7"/>
        <v>-23.340000000000032</v>
      </c>
      <c r="T48" s="132">
        <f t="shared" ca="1" si="8"/>
        <v>-0.20839285714285744</v>
      </c>
      <c r="U48" s="17" t="e">
        <f t="shared" ca="1" si="9"/>
        <v>#VALUE!</v>
      </c>
      <c r="W48" s="22"/>
      <c r="X48" s="224">
        <f t="shared" ca="1" si="10"/>
        <v>138.55000000000001</v>
      </c>
      <c r="Y48" s="17">
        <v>138.55000000000001</v>
      </c>
      <c r="Z48" s="225">
        <f t="shared" ca="1" si="11"/>
        <v>-7.2536990256225259E-2</v>
      </c>
      <c r="AA48" s="57">
        <f t="shared" ca="1" si="12"/>
        <v>-5.2354377665987195E-4</v>
      </c>
      <c r="AB48" s="17">
        <f t="shared" ca="1" si="13"/>
        <v>-10.050000000000011</v>
      </c>
      <c r="AE48" s="17">
        <v>138.55000000000001</v>
      </c>
    </row>
    <row r="49" spans="1:31" ht="15.75" customHeight="1">
      <c r="A49" s="9" t="s">
        <v>6035</v>
      </c>
      <c r="B49" s="17" t="s">
        <v>280</v>
      </c>
      <c r="C49" s="226">
        <v>45057</v>
      </c>
      <c r="D49" s="203" t="s">
        <v>6036</v>
      </c>
      <c r="E49" s="31" t="s">
        <v>6037</v>
      </c>
      <c r="F49" s="17">
        <v>125</v>
      </c>
      <c r="G49" s="17">
        <v>1500</v>
      </c>
      <c r="H49" s="220">
        <f ca="1">IFERROR(__xludf.DUMMYFUNCTION("index(sortn(GoogleFinance(D49,""high"",C49, TODAY(),""DAILY""),2,1,2,0),2,2)"),166.4)</f>
        <v>166.4</v>
      </c>
      <c r="I49" s="132">
        <f t="shared" ca="1" si="0"/>
        <v>0.33120000000000005</v>
      </c>
      <c r="J49" s="132">
        <f t="shared" ca="1" si="1"/>
        <v>0.23120000000000004</v>
      </c>
      <c r="K49" s="221">
        <f t="shared" ca="1" si="2"/>
        <v>153.9</v>
      </c>
      <c r="L49" s="132">
        <f t="shared" ca="1" si="3"/>
        <v>2.8000000000000001E-2</v>
      </c>
      <c r="M49" s="20">
        <f ca="1">IFERROR(__xludf.DUMMYFUNCTION("GOOGLEFINANCE(""NSE:menonbe"",""price"")"),128.5)</f>
        <v>128.5</v>
      </c>
      <c r="N49" s="10">
        <f t="shared" ca="1" si="4"/>
        <v>5250</v>
      </c>
      <c r="O49" s="223">
        <f t="shared" ca="1" si="5"/>
        <v>2.8000000000000001E-2</v>
      </c>
      <c r="P49" s="22">
        <v>133</v>
      </c>
      <c r="Q49" s="22" t="s">
        <v>5913</v>
      </c>
      <c r="R49" s="17">
        <f t="shared" ca="1" si="6"/>
        <v>-4.5</v>
      </c>
      <c r="S49" s="221">
        <f t="shared" ca="1" si="7"/>
        <v>-25.400000000000006</v>
      </c>
      <c r="T49" s="132">
        <f t="shared" ca="1" si="8"/>
        <v>-0.20320000000000005</v>
      </c>
      <c r="U49" s="17" t="e">
        <f t="shared" ca="1" si="9"/>
        <v>#VALUE!</v>
      </c>
      <c r="W49" s="22"/>
      <c r="X49" s="224">
        <f t="shared" ca="1" si="10"/>
        <v>138.55000000000001</v>
      </c>
      <c r="Y49" s="17">
        <v>138.55000000000001</v>
      </c>
      <c r="Z49" s="225">
        <f t="shared" ca="1" si="11"/>
        <v>-7.2536990256225259E-2</v>
      </c>
      <c r="AA49" s="57">
        <f t="shared" ca="1" si="12"/>
        <v>-5.2354377665987195E-4</v>
      </c>
      <c r="AB49" s="17">
        <f t="shared" ca="1" si="13"/>
        <v>-10.050000000000011</v>
      </c>
      <c r="AE49" s="17">
        <v>138.55000000000001</v>
      </c>
    </row>
    <row r="50" spans="1:31" ht="15.75" customHeight="1">
      <c r="A50" s="9" t="s">
        <v>6035</v>
      </c>
      <c r="B50" s="17" t="s">
        <v>262</v>
      </c>
      <c r="C50" s="226">
        <v>45069</v>
      </c>
      <c r="D50" s="203" t="s">
        <v>6036</v>
      </c>
      <c r="E50" s="31" t="s">
        <v>6037</v>
      </c>
      <c r="F50" s="17">
        <v>134.5</v>
      </c>
      <c r="G50" s="17">
        <v>1500</v>
      </c>
      <c r="H50" s="220">
        <f ca="1">IFERROR(__xludf.DUMMYFUNCTION("index(sortn(GoogleFinance(D50,""high"",C50, TODAY(),""DAILY""),2,1,2,0),2,2)"),166.4)</f>
        <v>166.4</v>
      </c>
      <c r="I50" s="132">
        <f t="shared" ca="1" si="0"/>
        <v>0.23717472118959113</v>
      </c>
      <c r="J50" s="132">
        <f t="shared" ca="1" si="1"/>
        <v>0.15717472118959114</v>
      </c>
      <c r="K50" s="221">
        <f t="shared" ca="1" si="2"/>
        <v>155.63999999999999</v>
      </c>
      <c r="L50" s="132">
        <f t="shared" ca="1" si="3"/>
        <v>-4.4609665427509292E-2</v>
      </c>
      <c r="M50" s="20">
        <f ca="1">IFERROR(__xludf.DUMMYFUNCTION("GOOGLEFINANCE(""NSE:menonbe"",""price"")"),128.5)</f>
        <v>128.5</v>
      </c>
      <c r="N50" s="10">
        <f t="shared" ca="1" si="4"/>
        <v>-9000</v>
      </c>
      <c r="O50" s="223">
        <f t="shared" ca="1" si="5"/>
        <v>-4.4609665427509292E-2</v>
      </c>
      <c r="P50" s="22">
        <v>133</v>
      </c>
      <c r="Q50" s="22" t="s">
        <v>5913</v>
      </c>
      <c r="R50" s="17">
        <f t="shared" ca="1" si="6"/>
        <v>-4.5</v>
      </c>
      <c r="S50" s="221">
        <f t="shared" ca="1" si="7"/>
        <v>-27.139999999999986</v>
      </c>
      <c r="T50" s="132">
        <f t="shared" ca="1" si="8"/>
        <v>-0.20178438661710027</v>
      </c>
      <c r="U50" s="17" t="e">
        <f t="shared" ca="1" si="9"/>
        <v>#VALUE!</v>
      </c>
      <c r="W50" s="22"/>
      <c r="X50" s="224">
        <f t="shared" ca="1" si="10"/>
        <v>138.55000000000001</v>
      </c>
      <c r="Y50" s="17">
        <v>138.55000000000001</v>
      </c>
      <c r="Z50" s="225">
        <f t="shared" ca="1" si="11"/>
        <v>-7.2536990256225259E-2</v>
      </c>
      <c r="AA50" s="57">
        <f t="shared" ca="1" si="12"/>
        <v>-5.2354377665987195E-4</v>
      </c>
      <c r="AB50" s="17">
        <f t="shared" ca="1" si="13"/>
        <v>-10.050000000000011</v>
      </c>
      <c r="AE50" s="17">
        <v>138.55000000000001</v>
      </c>
    </row>
    <row r="51" spans="1:31" ht="15.75" customHeight="1">
      <c r="A51" s="9" t="s">
        <v>456</v>
      </c>
      <c r="B51" s="17" t="s">
        <v>288</v>
      </c>
      <c r="C51" s="226">
        <v>45082</v>
      </c>
      <c r="D51" s="203" t="s">
        <v>6038</v>
      </c>
      <c r="E51" s="31" t="s">
        <v>6039</v>
      </c>
      <c r="F51" s="17">
        <v>300</v>
      </c>
      <c r="G51" s="17">
        <v>1000</v>
      </c>
      <c r="H51" s="220">
        <f ca="1">IFERROR(__xludf.DUMMYFUNCTION("index(sortn(GoogleFinance(D51,""high"",C51, TODAY(),""DAILY""),2,1,2,0),2,2)"),449.95)</f>
        <v>449.95</v>
      </c>
      <c r="I51" s="132">
        <f t="shared" ca="1" si="0"/>
        <v>0.4998333333333333</v>
      </c>
      <c r="J51" s="132">
        <f t="shared" ca="1" si="1"/>
        <v>0.36983333333333329</v>
      </c>
      <c r="K51" s="221">
        <f t="shared" ca="1" si="2"/>
        <v>410.95</v>
      </c>
      <c r="L51" s="132">
        <f t="shared" ca="1" si="3"/>
        <v>0.38333333333333336</v>
      </c>
      <c r="M51" s="20">
        <f ca="1">IFERROR(__xludf.DUMMYFUNCTION("GOOGLEFINANCE(""NSE:mindacorp"",""price"")"),415)</f>
        <v>415</v>
      </c>
      <c r="N51" s="222">
        <f t="shared" ca="1" si="4"/>
        <v>115000</v>
      </c>
      <c r="O51" s="223">
        <f t="shared" ca="1" si="5"/>
        <v>0.38333333333333336</v>
      </c>
      <c r="P51" s="22">
        <v>283</v>
      </c>
      <c r="Q51" s="22">
        <v>380</v>
      </c>
      <c r="R51" s="17">
        <f t="shared" ca="1" si="6"/>
        <v>132</v>
      </c>
      <c r="S51" s="221">
        <f t="shared" ca="1" si="7"/>
        <v>4.0500000000000114</v>
      </c>
      <c r="T51" s="132">
        <f t="shared" ca="1" si="8"/>
        <v>1.3500000000000038E-2</v>
      </c>
      <c r="U51" s="17">
        <f t="shared" ca="1" si="9"/>
        <v>-35</v>
      </c>
      <c r="W51" s="22"/>
      <c r="X51" s="224">
        <f t="shared" ca="1" si="10"/>
        <v>415</v>
      </c>
      <c r="Y51" s="17">
        <v>303</v>
      </c>
      <c r="Z51" s="225">
        <f t="shared" ca="1" si="11"/>
        <v>0.36963696369636961</v>
      </c>
      <c r="AA51" s="57">
        <f t="shared" ca="1" si="12"/>
        <v>1.2199239725952792E-3</v>
      </c>
      <c r="AB51" s="17">
        <f t="shared" ca="1" si="13"/>
        <v>112</v>
      </c>
      <c r="AE51" s="17">
        <v>308.55</v>
      </c>
    </row>
    <row r="52" spans="1:31" ht="15.75" customHeight="1">
      <c r="A52" s="9" t="s">
        <v>6040</v>
      </c>
      <c r="B52" s="17" t="s">
        <v>288</v>
      </c>
      <c r="C52" s="226">
        <v>45082</v>
      </c>
      <c r="D52" s="203" t="s">
        <v>6041</v>
      </c>
      <c r="E52" s="31" t="s">
        <v>6042</v>
      </c>
      <c r="F52" s="17">
        <v>47</v>
      </c>
      <c r="G52" s="17">
        <v>4000</v>
      </c>
      <c r="H52" s="220">
        <f ca="1">IFERROR(__xludf.DUMMYFUNCTION("index(sortn(GoogleFinance(D52,""high"",C52, TODAY(),""DAILY""),2,1,2,0),2,2)"),71.9)</f>
        <v>71.900000000000006</v>
      </c>
      <c r="I52" s="132">
        <f t="shared" ca="1" si="0"/>
        <v>0.52978723404255335</v>
      </c>
      <c r="J52" s="132">
        <f t="shared" ca="1" si="1"/>
        <v>0.37978723404255332</v>
      </c>
      <c r="K52" s="221">
        <f t="shared" ca="1" si="2"/>
        <v>64.849999999999994</v>
      </c>
      <c r="L52" s="132">
        <f t="shared" ca="1" si="3"/>
        <v>8.085106382978717E-2</v>
      </c>
      <c r="M52" s="20">
        <f ca="1">IFERROR(__xludf.DUMMYFUNCTION("GOOGLEFINANCE(""NSE:murudcera"",""price"")"),50.8)</f>
        <v>50.8</v>
      </c>
      <c r="N52" s="222">
        <f t="shared" ca="1" si="4"/>
        <v>15199.999999999989</v>
      </c>
      <c r="O52" s="223">
        <f t="shared" ca="1" si="5"/>
        <v>8.085106382978717E-2</v>
      </c>
      <c r="P52" s="22">
        <v>39.85</v>
      </c>
      <c r="Q52" s="22">
        <v>54</v>
      </c>
      <c r="R52" s="17">
        <f t="shared" ca="1" si="6"/>
        <v>10.949999999999996</v>
      </c>
      <c r="S52" s="221">
        <f t="shared" ca="1" si="7"/>
        <v>-14.049999999999997</v>
      </c>
      <c r="T52" s="132">
        <f t="shared" ca="1" si="8"/>
        <v>-0.29893617021276592</v>
      </c>
      <c r="U52" s="17">
        <f t="shared" ca="1" si="9"/>
        <v>3.2000000000000028</v>
      </c>
      <c r="W52" s="22" t="s">
        <v>6043</v>
      </c>
      <c r="X52" s="224">
        <f t="shared" ca="1" si="10"/>
        <v>50.8</v>
      </c>
      <c r="Y52" s="17">
        <v>41.05</v>
      </c>
      <c r="Z52" s="225">
        <f t="shared" ca="1" si="11"/>
        <v>0.23751522533495739</v>
      </c>
      <c r="AA52" s="57">
        <f t="shared" ca="1" si="12"/>
        <v>5.785998181119547E-3</v>
      </c>
      <c r="AB52" s="17">
        <f t="shared" ca="1" si="13"/>
        <v>9.75</v>
      </c>
      <c r="AE52" s="17">
        <v>41.6</v>
      </c>
    </row>
    <row r="53" spans="1:31" ht="15.75" customHeight="1">
      <c r="A53" s="9" t="s">
        <v>6044</v>
      </c>
      <c r="B53" s="17" t="s">
        <v>345</v>
      </c>
      <c r="C53" s="226">
        <v>45098</v>
      </c>
      <c r="D53" s="203" t="s">
        <v>6045</v>
      </c>
      <c r="E53" s="31" t="s">
        <v>6046</v>
      </c>
      <c r="F53" s="17">
        <v>2969</v>
      </c>
      <c r="G53" s="17">
        <v>200</v>
      </c>
      <c r="H53" s="220">
        <f ca="1">IFERROR(__xludf.DUMMYFUNCTION("index(sortn(GoogleFinance(D53,""high"",C53, TODAY(),""DAILY""),2,1,2,0),2,2)"),7318.3)</f>
        <v>7318.3</v>
      </c>
      <c r="I53" s="132">
        <f t="shared" ca="1" si="0"/>
        <v>1.4649040080835298</v>
      </c>
      <c r="J53" s="132">
        <f t="shared" ca="1" si="1"/>
        <v>1.2649040080835299</v>
      </c>
      <c r="K53" s="221">
        <f t="shared" ca="1" si="2"/>
        <v>6724.5</v>
      </c>
      <c r="L53" s="132">
        <f t="shared" ca="1" si="3"/>
        <v>1.2448635904344898</v>
      </c>
      <c r="M53" s="20">
        <f ca="1">IFERROR(__xludf.DUMMYFUNCTION("GOOGLEFINANCE(""NSE:neulandlab"",""price"")"),6665)</f>
        <v>6665</v>
      </c>
      <c r="N53" s="222">
        <f t="shared" ca="1" si="4"/>
        <v>739200</v>
      </c>
      <c r="O53" s="223">
        <f t="shared" ca="1" si="5"/>
        <v>1.2448635904344898</v>
      </c>
      <c r="P53" s="22">
        <v>3210</v>
      </c>
      <c r="Q53" s="22">
        <v>4000</v>
      </c>
      <c r="R53" s="17">
        <f t="shared" ca="1" si="6"/>
        <v>3455</v>
      </c>
      <c r="S53" s="221">
        <f t="shared" ca="1" si="7"/>
        <v>-59.5</v>
      </c>
      <c r="T53" s="132">
        <f t="shared" ca="1" si="8"/>
        <v>-2.004041764904008E-2</v>
      </c>
      <c r="U53" s="17">
        <f t="shared" ca="1" si="9"/>
        <v>-2665</v>
      </c>
      <c r="W53" s="22" t="s">
        <v>6047</v>
      </c>
      <c r="X53" s="224">
        <f t="shared" ca="1" si="10"/>
        <v>6665</v>
      </c>
      <c r="Y53" s="17">
        <v>3478</v>
      </c>
      <c r="Z53" s="225">
        <f t="shared" ca="1" si="11"/>
        <v>0.91633122484186313</v>
      </c>
      <c r="AA53" s="57">
        <f t="shared" ca="1" si="12"/>
        <v>2.6346498701606186E-4</v>
      </c>
      <c r="AB53" s="17">
        <f t="shared" ca="1" si="13"/>
        <v>3187</v>
      </c>
      <c r="AE53" s="17">
        <v>3478</v>
      </c>
    </row>
    <row r="54" spans="1:31" ht="15.75" customHeight="1">
      <c r="A54" s="258" t="s">
        <v>6048</v>
      </c>
      <c r="B54" s="17" t="s">
        <v>6009</v>
      </c>
      <c r="C54" s="226">
        <v>45040</v>
      </c>
      <c r="D54" s="203" t="s">
        <v>6049</v>
      </c>
      <c r="E54" s="31" t="s">
        <v>6050</v>
      </c>
      <c r="F54" s="17">
        <v>250.8</v>
      </c>
      <c r="G54" s="17">
        <v>750</v>
      </c>
      <c r="H54" s="220">
        <f ca="1">IFERROR(__xludf.DUMMYFUNCTION("index(sortn(GoogleFinance(D54,""high"",C54, TODAY(),""DAILY""),2,1,2,0),2,2)"),394.6)</f>
        <v>394.6</v>
      </c>
      <c r="I54" s="132">
        <f t="shared" ca="1" si="0"/>
        <v>0.57336523125996808</v>
      </c>
      <c r="J54" s="132">
        <f t="shared" ca="1" si="1"/>
        <v>0.42336523125996806</v>
      </c>
      <c r="K54" s="221">
        <f t="shared" ca="1" si="2"/>
        <v>356.98</v>
      </c>
      <c r="L54" s="132">
        <f t="shared" ca="1" si="3"/>
        <v>0.41547049441786277</v>
      </c>
      <c r="M54" s="20">
        <f ca="1">IFERROR(__xludf.DUMMYFUNCTION("GOOGLEFINANCE(""NSE:nitinspin"",""price"")"),355)</f>
        <v>355</v>
      </c>
      <c r="N54" s="10">
        <f t="shared" ca="1" si="4"/>
        <v>78149.999999999985</v>
      </c>
      <c r="O54" s="223">
        <f t="shared" ca="1" si="5"/>
        <v>0.41547049441786277</v>
      </c>
      <c r="P54" s="22">
        <v>255</v>
      </c>
      <c r="Q54" s="22">
        <v>280</v>
      </c>
      <c r="R54" s="17">
        <f t="shared" ca="1" si="6"/>
        <v>100</v>
      </c>
      <c r="S54" s="221">
        <f t="shared" ca="1" si="7"/>
        <v>-1.9800000000000182</v>
      </c>
      <c r="T54" s="132">
        <f t="shared" ca="1" si="8"/>
        <v>-7.8947368421053345E-3</v>
      </c>
      <c r="U54" s="17">
        <f t="shared" ca="1" si="9"/>
        <v>-75</v>
      </c>
      <c r="W54" s="22" t="s">
        <v>6051</v>
      </c>
      <c r="X54" s="224">
        <f t="shared" ca="1" si="10"/>
        <v>355</v>
      </c>
      <c r="Y54" s="17">
        <v>240</v>
      </c>
      <c r="Z54" s="225">
        <f t="shared" ca="1" si="11"/>
        <v>0.47916666666666669</v>
      </c>
      <c r="AA54" s="57">
        <f t="shared" ca="1" si="12"/>
        <v>1.9965277777777781E-3</v>
      </c>
      <c r="AB54" s="17">
        <f t="shared" ca="1" si="13"/>
        <v>115</v>
      </c>
      <c r="AE54" s="17">
        <v>240</v>
      </c>
    </row>
    <row r="55" spans="1:31" ht="15.75" customHeight="1">
      <c r="A55" s="9" t="s">
        <v>387</v>
      </c>
      <c r="B55" s="17" t="s">
        <v>268</v>
      </c>
      <c r="C55" s="226">
        <v>45048</v>
      </c>
      <c r="D55" s="203" t="s">
        <v>6052</v>
      </c>
      <c r="E55" s="31" t="s">
        <v>387</v>
      </c>
      <c r="F55" s="17">
        <v>122.5</v>
      </c>
      <c r="G55" s="17">
        <v>1000</v>
      </c>
      <c r="H55" s="220">
        <f ca="1">IFERROR(__xludf.DUMMYFUNCTION("index(sortn(GoogleFinance(D55,""high"",C55, TODAY(),""DAILY""),2,1,2,0),2,2)"),195.5)</f>
        <v>195.5</v>
      </c>
      <c r="I55" s="132">
        <f t="shared" ca="1" si="0"/>
        <v>0.59591836734693882</v>
      </c>
      <c r="J55" s="132">
        <f t="shared" ca="1" si="1"/>
        <v>0.44591836734693879</v>
      </c>
      <c r="K55" s="221">
        <f t="shared" ca="1" si="2"/>
        <v>177.12500000000003</v>
      </c>
      <c r="L55" s="132">
        <f t="shared" ca="1" si="3"/>
        <v>0.45714285714285713</v>
      </c>
      <c r="M55" s="20">
        <f ca="1">IFERROR(__xludf.DUMMYFUNCTION("GOOGLEFINANCE(""NSE:nykaa"",""price"")"),178.5)</f>
        <v>178.5</v>
      </c>
      <c r="N55" s="10">
        <f t="shared" ca="1" si="4"/>
        <v>56000</v>
      </c>
      <c r="O55" s="223">
        <f t="shared" ca="1" si="5"/>
        <v>0.45714285714285713</v>
      </c>
      <c r="P55" s="22">
        <v>142</v>
      </c>
      <c r="Q55" s="22">
        <v>162</v>
      </c>
      <c r="R55" s="17">
        <f t="shared" ca="1" si="6"/>
        <v>36.5</v>
      </c>
      <c r="S55" s="221">
        <f t="shared" ca="1" si="7"/>
        <v>1.3749999999999716</v>
      </c>
      <c r="T55" s="132">
        <f t="shared" ca="1" si="8"/>
        <v>1.1224489795918136E-2</v>
      </c>
      <c r="U55" s="17">
        <f t="shared" ca="1" si="9"/>
        <v>-16.5</v>
      </c>
      <c r="W55" s="22">
        <v>162</v>
      </c>
      <c r="X55" s="224">
        <f t="shared" ca="1" si="10"/>
        <v>178.5</v>
      </c>
      <c r="Y55" s="17">
        <v>147.85</v>
      </c>
      <c r="Z55" s="225">
        <f t="shared" ca="1" si="11"/>
        <v>0.20730470071017928</v>
      </c>
      <c r="AA55" s="57">
        <f t="shared" ca="1" si="12"/>
        <v>1.402128513426982E-3</v>
      </c>
      <c r="AB55" s="17">
        <f t="shared" ca="1" si="13"/>
        <v>30.650000000000006</v>
      </c>
      <c r="AE55" s="17">
        <v>147.85</v>
      </c>
    </row>
    <row r="56" spans="1:31" ht="15.75" customHeight="1">
      <c r="A56" s="9" t="s">
        <v>6053</v>
      </c>
      <c r="B56" s="17" t="s">
        <v>6054</v>
      </c>
      <c r="C56" s="226">
        <v>45036</v>
      </c>
      <c r="D56" s="203" t="s">
        <v>6055</v>
      </c>
      <c r="E56" s="31" t="s">
        <v>6056</v>
      </c>
      <c r="F56" s="17">
        <v>86.85</v>
      </c>
      <c r="G56" s="17">
        <v>1000</v>
      </c>
      <c r="H56" s="220">
        <f ca="1">IFERROR(__xludf.DUMMYFUNCTION("index(sortn(GoogleFinance(D56,""high"",C56, TODAY(),""DAILY""),2,1,2,0),2,2)"),142.4)</f>
        <v>142.4</v>
      </c>
      <c r="I56" s="132">
        <f t="shared" ca="1" si="0"/>
        <v>0.63960852043753613</v>
      </c>
      <c r="J56" s="132">
        <f t="shared" ca="1" si="1"/>
        <v>0.43960852043753612</v>
      </c>
      <c r="K56" s="221">
        <f t="shared" ca="1" si="2"/>
        <v>125.03000000000002</v>
      </c>
      <c r="L56" s="132">
        <f t="shared" ca="1" si="3"/>
        <v>0.5515256188831319</v>
      </c>
      <c r="M56" s="20">
        <f ca="1">IFERROR(__xludf.DUMMYFUNCTION("GOOGLEFINANCE(""NSE:orienthot"",""price"")"),134.75)</f>
        <v>134.75</v>
      </c>
      <c r="N56" s="10">
        <f t="shared" ca="1" si="4"/>
        <v>47900.000000000007</v>
      </c>
      <c r="O56" s="223">
        <f t="shared" ca="1" si="5"/>
        <v>0.5515256188831319</v>
      </c>
      <c r="P56" s="22">
        <v>85.9</v>
      </c>
      <c r="Q56" s="22">
        <v>100</v>
      </c>
      <c r="R56" s="17">
        <f t="shared" ca="1" si="6"/>
        <v>48.849999999999994</v>
      </c>
      <c r="S56" s="221">
        <f t="shared" ca="1" si="7"/>
        <v>9.7199999999999847</v>
      </c>
      <c r="T56" s="132">
        <f t="shared" ca="1" si="8"/>
        <v>0.11191709844559569</v>
      </c>
      <c r="U56" s="17">
        <f t="shared" ca="1" si="9"/>
        <v>-34.75</v>
      </c>
      <c r="W56" s="22" t="s">
        <v>6057</v>
      </c>
      <c r="X56" s="224">
        <f t="shared" ca="1" si="10"/>
        <v>134.75</v>
      </c>
      <c r="Y56" s="17">
        <v>88.7</v>
      </c>
      <c r="Z56" s="225">
        <f t="shared" ca="1" si="11"/>
        <v>0.51916572717023668</v>
      </c>
      <c r="AA56" s="57">
        <f t="shared" ca="1" si="12"/>
        <v>5.8530521665190157E-3</v>
      </c>
      <c r="AB56" s="17">
        <f t="shared" ca="1" si="13"/>
        <v>46.05</v>
      </c>
      <c r="AE56" s="17">
        <v>89.65</v>
      </c>
    </row>
    <row r="57" spans="1:31" ht="15.75" customHeight="1">
      <c r="A57" s="9" t="s">
        <v>6053</v>
      </c>
      <c r="B57" s="17" t="s">
        <v>6054</v>
      </c>
      <c r="C57" s="226">
        <v>45036</v>
      </c>
      <c r="D57" s="203" t="s">
        <v>6055</v>
      </c>
      <c r="E57" s="31" t="s">
        <v>6056</v>
      </c>
      <c r="F57" s="17">
        <v>88.2</v>
      </c>
      <c r="G57" s="17">
        <v>1000</v>
      </c>
      <c r="H57" s="220">
        <f ca="1">IFERROR(__xludf.DUMMYFUNCTION("index(sortn(GoogleFinance(D57,""high"",C57, TODAY(),""DAILY""),2,1,2,0),2,2)"),142.4)</f>
        <v>142.4</v>
      </c>
      <c r="I57" s="132">
        <f t="shared" ca="1" si="0"/>
        <v>0.61451247165532885</v>
      </c>
      <c r="J57" s="132">
        <f t="shared" ca="1" si="1"/>
        <v>0.41451247165532884</v>
      </c>
      <c r="K57" s="221">
        <f t="shared" ca="1" si="2"/>
        <v>124.76</v>
      </c>
      <c r="L57" s="132">
        <f t="shared" ca="1" si="3"/>
        <v>0.52777777777777768</v>
      </c>
      <c r="M57" s="20">
        <f ca="1">IFERROR(__xludf.DUMMYFUNCTION("GOOGLEFINANCE(""NSE:orienthot"",""price"")"),134.75)</f>
        <v>134.75</v>
      </c>
      <c r="N57" s="10">
        <f t="shared" ca="1" si="4"/>
        <v>46550</v>
      </c>
      <c r="O57" s="223">
        <f t="shared" ca="1" si="5"/>
        <v>0.52777777777777768</v>
      </c>
      <c r="P57" s="22">
        <v>85.9</v>
      </c>
      <c r="Q57" s="22">
        <v>100</v>
      </c>
      <c r="R57" s="17">
        <f t="shared" ca="1" si="6"/>
        <v>48.849999999999994</v>
      </c>
      <c r="S57" s="221">
        <f t="shared" ca="1" si="7"/>
        <v>9.9899999999999949</v>
      </c>
      <c r="T57" s="132">
        <f t="shared" ca="1" si="8"/>
        <v>0.11326530612244892</v>
      </c>
      <c r="U57" s="17">
        <f t="shared" ca="1" si="9"/>
        <v>-34.75</v>
      </c>
      <c r="W57" s="22" t="s">
        <v>6057</v>
      </c>
      <c r="X57" s="224">
        <f t="shared" ca="1" si="10"/>
        <v>134.75</v>
      </c>
      <c r="Y57" s="17">
        <v>88.7</v>
      </c>
      <c r="Z57" s="225">
        <f t="shared" ca="1" si="11"/>
        <v>0.51916572717023668</v>
      </c>
      <c r="AA57" s="57">
        <f t="shared" ca="1" si="12"/>
        <v>5.8530521665190157E-3</v>
      </c>
      <c r="AB57" s="17">
        <f t="shared" ca="1" si="13"/>
        <v>46.05</v>
      </c>
      <c r="AE57" s="17">
        <v>89.65</v>
      </c>
    </row>
    <row r="58" spans="1:31" ht="15.75" customHeight="1">
      <c r="A58" s="9" t="s">
        <v>6058</v>
      </c>
      <c r="B58" s="17" t="s">
        <v>6059</v>
      </c>
      <c r="C58" s="226">
        <v>44998</v>
      </c>
      <c r="D58" s="203" t="s">
        <v>6060</v>
      </c>
      <c r="E58" s="31" t="s">
        <v>6061</v>
      </c>
      <c r="F58" s="17">
        <v>72.05</v>
      </c>
      <c r="G58" s="17">
        <v>1500</v>
      </c>
      <c r="H58" s="220">
        <f ca="1">IFERROR(__xludf.DUMMYFUNCTION("index(sortn(GoogleFinance(D58,""high"",C58, TODAY(),""DAILY""),2,1,2,0),2,2)"),163.4)</f>
        <v>163.4</v>
      </c>
      <c r="I58" s="132">
        <f t="shared" ca="1" si="0"/>
        <v>1.2678695350451077</v>
      </c>
      <c r="J58" s="132">
        <f t="shared" ca="1" si="1"/>
        <v>1.0678695350451077</v>
      </c>
      <c r="K58" s="221">
        <f t="shared" ca="1" si="2"/>
        <v>148.99</v>
      </c>
      <c r="L58" s="132">
        <f t="shared" ca="1" si="3"/>
        <v>0.81609993060374741</v>
      </c>
      <c r="M58" s="20">
        <f ca="1">IFERROR(__xludf.DUMMYFUNCTION("GOOGLEFINANCE(""NSE:penind"",""price"")"),130.85)</f>
        <v>130.85</v>
      </c>
      <c r="N58" s="10">
        <f t="shared" ca="1" si="4"/>
        <v>88200</v>
      </c>
      <c r="O58" s="223">
        <f t="shared" ca="1" si="5"/>
        <v>0.81609993060374741</v>
      </c>
      <c r="P58" s="22">
        <v>78.599999999999994</v>
      </c>
      <c r="Q58" s="22">
        <v>100</v>
      </c>
      <c r="R58" s="17">
        <f t="shared" ca="1" si="6"/>
        <v>52.25</v>
      </c>
      <c r="S58" s="221">
        <f t="shared" ca="1" si="7"/>
        <v>-18.140000000000015</v>
      </c>
      <c r="T58" s="132">
        <f t="shared" ca="1" si="8"/>
        <v>-0.25176960444136037</v>
      </c>
      <c r="U58" s="17">
        <f t="shared" ca="1" si="9"/>
        <v>-30.849999999999994</v>
      </c>
      <c r="W58" s="22" t="s">
        <v>6062</v>
      </c>
      <c r="X58" s="224">
        <f t="shared" ca="1" si="10"/>
        <v>130.85</v>
      </c>
      <c r="Y58" s="17">
        <v>82.4</v>
      </c>
      <c r="Z58" s="225">
        <f t="shared" ca="1" si="11"/>
        <v>0.58798543689320371</v>
      </c>
      <c r="AA58" s="57">
        <f t="shared" ca="1" si="12"/>
        <v>7.1357455933641224E-3</v>
      </c>
      <c r="AB58" s="17">
        <f t="shared" ca="1" si="13"/>
        <v>48.449999999999989</v>
      </c>
      <c r="AE58" s="17">
        <v>82.4</v>
      </c>
    </row>
    <row r="59" spans="1:31" ht="15.75" customHeight="1">
      <c r="A59" s="9" t="s">
        <v>6063</v>
      </c>
      <c r="B59" s="17" t="s">
        <v>6064</v>
      </c>
      <c r="C59" s="226">
        <v>45118</v>
      </c>
      <c r="D59" s="203" t="s">
        <v>6065</v>
      </c>
      <c r="E59" s="31" t="s">
        <v>426</v>
      </c>
      <c r="F59" s="17">
        <v>587.04999999999995</v>
      </c>
      <c r="G59" s="17">
        <v>320</v>
      </c>
      <c r="H59" s="220">
        <f ca="1">IFERROR(__xludf.DUMMYFUNCTION("index(sortn(GoogleFinance(D59,""high"",C59, TODAY(),""DAILY""),2,1,2,0),2,2)"),735.4)</f>
        <v>735.4</v>
      </c>
      <c r="I59" s="132">
        <f t="shared" ca="1" si="0"/>
        <v>0.25270419896090629</v>
      </c>
      <c r="J59" s="132">
        <f t="shared" ca="1" si="1"/>
        <v>0.15270419896090628</v>
      </c>
      <c r="K59" s="221">
        <f t="shared" ca="1" si="2"/>
        <v>676.69500000000005</v>
      </c>
      <c r="L59" s="132">
        <f t="shared" ca="1" si="3"/>
        <v>6.3026999403799433E-3</v>
      </c>
      <c r="M59" s="20">
        <f ca="1">IFERROR(__xludf.DUMMYFUNCTION("GOOGLEFINANCE(""NSE:pgil"",""price"")"),590.75)</f>
        <v>590.75</v>
      </c>
      <c r="N59" s="222">
        <f t="shared" ca="1" si="4"/>
        <v>1184.0000000000146</v>
      </c>
      <c r="O59" s="223">
        <f t="shared" ca="1" si="5"/>
        <v>6.3026999403799433E-3</v>
      </c>
      <c r="P59" s="22" t="s">
        <v>5913</v>
      </c>
      <c r="Q59" s="22">
        <v>826</v>
      </c>
      <c r="R59" s="17" t="e">
        <f t="shared" ca="1" si="6"/>
        <v>#VALUE!</v>
      </c>
      <c r="S59" s="221">
        <f t="shared" ca="1" si="7"/>
        <v>-85.94500000000005</v>
      </c>
      <c r="T59" s="132">
        <f t="shared" ca="1" si="8"/>
        <v>-0.14640149902052646</v>
      </c>
      <c r="U59" s="17">
        <f t="shared" ca="1" si="9"/>
        <v>235.25</v>
      </c>
      <c r="W59" s="22"/>
      <c r="X59" s="224">
        <f t="shared" ca="1" si="10"/>
        <v>644</v>
      </c>
      <c r="Y59" s="17">
        <v>644</v>
      </c>
      <c r="Z59" s="225">
        <f t="shared" ca="1" si="11"/>
        <v>-8.2686335403726705E-2</v>
      </c>
      <c r="AA59" s="57">
        <f t="shared" ca="1" si="12"/>
        <v>-1.2839493075112842E-4</v>
      </c>
      <c r="AB59" s="17">
        <f t="shared" ca="1" si="13"/>
        <v>-53.25</v>
      </c>
      <c r="AE59" s="17">
        <v>644</v>
      </c>
    </row>
    <row r="60" spans="1:31" ht="15.75" customHeight="1">
      <c r="A60" s="9" t="s">
        <v>6066</v>
      </c>
      <c r="B60" s="17" t="s">
        <v>5983</v>
      </c>
      <c r="C60" s="226">
        <v>45133</v>
      </c>
      <c r="D60" s="203" t="s">
        <v>1705</v>
      </c>
      <c r="E60" s="31" t="s">
        <v>966</v>
      </c>
      <c r="F60" s="17">
        <v>1662.7</v>
      </c>
      <c r="G60" s="17">
        <v>100</v>
      </c>
      <c r="H60" s="220">
        <f ca="1">IFERROR(__xludf.DUMMYFUNCTION("index(sortn(GoogleFinance(D60,""high"",C60, TODAY(),""DAILY""),2,1,2,0),2,2)"),3140)</f>
        <v>3140</v>
      </c>
      <c r="I60" s="132">
        <f t="shared" ca="1" si="0"/>
        <v>0.88849461718890954</v>
      </c>
      <c r="J60" s="132">
        <f t="shared" ca="1" si="1"/>
        <v>0.68849461718890947</v>
      </c>
      <c r="K60" s="221">
        <f t="shared" ca="1" si="2"/>
        <v>2807.46</v>
      </c>
      <c r="L60" s="132">
        <f t="shared" ca="1" si="3"/>
        <v>0.79945269741985914</v>
      </c>
      <c r="M60" s="20">
        <f ca="1">IFERROR(__xludf.DUMMYFUNCTION("GOOGLEFINANCE(""NSE:PHOENIXLTD"",""price"")"),2991.95)</f>
        <v>2991.95</v>
      </c>
      <c r="N60" s="222">
        <f t="shared" ca="1" si="4"/>
        <v>132924.99999999997</v>
      </c>
      <c r="O60" s="223">
        <f t="shared" ca="1" si="5"/>
        <v>0.79945269741985914</v>
      </c>
      <c r="P60" s="22">
        <v>1600</v>
      </c>
      <c r="Q60" s="22" t="s">
        <v>5913</v>
      </c>
      <c r="R60" s="17">
        <f t="shared" ca="1" si="6"/>
        <v>1391.9499999999998</v>
      </c>
      <c r="S60" s="221">
        <f t="shared" ca="1" si="7"/>
        <v>184.48999999999978</v>
      </c>
      <c r="T60" s="132">
        <f t="shared" ca="1" si="8"/>
        <v>0.11095808023094952</v>
      </c>
      <c r="U60" s="17" t="e">
        <f t="shared" ca="1" si="9"/>
        <v>#VALUE!</v>
      </c>
      <c r="W60" s="22"/>
      <c r="X60" s="224">
        <f t="shared" ca="1" si="10"/>
        <v>2991.95</v>
      </c>
      <c r="Y60" s="17">
        <v>1755</v>
      </c>
      <c r="Z60" s="225">
        <f t="shared" ca="1" si="11"/>
        <v>0.70481481481481467</v>
      </c>
      <c r="AA60" s="57">
        <f t="shared" ca="1" si="12"/>
        <v>4.0160388308536449E-4</v>
      </c>
      <c r="AB60" s="17">
        <f t="shared" ca="1" si="13"/>
        <v>1236.9499999999998</v>
      </c>
      <c r="AE60" s="17">
        <v>1755</v>
      </c>
    </row>
    <row r="61" spans="1:31" ht="15.75" customHeight="1">
      <c r="A61" s="9" t="s">
        <v>6067</v>
      </c>
      <c r="B61" s="17" t="s">
        <v>303</v>
      </c>
      <c r="C61" s="226">
        <v>45090</v>
      </c>
      <c r="D61" s="203" t="s">
        <v>6068</v>
      </c>
      <c r="E61" s="31" t="s">
        <v>6067</v>
      </c>
      <c r="F61" s="17">
        <v>380</v>
      </c>
      <c r="G61" s="17">
        <v>400</v>
      </c>
      <c r="H61" s="220">
        <f ca="1">IFERROR(__xludf.DUMMYFUNCTION("index(sortn(GoogleFinance(D61,""high"",C61, TODAY(),""DAILY""),2,1,2,0),2,2)"),875)</f>
        <v>875</v>
      </c>
      <c r="I61" s="132">
        <f t="shared" ca="1" si="0"/>
        <v>1.3026315789473684</v>
      </c>
      <c r="J61" s="132">
        <f t="shared" ca="1" si="1"/>
        <v>1.1026315789473684</v>
      </c>
      <c r="K61" s="221">
        <f t="shared" ca="1" si="2"/>
        <v>799</v>
      </c>
      <c r="L61" s="132">
        <f t="shared" ca="1" si="3"/>
        <v>1.2448684210526315</v>
      </c>
      <c r="M61" s="20">
        <f ca="1">IFERROR(__xludf.DUMMYFUNCTION("GOOGLEFINANCE(""NSE:pittieng"",""price"")"),853.05)</f>
        <v>853.05</v>
      </c>
      <c r="N61" s="222">
        <f t="shared" ca="1" si="4"/>
        <v>189219.99999999997</v>
      </c>
      <c r="O61" s="223">
        <f t="shared" ca="1" si="5"/>
        <v>1.2448684210526315</v>
      </c>
      <c r="P61" s="22">
        <v>485</v>
      </c>
      <c r="Q61" s="22">
        <v>480</v>
      </c>
      <c r="R61" s="17">
        <f t="shared" ca="1" si="6"/>
        <v>368.04999999999995</v>
      </c>
      <c r="S61" s="221">
        <f t="shared" ca="1" si="7"/>
        <v>54.049999999999955</v>
      </c>
      <c r="T61" s="132">
        <f t="shared" ca="1" si="8"/>
        <v>0.14223684210526305</v>
      </c>
      <c r="U61" s="17">
        <f t="shared" ca="1" si="9"/>
        <v>-373.04999999999995</v>
      </c>
      <c r="W61" s="22" t="s">
        <v>6069</v>
      </c>
      <c r="X61" s="224">
        <f t="shared" ca="1" si="10"/>
        <v>853.05</v>
      </c>
      <c r="Y61" s="17">
        <v>533.75</v>
      </c>
      <c r="Z61" s="225">
        <f t="shared" ca="1" si="11"/>
        <v>0.59822014051522243</v>
      </c>
      <c r="AA61" s="57">
        <f t="shared" ca="1" si="12"/>
        <v>1.1207871485062716E-3</v>
      </c>
      <c r="AB61" s="17">
        <f t="shared" ca="1" si="13"/>
        <v>319.29999999999995</v>
      </c>
      <c r="AE61" s="17">
        <v>533.75</v>
      </c>
    </row>
    <row r="62" spans="1:31" ht="15.75" customHeight="1">
      <c r="A62" s="9" t="s">
        <v>434</v>
      </c>
      <c r="B62" s="17" t="s">
        <v>435</v>
      </c>
      <c r="C62" s="226">
        <v>45091</v>
      </c>
      <c r="D62" s="203" t="s">
        <v>6070</v>
      </c>
      <c r="E62" s="31" t="s">
        <v>6071</v>
      </c>
      <c r="F62" s="17">
        <v>85</v>
      </c>
      <c r="G62" s="17">
        <v>3500</v>
      </c>
      <c r="H62" s="220">
        <f ca="1">IFERROR(__xludf.DUMMYFUNCTION("index(sortn(GoogleFinance(D62,""high"",C62, TODAY(),""DAILY""),2,1,2,0),2,2)"),155.5)</f>
        <v>155.5</v>
      </c>
      <c r="I62" s="132">
        <f t="shared" ca="1" si="0"/>
        <v>0.8294117647058824</v>
      </c>
      <c r="J62" s="132">
        <f t="shared" ca="1" si="1"/>
        <v>0.62941176470588234</v>
      </c>
      <c r="K62" s="221">
        <f t="shared" ca="1" si="2"/>
        <v>138.5</v>
      </c>
      <c r="L62" s="132">
        <f t="shared" ca="1" si="3"/>
        <v>0.5135294117647059</v>
      </c>
      <c r="M62" s="20">
        <f ca="1">IFERROR(__xludf.DUMMYFUNCTION("GOOGLEFINANCE(""NSE:precwire"",""price"")"),128.65)</f>
        <v>128.65</v>
      </c>
      <c r="N62" s="222">
        <f t="shared" ca="1" si="4"/>
        <v>152775.00000000003</v>
      </c>
      <c r="O62" s="223">
        <f t="shared" ca="1" si="5"/>
        <v>0.5135294117647059</v>
      </c>
      <c r="P62" s="22">
        <v>88.5</v>
      </c>
      <c r="Q62" s="22">
        <v>114</v>
      </c>
      <c r="R62" s="17">
        <f t="shared" ca="1" si="6"/>
        <v>40.150000000000006</v>
      </c>
      <c r="S62" s="221">
        <f t="shared" ca="1" si="7"/>
        <v>-9.8499999999999943</v>
      </c>
      <c r="T62" s="132">
        <f t="shared" ca="1" si="8"/>
        <v>-0.11588235294117641</v>
      </c>
      <c r="U62" s="17">
        <f t="shared" ca="1" si="9"/>
        <v>-14.650000000000006</v>
      </c>
      <c r="W62" s="22" t="s">
        <v>6072</v>
      </c>
      <c r="X62" s="224">
        <f t="shared" ca="1" si="10"/>
        <v>128.65</v>
      </c>
      <c r="Y62" s="17">
        <v>94.5</v>
      </c>
      <c r="Z62" s="225">
        <f t="shared" ca="1" si="11"/>
        <v>0.36137566137566146</v>
      </c>
      <c r="AA62" s="57">
        <f t="shared" ca="1" si="12"/>
        <v>3.8240810727583224E-3</v>
      </c>
      <c r="AB62" s="17">
        <f t="shared" ca="1" si="13"/>
        <v>34.150000000000006</v>
      </c>
      <c r="AE62" s="17">
        <v>94.5</v>
      </c>
    </row>
    <row r="63" spans="1:31" ht="15.75" customHeight="1">
      <c r="A63" s="9" t="s">
        <v>362</v>
      </c>
      <c r="B63" s="17" t="s">
        <v>268</v>
      </c>
      <c r="C63" s="226">
        <v>45048</v>
      </c>
      <c r="D63" s="203" t="s">
        <v>6073</v>
      </c>
      <c r="E63" s="31" t="s">
        <v>6074</v>
      </c>
      <c r="F63" s="17">
        <v>418.7</v>
      </c>
      <c r="G63" s="17">
        <v>400</v>
      </c>
      <c r="H63" s="220">
        <f ca="1">IFERROR(__xludf.DUMMYFUNCTION("index(sortn(GoogleFinance(D63,""high"",C63, TODAY(),""DAILY""),2,1,2,0),2,2)"),2004.8)</f>
        <v>2004.8</v>
      </c>
      <c r="I63" s="132">
        <f t="shared" ca="1" si="0"/>
        <v>3.7881538094100788</v>
      </c>
      <c r="J63" s="132">
        <f t="shared" ca="1" si="1"/>
        <v>3.5881538094100787</v>
      </c>
      <c r="K63" s="221">
        <f t="shared" ca="1" si="2"/>
        <v>1921.06</v>
      </c>
      <c r="L63" s="132">
        <f t="shared" ca="1" si="3"/>
        <v>3.5595892046811559</v>
      </c>
      <c r="M63" s="20">
        <f ca="1">IFERROR(__xludf.DUMMYFUNCTION("GOOGLEFINANCE(""NSE:premexpln"",""price"")"),1909.1)</f>
        <v>1909.1</v>
      </c>
      <c r="N63" s="10">
        <f t="shared" ca="1" si="4"/>
        <v>596160</v>
      </c>
      <c r="O63" s="223">
        <f t="shared" ca="1" si="5"/>
        <v>3.5595892046811559</v>
      </c>
      <c r="P63" s="22">
        <v>890</v>
      </c>
      <c r="Q63" s="22">
        <v>900</v>
      </c>
      <c r="R63" s="17">
        <f t="shared" ca="1" si="6"/>
        <v>1019.0999999999999</v>
      </c>
      <c r="S63" s="221">
        <f t="shared" ca="1" si="7"/>
        <v>-11.960000000000036</v>
      </c>
      <c r="T63" s="132">
        <f t="shared" ca="1" si="8"/>
        <v>-2.8564604728922943E-2</v>
      </c>
      <c r="U63" s="17">
        <f t="shared" ca="1" si="9"/>
        <v>-1009.0999999999999</v>
      </c>
      <c r="W63" s="22" t="s">
        <v>6075</v>
      </c>
      <c r="X63" s="224">
        <f t="shared" ca="1" si="10"/>
        <v>1909.1</v>
      </c>
      <c r="Y63" s="17">
        <v>983.95</v>
      </c>
      <c r="Z63" s="225">
        <f t="shared" ca="1" si="11"/>
        <v>0.94024086589765721</v>
      </c>
      <c r="AA63" s="57">
        <f t="shared" ca="1" si="12"/>
        <v>9.5557789104899348E-4</v>
      </c>
      <c r="AB63" s="17">
        <f t="shared" ca="1" si="13"/>
        <v>925.14999999999986</v>
      </c>
      <c r="AE63" s="17">
        <v>1010.25</v>
      </c>
    </row>
    <row r="64" spans="1:31" ht="15.75" customHeight="1">
      <c r="A64" s="9" t="s">
        <v>6076</v>
      </c>
      <c r="B64" s="17" t="s">
        <v>281</v>
      </c>
      <c r="C64" s="226">
        <v>45070</v>
      </c>
      <c r="D64" s="203" t="s">
        <v>6077</v>
      </c>
      <c r="E64" s="31" t="s">
        <v>6078</v>
      </c>
      <c r="F64" s="17">
        <v>92.75</v>
      </c>
      <c r="G64" s="17">
        <v>1200</v>
      </c>
      <c r="H64" s="220" t="str">
        <f ca="1">IFERROR(__xludf.DUMMYFUNCTION("index(sortn(GoogleFinance(D64,""high"",C64, TODAY(),""DAILY""),2,1,2,0),2,2)"),"#N/A")</f>
        <v>#N/A</v>
      </c>
      <c r="I64" s="132" t="e">
        <f t="shared" ca="1" si="0"/>
        <v>#VALUE!</v>
      </c>
      <c r="J64" s="132" t="e">
        <f t="shared" ca="1" si="1"/>
        <v>#VALUE!</v>
      </c>
      <c r="K64" s="221" t="e">
        <f t="shared" ca="1" si="2"/>
        <v>#VALUE!</v>
      </c>
      <c r="L64" s="132" t="e">
        <f t="shared" ca="1" si="3"/>
        <v>#VALUE!</v>
      </c>
      <c r="M64" s="20" t="str">
        <f ca="1">IFERROR(__xludf.DUMMYFUNCTION("GOOGLEFINANCE(""NSE:pressmn"",""price"")"),"#N/A")</f>
        <v>#N/A</v>
      </c>
      <c r="N64" s="10" t="e">
        <f t="shared" ca="1" si="4"/>
        <v>#VALUE!</v>
      </c>
      <c r="O64" s="223" t="e">
        <f t="shared" ca="1" si="5"/>
        <v>#VALUE!</v>
      </c>
      <c r="P64" s="22" t="s">
        <v>5913</v>
      </c>
      <c r="Q64" s="22">
        <v>158</v>
      </c>
      <c r="R64" s="17" t="e">
        <f t="shared" ca="1" si="6"/>
        <v>#VALUE!</v>
      </c>
      <c r="S64" s="221" t="e">
        <f t="shared" ca="1" si="7"/>
        <v>#VALUE!</v>
      </c>
      <c r="T64" s="132" t="e">
        <f t="shared" ca="1" si="8"/>
        <v>#VALUE!</v>
      </c>
      <c r="U64" s="17" t="e">
        <f t="shared" ca="1" si="9"/>
        <v>#VALUE!</v>
      </c>
      <c r="W64" s="22"/>
      <c r="X64" s="224">
        <f t="shared" ca="1" si="10"/>
        <v>201.8</v>
      </c>
      <c r="Y64" s="17">
        <v>201.8</v>
      </c>
      <c r="Z64" s="225" t="e">
        <f t="shared" ca="1" si="11"/>
        <v>#VALUE!</v>
      </c>
      <c r="AA64" s="57" t="e">
        <f t="shared" ca="1" si="12"/>
        <v>#VALUE!</v>
      </c>
      <c r="AB64" s="17" t="e">
        <f t="shared" ca="1" si="13"/>
        <v>#VALUE!</v>
      </c>
      <c r="AE64" s="17">
        <v>201.8</v>
      </c>
    </row>
    <row r="65" spans="1:35" ht="15.75" customHeight="1">
      <c r="A65" s="9" t="s">
        <v>6079</v>
      </c>
      <c r="B65" s="17" t="s">
        <v>6080</v>
      </c>
      <c r="C65" s="226">
        <v>45034</v>
      </c>
      <c r="D65" s="203" t="s">
        <v>6081</v>
      </c>
      <c r="E65" s="31" t="s">
        <v>6079</v>
      </c>
      <c r="F65" s="17">
        <v>107.78</v>
      </c>
      <c r="G65" s="17">
        <v>1000</v>
      </c>
      <c r="H65" s="220">
        <f ca="1">IFERROR(__xludf.DUMMYFUNCTION("index(sortn(GoogleFinance(D65,""high"",C65, TODAY(),""DAILY""),2,1,2,0),2,2)"),491.45)</f>
        <v>491.45</v>
      </c>
      <c r="I65" s="132">
        <f t="shared" ca="1" si="0"/>
        <v>3.5597513453330856</v>
      </c>
      <c r="J65" s="132">
        <f t="shared" ca="1" si="1"/>
        <v>3.3597513453330854</v>
      </c>
      <c r="K65" s="221">
        <f t="shared" ca="1" si="2"/>
        <v>469.89400000000001</v>
      </c>
      <c r="L65" s="132">
        <f t="shared" ca="1" si="3"/>
        <v>2.5201336054926702</v>
      </c>
      <c r="M65" s="20">
        <f ca="1">IFERROR(__xludf.DUMMYFUNCTION("GOOGLEFINANCE(""NSE:railtel"",""price"")"),379.4)</f>
        <v>379.4</v>
      </c>
      <c r="N65" s="10">
        <f t="shared" ca="1" si="4"/>
        <v>271620</v>
      </c>
      <c r="O65" s="223">
        <f t="shared" ca="1" si="5"/>
        <v>2.5201336054926702</v>
      </c>
      <c r="P65" s="22">
        <v>164</v>
      </c>
      <c r="Q65" s="22" t="s">
        <v>5913</v>
      </c>
      <c r="R65" s="17">
        <f t="shared" ca="1" si="6"/>
        <v>215.39999999999998</v>
      </c>
      <c r="S65" s="221">
        <f t="shared" ca="1" si="7"/>
        <v>-90.494000000000028</v>
      </c>
      <c r="T65" s="132">
        <f t="shared" ca="1" si="8"/>
        <v>-0.83961773984041588</v>
      </c>
      <c r="U65" s="17" t="e">
        <f t="shared" ca="1" si="9"/>
        <v>#VALUE!</v>
      </c>
      <c r="W65" s="22"/>
      <c r="X65" s="224">
        <f t="shared" ca="1" si="10"/>
        <v>379.4</v>
      </c>
      <c r="Y65" s="17">
        <v>176.95</v>
      </c>
      <c r="Z65" s="225">
        <f t="shared" ca="1" si="11"/>
        <v>1.1441085052274653</v>
      </c>
      <c r="AA65" s="57">
        <f t="shared" ca="1" si="12"/>
        <v>6.4657163335827376E-3</v>
      </c>
      <c r="AB65" s="17">
        <f t="shared" ca="1" si="13"/>
        <v>202.45</v>
      </c>
      <c r="AE65" s="17">
        <v>176.95</v>
      </c>
    </row>
    <row r="66" spans="1:35" ht="15.75" customHeight="1">
      <c r="A66" s="9" t="s">
        <v>6082</v>
      </c>
      <c r="B66" s="17" t="s">
        <v>6083</v>
      </c>
      <c r="C66" s="226">
        <v>45007</v>
      </c>
      <c r="D66" s="203" t="s">
        <v>6084</v>
      </c>
      <c r="E66" s="31" t="s">
        <v>6085</v>
      </c>
      <c r="F66" s="17">
        <v>163.80000000000001</v>
      </c>
      <c r="G66" s="17">
        <v>930</v>
      </c>
      <c r="H66" s="220">
        <f ca="1">IFERROR(__xludf.DUMMYFUNCTION("index(sortn(GoogleFinance(D66,""high"",C66, TODAY(),""DAILY""),2,1,2,0),2,2)"),229.65)</f>
        <v>229.65</v>
      </c>
      <c r="I66" s="132">
        <f t="shared" ca="1" si="0"/>
        <v>0.40201465201465197</v>
      </c>
      <c r="J66" s="132">
        <f t="shared" ca="1" si="1"/>
        <v>0.27201465201465197</v>
      </c>
      <c r="K66" s="221">
        <f t="shared" ca="1" si="2"/>
        <v>208.35600000000002</v>
      </c>
      <c r="L66" s="132">
        <f t="shared" ca="1" si="3"/>
        <v>0.34401709401709396</v>
      </c>
      <c r="M66" s="20">
        <f ca="1">IFERROR(__xludf.DUMMYFUNCTION("GOOGLEFINANCE(""NSE:redington"",""price"")"),220.15)</f>
        <v>220.15</v>
      </c>
      <c r="N66" s="10">
        <f t="shared" ca="1" si="4"/>
        <v>52405.499999999993</v>
      </c>
      <c r="O66" s="223">
        <f t="shared" ca="1" si="5"/>
        <v>0.34401709401709396</v>
      </c>
      <c r="P66" s="22">
        <v>159</v>
      </c>
      <c r="Q66" s="22">
        <v>250</v>
      </c>
      <c r="R66" s="17">
        <f t="shared" ca="1" si="6"/>
        <v>61.150000000000006</v>
      </c>
      <c r="S66" s="221">
        <f t="shared" ca="1" si="7"/>
        <v>11.793999999999983</v>
      </c>
      <c r="T66" s="132">
        <f t="shared" ca="1" si="8"/>
        <v>7.2002442002441894E-2</v>
      </c>
      <c r="U66" s="17">
        <f t="shared" ca="1" si="9"/>
        <v>29.849999999999994</v>
      </c>
      <c r="W66" s="22">
        <v>250</v>
      </c>
      <c r="X66" s="224">
        <f t="shared" ca="1" si="10"/>
        <v>220.15</v>
      </c>
      <c r="Y66" s="17">
        <v>183.9</v>
      </c>
      <c r="Z66" s="225">
        <f t="shared" ca="1" si="11"/>
        <v>0.19711799891245241</v>
      </c>
      <c r="AA66" s="57">
        <f t="shared" ca="1" si="12"/>
        <v>1.0718760136620576E-3</v>
      </c>
      <c r="AB66" s="17">
        <f t="shared" ca="1" si="13"/>
        <v>36.25</v>
      </c>
      <c r="AE66" s="17">
        <v>183.9</v>
      </c>
    </row>
    <row r="67" spans="1:35" ht="15.75" customHeight="1">
      <c r="A67" s="9" t="s">
        <v>6082</v>
      </c>
      <c r="B67" s="17" t="s">
        <v>6086</v>
      </c>
      <c r="C67" s="226">
        <v>45037</v>
      </c>
      <c r="D67" s="203" t="s">
        <v>6084</v>
      </c>
      <c r="E67" s="31" t="s">
        <v>6085</v>
      </c>
      <c r="F67" s="17">
        <v>170</v>
      </c>
      <c r="G67" s="17">
        <v>2070</v>
      </c>
      <c r="H67" s="220">
        <f ca="1">IFERROR(__xludf.DUMMYFUNCTION("index(sortn(GoogleFinance(D67,""high"",C67, TODAY(),""DAILY""),2,1,2,0),2,2)"),229.65)</f>
        <v>229.65</v>
      </c>
      <c r="I67" s="132">
        <f t="shared" ca="1" si="0"/>
        <v>0.35088235294117648</v>
      </c>
      <c r="J67" s="132">
        <f t="shared" ca="1" si="1"/>
        <v>0.25088235294117645</v>
      </c>
      <c r="K67" s="221">
        <f t="shared" ca="1" si="2"/>
        <v>212.65</v>
      </c>
      <c r="L67" s="132">
        <f t="shared" ca="1" si="3"/>
        <v>0.29500000000000004</v>
      </c>
      <c r="M67" s="20">
        <f ca="1">IFERROR(__xludf.DUMMYFUNCTION("GOOGLEFINANCE(""NSE:redington"",""price"")"),220.15)</f>
        <v>220.15</v>
      </c>
      <c r="N67" s="10">
        <f t="shared" ca="1" si="4"/>
        <v>103810.50000000001</v>
      </c>
      <c r="O67" s="223">
        <f t="shared" ca="1" si="5"/>
        <v>0.29500000000000004</v>
      </c>
      <c r="P67" s="22">
        <v>159</v>
      </c>
      <c r="Q67" s="22" t="s">
        <v>5913</v>
      </c>
      <c r="R67" s="17">
        <f t="shared" ca="1" si="6"/>
        <v>61.150000000000006</v>
      </c>
      <c r="S67" s="221">
        <f t="shared" ca="1" si="7"/>
        <v>7.5</v>
      </c>
      <c r="T67" s="132">
        <f t="shared" ca="1" si="8"/>
        <v>4.4117647058823532E-2</v>
      </c>
      <c r="U67" s="17" t="e">
        <f t="shared" ca="1" si="9"/>
        <v>#VALUE!</v>
      </c>
      <c r="W67" s="22"/>
      <c r="X67" s="224">
        <f t="shared" ca="1" si="10"/>
        <v>220.15</v>
      </c>
      <c r="Y67" s="17">
        <v>183.9</v>
      </c>
      <c r="Z67" s="225">
        <f t="shared" ca="1" si="11"/>
        <v>0.19711799891245241</v>
      </c>
      <c r="AA67" s="57">
        <f t="shared" ca="1" si="12"/>
        <v>1.0718760136620576E-3</v>
      </c>
      <c r="AB67" s="17">
        <f t="shared" ca="1" si="13"/>
        <v>36.25</v>
      </c>
      <c r="AE67" s="17">
        <v>183.9</v>
      </c>
    </row>
    <row r="68" spans="1:35" ht="15.75" customHeight="1">
      <c r="A68" s="9" t="s">
        <v>6087</v>
      </c>
      <c r="B68" s="17" t="s">
        <v>415</v>
      </c>
      <c r="C68" s="226">
        <v>45114</v>
      </c>
      <c r="D68" s="203" t="s">
        <v>6088</v>
      </c>
      <c r="E68" s="31" t="s">
        <v>6089</v>
      </c>
      <c r="F68" s="17">
        <v>352.28</v>
      </c>
      <c r="G68" s="17">
        <v>500</v>
      </c>
      <c r="H68" s="220">
        <f ca="1">IFERROR(__xludf.DUMMYFUNCTION("index(sortn(GoogleFinance(D68,""high"",C68, TODAY(),""DAILY""),2,1,2,0),2,2)"),559.85)</f>
        <v>559.85</v>
      </c>
      <c r="I68" s="132">
        <f t="shared" ca="1" si="0"/>
        <v>0.58921880322470777</v>
      </c>
      <c r="J68" s="132">
        <f t="shared" ca="1" si="1"/>
        <v>0.43921880322470774</v>
      </c>
      <c r="K68" s="221">
        <f t="shared" ca="1" si="2"/>
        <v>507.00799999999998</v>
      </c>
      <c r="L68" s="132">
        <f t="shared" ca="1" si="3"/>
        <v>0.51073010105597849</v>
      </c>
      <c r="M68" s="20">
        <f ca="1">IFERROR(__xludf.DUMMYFUNCTION("GOOGLEFINANCE(""NSE:selan"",""price"")"),532.2)</f>
        <v>532.20000000000005</v>
      </c>
      <c r="N68" s="222">
        <f t="shared" ca="1" si="4"/>
        <v>89960.000000000029</v>
      </c>
      <c r="O68" s="223">
        <f t="shared" ca="1" si="5"/>
        <v>0.51073010105597849</v>
      </c>
      <c r="P68" s="22" t="s">
        <v>5913</v>
      </c>
      <c r="Q68" s="22">
        <v>453</v>
      </c>
      <c r="R68" s="17" t="e">
        <f t="shared" ca="1" si="6"/>
        <v>#VALUE!</v>
      </c>
      <c r="S68" s="221">
        <f t="shared" ca="1" si="7"/>
        <v>25.192000000000064</v>
      </c>
      <c r="T68" s="132">
        <f t="shared" ca="1" si="8"/>
        <v>7.1511297831270762E-2</v>
      </c>
      <c r="U68" s="17">
        <f t="shared" ca="1" si="9"/>
        <v>-79.200000000000045</v>
      </c>
      <c r="W68" s="22" t="s">
        <v>6090</v>
      </c>
      <c r="X68" s="224">
        <f t="shared" ca="1" si="10"/>
        <v>532.20000000000005</v>
      </c>
      <c r="Y68" s="17">
        <v>376.6</v>
      </c>
      <c r="Z68" s="225">
        <f t="shared" ca="1" si="11"/>
        <v>0.4131704726500266</v>
      </c>
      <c r="AA68" s="57">
        <f t="shared" ca="1" si="12"/>
        <v>1.0971069374668789E-3</v>
      </c>
      <c r="AB68" s="17">
        <f t="shared" ca="1" si="13"/>
        <v>155.60000000000002</v>
      </c>
      <c r="AE68" s="17">
        <v>376.6</v>
      </c>
    </row>
    <row r="69" spans="1:35" ht="15.75" customHeight="1">
      <c r="A69" s="9" t="s">
        <v>6087</v>
      </c>
      <c r="B69" s="17" t="s">
        <v>338</v>
      </c>
      <c r="C69" s="226">
        <v>45121</v>
      </c>
      <c r="D69" s="203" t="s">
        <v>6088</v>
      </c>
      <c r="E69" s="31" t="s">
        <v>6089</v>
      </c>
      <c r="F69" s="17">
        <v>340</v>
      </c>
      <c r="G69" s="17">
        <v>750</v>
      </c>
      <c r="H69" s="220">
        <f ca="1">IFERROR(__xludf.DUMMYFUNCTION("index(sortn(GoogleFinance(D69,""high"",C69, TODAY(),""DAILY""),2,1,2,0),2,2)"),559.85)</f>
        <v>559.85</v>
      </c>
      <c r="I69" s="132">
        <f t="shared" ca="1" si="0"/>
        <v>0.64661764705882363</v>
      </c>
      <c r="J69" s="132">
        <f t="shared" ca="1" si="1"/>
        <v>0.44661764705882362</v>
      </c>
      <c r="K69" s="221">
        <f t="shared" ca="1" si="2"/>
        <v>491.85</v>
      </c>
      <c r="L69" s="132">
        <f t="shared" ca="1" si="3"/>
        <v>0.56529411764705895</v>
      </c>
      <c r="M69" s="20">
        <f ca="1">IFERROR(__xludf.DUMMYFUNCTION("GOOGLEFINANCE(""NSE:selan"",""price"")"),532.2)</f>
        <v>532.20000000000005</v>
      </c>
      <c r="N69" s="222">
        <f t="shared" ca="1" si="4"/>
        <v>144150.00000000003</v>
      </c>
      <c r="O69" s="223">
        <f t="shared" ca="1" si="5"/>
        <v>0.56529411764705895</v>
      </c>
      <c r="P69" s="22" t="s">
        <v>5913</v>
      </c>
      <c r="Q69" s="22">
        <v>453</v>
      </c>
      <c r="R69" s="17" t="e">
        <f t="shared" ca="1" si="6"/>
        <v>#VALUE!</v>
      </c>
      <c r="S69" s="221">
        <f t="shared" ca="1" si="7"/>
        <v>40.350000000000023</v>
      </c>
      <c r="T69" s="132">
        <f t="shared" ca="1" si="8"/>
        <v>0.11867647058823536</v>
      </c>
      <c r="U69" s="17">
        <f t="shared" ca="1" si="9"/>
        <v>-79.200000000000045</v>
      </c>
      <c r="W69" s="22"/>
      <c r="X69" s="224">
        <f t="shared" ca="1" si="10"/>
        <v>532.20000000000005</v>
      </c>
      <c r="Y69" s="17">
        <v>376.6</v>
      </c>
      <c r="Z69" s="225">
        <f t="shared" ca="1" si="11"/>
        <v>0.4131704726500266</v>
      </c>
      <c r="AA69" s="57">
        <f t="shared" ca="1" si="12"/>
        <v>1.0971069374668789E-3</v>
      </c>
      <c r="AB69" s="17">
        <f t="shared" ca="1" si="13"/>
        <v>155.60000000000002</v>
      </c>
      <c r="AE69" s="17">
        <v>376.6</v>
      </c>
    </row>
    <row r="70" spans="1:35" ht="15.75" customHeight="1">
      <c r="A70" s="9" t="s">
        <v>414</v>
      </c>
      <c r="B70" s="17" t="s">
        <v>415</v>
      </c>
      <c r="C70" s="226">
        <v>45114</v>
      </c>
      <c r="D70" s="203" t="s">
        <v>6091</v>
      </c>
      <c r="E70" s="31" t="s">
        <v>414</v>
      </c>
      <c r="F70" s="17">
        <v>182.8</v>
      </c>
      <c r="G70" s="17">
        <v>1300</v>
      </c>
      <c r="H70" s="220">
        <f ca="1">IFERROR(__xludf.DUMMYFUNCTION("index(sortn(GoogleFinance(D70,""high"",C70, TODAY(),""DAILY""),2,1,2,0),2,2)"),339.5)</f>
        <v>339.5</v>
      </c>
      <c r="I70" s="132">
        <f t="shared" ca="1" si="0"/>
        <v>0.85722100656455136</v>
      </c>
      <c r="J70" s="132">
        <f t="shared" ca="1" si="1"/>
        <v>0.6572210065645514</v>
      </c>
      <c r="K70" s="221">
        <f t="shared" ca="1" si="2"/>
        <v>302.94</v>
      </c>
      <c r="L70" s="132">
        <f t="shared" ca="1" si="3"/>
        <v>0.51531728665207865</v>
      </c>
      <c r="M70" s="20">
        <f ca="1">IFERROR(__xludf.DUMMYFUNCTION("GOOGLEFINANCE(""NSE:shalby"",""price"")"),277)</f>
        <v>277</v>
      </c>
      <c r="N70" s="222">
        <f t="shared" ca="1" si="4"/>
        <v>122459.99999999999</v>
      </c>
      <c r="O70" s="223">
        <f t="shared" ca="1" si="5"/>
        <v>0.51531728665207865</v>
      </c>
      <c r="P70" s="22">
        <v>175</v>
      </c>
      <c r="Q70" s="22">
        <v>212</v>
      </c>
      <c r="R70" s="17">
        <f t="shared" ca="1" si="6"/>
        <v>102</v>
      </c>
      <c r="S70" s="221">
        <f t="shared" ca="1" si="7"/>
        <v>-25.939999999999998</v>
      </c>
      <c r="T70" s="132">
        <f t="shared" ca="1" si="8"/>
        <v>-0.14190371991247264</v>
      </c>
      <c r="U70" s="17">
        <f t="shared" ca="1" si="9"/>
        <v>-65</v>
      </c>
      <c r="W70" s="22"/>
      <c r="X70" s="224">
        <f t="shared" ca="1" si="10"/>
        <v>277</v>
      </c>
      <c r="Y70" s="17">
        <v>197.95</v>
      </c>
      <c r="Z70" s="225">
        <f t="shared" ca="1" si="11"/>
        <v>0.39934326850214708</v>
      </c>
      <c r="AA70" s="57">
        <f t="shared" ca="1" si="12"/>
        <v>2.0173946375455776E-3</v>
      </c>
      <c r="AB70" s="17">
        <f t="shared" ca="1" si="13"/>
        <v>79.050000000000011</v>
      </c>
      <c r="AE70" s="17">
        <v>197.95</v>
      </c>
    </row>
    <row r="71" spans="1:35" ht="15.75" customHeight="1">
      <c r="A71" s="9" t="s">
        <v>6092</v>
      </c>
      <c r="B71" s="17" t="s">
        <v>5943</v>
      </c>
      <c r="C71" s="226">
        <v>45105</v>
      </c>
      <c r="D71" s="203" t="s">
        <v>6093</v>
      </c>
      <c r="E71" s="31" t="s">
        <v>6092</v>
      </c>
      <c r="F71" s="17">
        <v>41.25</v>
      </c>
      <c r="G71" s="17">
        <v>10000</v>
      </c>
      <c r="H71" s="220">
        <f ca="1">IFERROR(__xludf.DUMMYFUNCTION("index(sortn(GoogleFinance(D71,""high"",C71, TODAY(),""DAILY""),2,1,2,0),2,2)"),170.5)</f>
        <v>170.5</v>
      </c>
      <c r="I71" s="132">
        <f t="shared" ca="1" si="0"/>
        <v>3.1333333333333333</v>
      </c>
      <c r="J71" s="132">
        <f t="shared" ca="1" si="1"/>
        <v>2.9333333333333331</v>
      </c>
      <c r="K71" s="221">
        <f t="shared" ca="1" si="2"/>
        <v>162.25</v>
      </c>
      <c r="L71" s="132">
        <f t="shared" ca="1" si="3"/>
        <v>2.1733333333333333</v>
      </c>
      <c r="M71" s="20">
        <f ca="1">IFERROR(__xludf.DUMMYFUNCTION("GOOGLEFINANCE(""NSE:sjvn"",""price"")"),130.9)</f>
        <v>130.9</v>
      </c>
      <c r="N71" s="222">
        <f t="shared" ca="1" si="4"/>
        <v>896500</v>
      </c>
      <c r="O71" s="223">
        <f t="shared" ca="1" si="5"/>
        <v>2.1733333333333333</v>
      </c>
      <c r="P71" s="22">
        <v>52.8</v>
      </c>
      <c r="Q71" s="22" t="s">
        <v>5913</v>
      </c>
      <c r="R71" s="17">
        <f t="shared" ca="1" si="6"/>
        <v>78.100000000000009</v>
      </c>
      <c r="S71" s="221">
        <f t="shared" ca="1" si="7"/>
        <v>-31.349999999999994</v>
      </c>
      <c r="T71" s="132">
        <f t="shared" ca="1" si="8"/>
        <v>-0.7599999999999999</v>
      </c>
      <c r="U71" s="17" t="e">
        <f t="shared" ca="1" si="9"/>
        <v>#VALUE!</v>
      </c>
      <c r="W71" s="22"/>
      <c r="X71" s="224">
        <f t="shared" ca="1" si="10"/>
        <v>130.9</v>
      </c>
      <c r="Y71" s="17">
        <v>57</v>
      </c>
      <c r="Z71" s="225">
        <f t="shared" ca="1" si="11"/>
        <v>1.2964912280701755</v>
      </c>
      <c r="AA71" s="57">
        <f t="shared" ca="1" si="12"/>
        <v>2.2745460141582026E-2</v>
      </c>
      <c r="AB71" s="17">
        <f t="shared" ca="1" si="13"/>
        <v>73.900000000000006</v>
      </c>
      <c r="AE71" s="17">
        <v>57.55</v>
      </c>
    </row>
    <row r="72" spans="1:35" ht="15.75" customHeight="1">
      <c r="A72" s="9" t="s">
        <v>6094</v>
      </c>
      <c r="B72" s="17" t="s">
        <v>5902</v>
      </c>
      <c r="C72" s="226">
        <v>45132</v>
      </c>
      <c r="D72" s="203" t="s">
        <v>6095</v>
      </c>
      <c r="E72" s="31" t="s">
        <v>6096</v>
      </c>
      <c r="F72" s="17">
        <v>5200</v>
      </c>
      <c r="G72" s="17">
        <v>50</v>
      </c>
      <c r="H72" s="220">
        <f ca="1">IFERROR(__xludf.DUMMYFUNCTION("index(sortn(GoogleFinance(D72,""high"",C72, TODAY(),""DAILY""),2,1,2,0),2,2)"),5534.95)</f>
        <v>5534.95</v>
      </c>
      <c r="I72" s="132">
        <f t="shared" ca="1" si="0"/>
        <v>6.4413461538461503E-2</v>
      </c>
      <c r="J72" s="132" t="str">
        <f t="shared" ca="1" si="1"/>
        <v>error</v>
      </c>
      <c r="K72" s="221" t="e">
        <f t="shared" ca="1" si="2"/>
        <v>#VALUE!</v>
      </c>
      <c r="L72" s="132">
        <f t="shared" ca="1" si="3"/>
        <v>-0.10955769230769227</v>
      </c>
      <c r="M72" s="20">
        <f ca="1">IFERROR(__xludf.DUMMYFUNCTION("GOOGLEFINANCE(""NSE:skfindia"",""price"")"),4630.3)</f>
        <v>4630.3</v>
      </c>
      <c r="N72" s="222">
        <f t="shared" ca="1" si="4"/>
        <v>-28484.999999999993</v>
      </c>
      <c r="O72" s="223">
        <f t="shared" ca="1" si="5"/>
        <v>-0.10955769230769227</v>
      </c>
      <c r="P72" s="22">
        <v>4970</v>
      </c>
      <c r="Q72" s="22" t="s">
        <v>5913</v>
      </c>
      <c r="R72" s="17">
        <f t="shared" ca="1" si="6"/>
        <v>-339.69999999999982</v>
      </c>
      <c r="S72" s="17" t="e">
        <f t="shared" ca="1" si="7"/>
        <v>#VALUE!</v>
      </c>
      <c r="T72" s="132" t="e">
        <f t="shared" ca="1" si="8"/>
        <v>#VALUE!</v>
      </c>
      <c r="U72" s="17" t="e">
        <f t="shared" ca="1" si="9"/>
        <v>#VALUE!</v>
      </c>
      <c r="W72" s="22"/>
      <c r="X72" s="224">
        <f t="shared" ca="1" si="10"/>
        <v>5320</v>
      </c>
      <c r="Y72" s="17">
        <v>5320</v>
      </c>
      <c r="Z72" s="225">
        <f t="shared" ca="1" si="11"/>
        <v>-0.12964285714285712</v>
      </c>
      <c r="AA72" s="57">
        <f t="shared" ca="1" si="12"/>
        <v>-2.4368958109559607E-5</v>
      </c>
      <c r="AB72" s="17">
        <f t="shared" ca="1" si="13"/>
        <v>-689.69999999999982</v>
      </c>
      <c r="AE72" s="17">
        <v>5382</v>
      </c>
    </row>
    <row r="73" spans="1:35" ht="15.75" customHeight="1">
      <c r="A73" s="9" t="s">
        <v>373</v>
      </c>
      <c r="B73" s="17" t="s">
        <v>435</v>
      </c>
      <c r="C73" s="226">
        <v>45091</v>
      </c>
      <c r="D73" s="203" t="s">
        <v>6097</v>
      </c>
      <c r="E73" s="31" t="s">
        <v>373</v>
      </c>
      <c r="F73" s="17">
        <v>54.75</v>
      </c>
      <c r="G73" s="17">
        <v>139</v>
      </c>
      <c r="H73" s="220">
        <f ca="1">IFERROR(__xludf.DUMMYFUNCTION("index(sortn(GoogleFinance(D73,""high"",C73, TODAY(),""DAILY""),2,1,2,0),2,2)"),153.2)</f>
        <v>153.19999999999999</v>
      </c>
      <c r="I73" s="132">
        <f t="shared" ca="1" si="0"/>
        <v>1.7981735159817349</v>
      </c>
      <c r="J73" s="132">
        <f t="shared" ca="1" si="1"/>
        <v>1.598173515981735</v>
      </c>
      <c r="K73" s="221">
        <f t="shared" ca="1" si="2"/>
        <v>142.24999999999997</v>
      </c>
      <c r="L73" s="132">
        <f t="shared" ca="1" si="3"/>
        <v>1.3397260273972602</v>
      </c>
      <c r="M73" s="20">
        <f ca="1">IFERROR(__xludf.DUMMYFUNCTION("GOOGLEFINANCE(""NSE:somiconvey"",""price"")"),128.1)</f>
        <v>128.1</v>
      </c>
      <c r="N73" s="222">
        <f t="shared" ca="1" si="4"/>
        <v>10195.65</v>
      </c>
      <c r="O73" s="223">
        <f t="shared" ca="1" si="5"/>
        <v>1.3397260273972602</v>
      </c>
      <c r="P73" s="22">
        <v>51</v>
      </c>
      <c r="Q73" s="22">
        <v>68</v>
      </c>
      <c r="R73" s="17">
        <f t="shared" ca="1" si="6"/>
        <v>77.099999999999994</v>
      </c>
      <c r="S73" s="221">
        <f t="shared" ca="1" si="7"/>
        <v>-14.149999999999977</v>
      </c>
      <c r="T73" s="132">
        <f t="shared" ca="1" si="8"/>
        <v>-0.25844748858447447</v>
      </c>
      <c r="U73" s="17">
        <f t="shared" ca="1" si="9"/>
        <v>-60.099999999999994</v>
      </c>
      <c r="W73" s="22" t="s">
        <v>6098</v>
      </c>
      <c r="X73" s="224">
        <f t="shared" ca="1" si="10"/>
        <v>128.1</v>
      </c>
      <c r="Y73" s="17">
        <v>58</v>
      </c>
      <c r="Z73" s="225">
        <f t="shared" ca="1" si="11"/>
        <v>1.2086206896551723</v>
      </c>
      <c r="AA73" s="57">
        <f t="shared" ca="1" si="12"/>
        <v>2.0838287752675384E-2</v>
      </c>
      <c r="AB73" s="17">
        <f t="shared" ca="1" si="13"/>
        <v>70.099999999999994</v>
      </c>
      <c r="AE73" s="17">
        <v>58.65</v>
      </c>
    </row>
    <row r="74" spans="1:35" ht="15.75" customHeight="1">
      <c r="A74" s="9" t="s">
        <v>6099</v>
      </c>
      <c r="B74" s="17" t="s">
        <v>5943</v>
      </c>
      <c r="C74" s="226">
        <v>45105</v>
      </c>
      <c r="D74" s="203" t="s">
        <v>6100</v>
      </c>
      <c r="E74" s="31" t="s">
        <v>6101</v>
      </c>
      <c r="F74" s="17">
        <v>1716</v>
      </c>
      <c r="G74" s="17">
        <v>80</v>
      </c>
      <c r="H74" s="220">
        <f ca="1">IFERROR(__xludf.DUMMYFUNCTION("index(sortn(GoogleFinance(D74,""high"",C74, TODAY(),""DAILY""),2,1,2,0),2,2)"),2649.95)</f>
        <v>2649.95</v>
      </c>
      <c r="I74" s="132">
        <f t="shared" ca="1" si="0"/>
        <v>0.54425990675990665</v>
      </c>
      <c r="J74" s="132">
        <f t="shared" ca="1" si="1"/>
        <v>0.39425990675990663</v>
      </c>
      <c r="K74" s="221">
        <f t="shared" ca="1" si="2"/>
        <v>2392.5499999999997</v>
      </c>
      <c r="L74" s="132">
        <f t="shared" ca="1" si="3"/>
        <v>0.40442890442890445</v>
      </c>
      <c r="M74" s="20">
        <f ca="1">IFERROR(__xludf.DUMMYFUNCTION("GOOGLEFINANCE(""NSE:swarajeng"",""price"")"),2410)</f>
        <v>2410</v>
      </c>
      <c r="N74" s="10">
        <f t="shared" ca="1" si="4"/>
        <v>55520</v>
      </c>
      <c r="O74" s="223">
        <f t="shared" ca="1" si="5"/>
        <v>0.40442890442890445</v>
      </c>
      <c r="P74" s="22">
        <v>1990</v>
      </c>
      <c r="Q74" s="22">
        <v>2250</v>
      </c>
      <c r="R74" s="17">
        <f t="shared" ca="1" si="6"/>
        <v>420</v>
      </c>
      <c r="S74" s="221">
        <f t="shared" ca="1" si="7"/>
        <v>17.450000000000273</v>
      </c>
      <c r="T74" s="132">
        <f t="shared" ca="1" si="8"/>
        <v>1.0168997668997828E-2</v>
      </c>
      <c r="U74" s="17">
        <f t="shared" ca="1" si="9"/>
        <v>-160</v>
      </c>
      <c r="W74" s="22">
        <v>2250</v>
      </c>
      <c r="X74" s="224">
        <f t="shared" ca="1" si="10"/>
        <v>2410</v>
      </c>
      <c r="Y74" s="17">
        <v>1943</v>
      </c>
      <c r="Z74" s="225">
        <f t="shared" ca="1" si="11"/>
        <v>0.24034997426659804</v>
      </c>
      <c r="AA74" s="57">
        <f t="shared" ca="1" si="12"/>
        <v>1.2370044995707567E-4</v>
      </c>
      <c r="AB74" s="17">
        <f t="shared" ca="1" si="13"/>
        <v>467</v>
      </c>
      <c r="AE74" s="17">
        <v>1952</v>
      </c>
    </row>
    <row r="75" spans="1:35" ht="15.75" customHeight="1">
      <c r="A75" s="100" t="s">
        <v>6102</v>
      </c>
      <c r="B75" s="98" t="s">
        <v>6103</v>
      </c>
      <c r="C75" s="259">
        <v>45029</v>
      </c>
      <c r="D75" s="260" t="s">
        <v>6104</v>
      </c>
      <c r="E75" s="126">
        <v>539956</v>
      </c>
      <c r="F75" s="98">
        <v>1755</v>
      </c>
      <c r="G75" s="98">
        <v>100</v>
      </c>
      <c r="H75" s="261" t="str">
        <f ca="1">IFERROR(__xludf.DUMMYFUNCTION("index(sortn(GoogleFinance(D75,""high"",C75, TODAY(),""DAILY""),2,1,2,0),2,2)"),"#N/A")</f>
        <v>#N/A</v>
      </c>
      <c r="I75" s="101" t="e">
        <f t="shared" ca="1" si="0"/>
        <v>#VALUE!</v>
      </c>
      <c r="J75" s="132" t="e">
        <f t="shared" ca="1" si="1"/>
        <v>#VALUE!</v>
      </c>
      <c r="K75" s="221" t="e">
        <f t="shared" ca="1" si="2"/>
        <v>#VALUE!</v>
      </c>
      <c r="L75" s="101">
        <f t="shared" ca="1" si="3"/>
        <v>0.53048433048433052</v>
      </c>
      <c r="M75" s="99">
        <f ca="1">IFERROR(__xludf.DUMMYFUNCTION("GOOGLEFINANCE(""539956"",""price"")"),2686)</f>
        <v>2686</v>
      </c>
      <c r="N75" s="65">
        <f t="shared" ca="1" si="4"/>
        <v>93100</v>
      </c>
      <c r="O75" s="262">
        <f t="shared" ca="1" si="5"/>
        <v>0.53048433048433052</v>
      </c>
      <c r="P75" s="97">
        <v>1720</v>
      </c>
      <c r="Q75" s="97" t="s">
        <v>5913</v>
      </c>
      <c r="R75" s="98">
        <f t="shared" ca="1" si="6"/>
        <v>966</v>
      </c>
      <c r="S75" s="17" t="e">
        <f t="shared" ca="1" si="7"/>
        <v>#VALUE!</v>
      </c>
      <c r="T75" s="132" t="e">
        <f t="shared" ca="1" si="8"/>
        <v>#VALUE!</v>
      </c>
      <c r="U75" s="98" t="e">
        <f t="shared" ca="1" si="9"/>
        <v>#VALUE!</v>
      </c>
      <c r="V75" s="98"/>
      <c r="W75" s="97"/>
      <c r="X75" s="263">
        <f t="shared" ca="1" si="10"/>
        <v>2686</v>
      </c>
      <c r="Y75" s="98">
        <v>2139</v>
      </c>
      <c r="Z75" s="264">
        <f t="shared" ca="1" si="11"/>
        <v>0.25572697522206639</v>
      </c>
      <c r="AA75" s="265">
        <f t="shared" ca="1" si="12"/>
        <v>1.1955445311924562E-4</v>
      </c>
      <c r="AB75" s="98">
        <f t="shared" ca="1" si="13"/>
        <v>547</v>
      </c>
      <c r="AC75" s="98"/>
      <c r="AD75" s="98"/>
      <c r="AE75" s="98">
        <v>2139</v>
      </c>
      <c r="AF75" s="98"/>
      <c r="AG75" s="98"/>
      <c r="AH75" s="98"/>
      <c r="AI75" s="98"/>
    </row>
    <row r="76" spans="1:35" ht="15.75" customHeight="1">
      <c r="A76" s="9" t="s">
        <v>321</v>
      </c>
      <c r="B76" s="17" t="s">
        <v>288</v>
      </c>
      <c r="C76" s="226">
        <v>45082</v>
      </c>
      <c r="D76" s="203" t="s">
        <v>6105</v>
      </c>
      <c r="E76" s="31" t="s">
        <v>6106</v>
      </c>
      <c r="F76" s="17">
        <v>239</v>
      </c>
      <c r="G76" s="17">
        <v>1500</v>
      </c>
      <c r="H76" s="220">
        <f ca="1">IFERROR(__xludf.DUMMYFUNCTION("index(sortn(GoogleFinance(D76,""high"",C76, TODAY(),""DAILY""),2,1,2,0),2,2)"),413.9)</f>
        <v>413.9</v>
      </c>
      <c r="I76" s="132">
        <f t="shared" ca="1" si="0"/>
        <v>0.73179916317991622</v>
      </c>
      <c r="J76" s="132">
        <f t="shared" ca="1" si="1"/>
        <v>0.53179916317991616</v>
      </c>
      <c r="K76" s="221">
        <f t="shared" ca="1" si="2"/>
        <v>366.09999999999997</v>
      </c>
      <c r="L76" s="132">
        <f t="shared" ca="1" si="3"/>
        <v>0.56903765690376573</v>
      </c>
      <c r="M76" s="20">
        <f ca="1">IFERROR(__xludf.DUMMYFUNCTION("GOOGLEFINANCE(""NSE:tajgvk"",""price"")"),375)</f>
        <v>375</v>
      </c>
      <c r="N76" s="222">
        <f t="shared" ca="1" si="4"/>
        <v>204000</v>
      </c>
      <c r="O76" s="223">
        <f t="shared" ca="1" si="5"/>
        <v>0.56903765690376573</v>
      </c>
      <c r="P76" s="22">
        <v>260</v>
      </c>
      <c r="Q76" s="22">
        <v>310</v>
      </c>
      <c r="R76" s="17">
        <f t="shared" ca="1" si="6"/>
        <v>115</v>
      </c>
      <c r="S76" s="221">
        <f t="shared" ca="1" si="7"/>
        <v>8.9000000000000341</v>
      </c>
      <c r="T76" s="132">
        <f t="shared" ca="1" si="8"/>
        <v>3.7238493723849513E-2</v>
      </c>
      <c r="U76" s="17">
        <f t="shared" ca="1" si="9"/>
        <v>-65</v>
      </c>
      <c r="W76" s="22" t="s">
        <v>6107</v>
      </c>
      <c r="X76" s="224">
        <f t="shared" ca="1" si="10"/>
        <v>375</v>
      </c>
      <c r="Y76" s="17">
        <v>281</v>
      </c>
      <c r="Z76" s="225">
        <f t="shared" ca="1" si="11"/>
        <v>0.33451957295373663</v>
      </c>
      <c r="AA76" s="57">
        <f t="shared" ca="1" si="12"/>
        <v>1.1904611137143653E-3</v>
      </c>
      <c r="AB76" s="17">
        <f t="shared" ca="1" si="13"/>
        <v>94</v>
      </c>
      <c r="AE76" s="17">
        <v>281</v>
      </c>
    </row>
    <row r="77" spans="1:35" ht="15.75" customHeight="1">
      <c r="A77" s="9" t="s">
        <v>134</v>
      </c>
      <c r="B77" s="17" t="s">
        <v>325</v>
      </c>
      <c r="C77" s="226">
        <v>45103</v>
      </c>
      <c r="D77" s="203" t="s">
        <v>6108</v>
      </c>
      <c r="E77" s="31" t="s">
        <v>6109</v>
      </c>
      <c r="F77" s="17">
        <v>248.5</v>
      </c>
      <c r="G77" s="17">
        <v>1600</v>
      </c>
      <c r="H77" s="220" t="str">
        <f ca="1">IFERROR(__xludf.DUMMYFUNCTION("index(sortn(GoogleFinance(D77,""high"",C77, TODAY(),""DAILY""),2,1,2,0),2,2)"),"#N/A")</f>
        <v>#N/A</v>
      </c>
      <c r="I77" s="132" t="e">
        <f t="shared" ca="1" si="0"/>
        <v>#VALUE!</v>
      </c>
      <c r="J77" s="132" t="e">
        <f t="shared" ca="1" si="1"/>
        <v>#VALUE!</v>
      </c>
      <c r="K77" s="221" t="e">
        <f t="shared" ca="1" si="2"/>
        <v>#VALUE!</v>
      </c>
      <c r="L77" s="132" t="e">
        <f t="shared" ca="1" si="3"/>
        <v>#VALUE!</v>
      </c>
      <c r="M77" s="20" t="str">
        <f ca="1">IFERROR(__xludf.DUMMYFUNCTION("GOOGLEFINANCE(""NSE:tatacoffee"",""price"")"),"#N/A")</f>
        <v>#N/A</v>
      </c>
      <c r="N77" s="222" t="e">
        <f t="shared" ca="1" si="4"/>
        <v>#VALUE!</v>
      </c>
      <c r="O77" s="223" t="e">
        <f t="shared" ca="1" si="5"/>
        <v>#VALUE!</v>
      </c>
      <c r="P77" s="22">
        <v>239</v>
      </c>
      <c r="Q77" s="22" t="s">
        <v>5913</v>
      </c>
      <c r="R77" s="17" t="e">
        <f t="shared" ca="1" si="6"/>
        <v>#VALUE!</v>
      </c>
      <c r="S77" s="17" t="e">
        <f t="shared" ca="1" si="7"/>
        <v>#VALUE!</v>
      </c>
      <c r="T77" s="132" t="e">
        <f t="shared" ca="1" si="8"/>
        <v>#VALUE!</v>
      </c>
      <c r="U77" s="17" t="e">
        <f t="shared" ca="1" si="9"/>
        <v>#VALUE!</v>
      </c>
      <c r="W77" s="22"/>
      <c r="X77" s="224">
        <f t="shared" ca="1" si="10"/>
        <v>251.5</v>
      </c>
      <c r="Y77" s="17">
        <v>251.5</v>
      </c>
      <c r="Z77" s="225" t="e">
        <f t="shared" ca="1" si="11"/>
        <v>#VALUE!</v>
      </c>
      <c r="AA77" s="57" t="e">
        <f t="shared" ca="1" si="12"/>
        <v>#VALUE!</v>
      </c>
      <c r="AB77" s="17" t="e">
        <f t="shared" ca="1" si="13"/>
        <v>#VALUE!</v>
      </c>
      <c r="AE77" s="17">
        <v>251.5</v>
      </c>
    </row>
    <row r="78" spans="1:35" ht="15.75" customHeight="1">
      <c r="A78" s="9" t="s">
        <v>418</v>
      </c>
      <c r="B78" s="17" t="s">
        <v>288</v>
      </c>
      <c r="C78" s="226">
        <v>45082</v>
      </c>
      <c r="D78" s="203" t="s">
        <v>6110</v>
      </c>
      <c r="E78" s="31" t="s">
        <v>278</v>
      </c>
      <c r="F78" s="17">
        <v>385.5</v>
      </c>
      <c r="G78" s="17">
        <v>1000</v>
      </c>
      <c r="H78" s="220">
        <f ca="1">IFERROR(__xludf.DUMMYFUNCTION("index(sortn(GoogleFinance(D78,""high"",C78, TODAY(),""DAILY""),2,1,2,0),2,2)"),884.35)</f>
        <v>884.35</v>
      </c>
      <c r="I78" s="132">
        <f t="shared" ca="1" si="0"/>
        <v>1.2940337224383918</v>
      </c>
      <c r="J78" s="132">
        <f t="shared" ca="1" si="1"/>
        <v>1.0940337224383918</v>
      </c>
      <c r="K78" s="221">
        <f t="shared" ca="1" si="2"/>
        <v>807.25</v>
      </c>
      <c r="L78" s="132">
        <f t="shared" ca="1" si="3"/>
        <v>1.1321660181582363</v>
      </c>
      <c r="M78" s="20">
        <f ca="1">IFERROR(__xludf.DUMMYFUNCTION("GOOGLEFINANCE(""NSE:technoe"",""price"")"),821.95)</f>
        <v>821.95</v>
      </c>
      <c r="N78" s="222">
        <f t="shared" ca="1" si="4"/>
        <v>436450.00000000006</v>
      </c>
      <c r="O78" s="223">
        <f t="shared" ca="1" si="5"/>
        <v>1.1321660181582363</v>
      </c>
      <c r="P78" s="22">
        <v>438</v>
      </c>
      <c r="Q78" s="22">
        <v>500</v>
      </c>
      <c r="R78" s="17">
        <f t="shared" ca="1" si="6"/>
        <v>383.95000000000005</v>
      </c>
      <c r="S78" s="221">
        <f t="shared" ca="1" si="7"/>
        <v>14.700000000000045</v>
      </c>
      <c r="T78" s="132">
        <f t="shared" ca="1" si="8"/>
        <v>3.8132295719844479E-2</v>
      </c>
      <c r="U78" s="17">
        <f t="shared" ca="1" si="9"/>
        <v>-321.95000000000005</v>
      </c>
      <c r="W78" s="22" t="s">
        <v>6111</v>
      </c>
      <c r="X78" s="224">
        <f t="shared" ca="1" si="10"/>
        <v>821.95</v>
      </c>
      <c r="Y78" s="17">
        <v>485</v>
      </c>
      <c r="Z78" s="225">
        <f t="shared" ca="1" si="11"/>
        <v>0.69474226804123718</v>
      </c>
      <c r="AA78" s="57">
        <f t="shared" ca="1" si="12"/>
        <v>1.4324582846211077E-3</v>
      </c>
      <c r="AB78" s="17">
        <f t="shared" ca="1" si="13"/>
        <v>336.95000000000005</v>
      </c>
      <c r="AE78" s="17">
        <v>489.9</v>
      </c>
    </row>
    <row r="79" spans="1:35" ht="15.75" customHeight="1">
      <c r="A79" s="9" t="s">
        <v>6112</v>
      </c>
      <c r="B79" s="17" t="s">
        <v>335</v>
      </c>
      <c r="C79" s="226">
        <v>45120</v>
      </c>
      <c r="D79" s="203" t="s">
        <v>6113</v>
      </c>
      <c r="E79" s="31" t="s">
        <v>6114</v>
      </c>
      <c r="F79" s="17">
        <v>755</v>
      </c>
      <c r="G79" s="17">
        <v>350</v>
      </c>
      <c r="H79" s="220">
        <f ca="1">IFERROR(__xludf.DUMMYFUNCTION("index(sortn(GoogleFinance(D79,""high"",C79, TODAY(),""DAILY""),2,1,2,0),2,2)"),940)</f>
        <v>940</v>
      </c>
      <c r="I79" s="132">
        <f t="shared" ca="1" si="0"/>
        <v>0.24503311258278146</v>
      </c>
      <c r="J79" s="132">
        <f t="shared" ca="1" si="1"/>
        <v>0.16503311258278147</v>
      </c>
      <c r="K79" s="221">
        <f t="shared" ca="1" si="2"/>
        <v>879.6</v>
      </c>
      <c r="L79" s="132">
        <f t="shared" ca="1" si="3"/>
        <v>4.06622516556292E-2</v>
      </c>
      <c r="M79" s="20">
        <f ca="1">IFERROR(__xludf.DUMMYFUNCTION("GOOGLEFINANCE(""NSE:tejasnet"",""price"")"),785.7)</f>
        <v>785.7</v>
      </c>
      <c r="N79" s="222">
        <f t="shared" ca="1" si="4"/>
        <v>10745.000000000016</v>
      </c>
      <c r="O79" s="223">
        <f t="shared" ca="1" si="5"/>
        <v>4.06622516556292E-2</v>
      </c>
      <c r="P79" s="22">
        <v>768</v>
      </c>
      <c r="Q79" s="17" t="s">
        <v>5913</v>
      </c>
      <c r="R79" s="17">
        <f t="shared" ca="1" si="6"/>
        <v>17.700000000000045</v>
      </c>
      <c r="S79" s="221">
        <f t="shared" ca="1" si="7"/>
        <v>-93.899999999999977</v>
      </c>
      <c r="T79" s="132">
        <f t="shared" ca="1" si="8"/>
        <v>-0.12437086092715229</v>
      </c>
      <c r="U79" s="17" t="e">
        <f t="shared" ca="1" si="9"/>
        <v>#VALUE!</v>
      </c>
      <c r="W79" s="22"/>
      <c r="X79" s="224">
        <f t="shared" ca="1" si="10"/>
        <v>809</v>
      </c>
      <c r="Y79" s="17">
        <v>809</v>
      </c>
      <c r="Z79" s="225">
        <f t="shared" ca="1" si="11"/>
        <v>-2.8800988875154455E-2</v>
      </c>
      <c r="AA79" s="57">
        <f t="shared" ca="1" si="12"/>
        <v>-3.5600727905011688E-5</v>
      </c>
      <c r="AB79" s="17">
        <f t="shared" ca="1" si="13"/>
        <v>-23.299999999999955</v>
      </c>
      <c r="AE79" s="17">
        <v>818.95</v>
      </c>
    </row>
    <row r="80" spans="1:35" ht="15.75" customHeight="1">
      <c r="A80" s="9" t="s">
        <v>6115</v>
      </c>
      <c r="B80" s="17" t="s">
        <v>319</v>
      </c>
      <c r="C80" s="226">
        <v>45112</v>
      </c>
      <c r="D80" s="203" t="s">
        <v>3316</v>
      </c>
      <c r="E80" s="31" t="s">
        <v>1052</v>
      </c>
      <c r="F80" s="17">
        <v>126</v>
      </c>
      <c r="G80" s="17">
        <v>1500</v>
      </c>
      <c r="H80" s="220">
        <f ca="1">IFERROR(__xludf.DUMMYFUNCTION("index(sortn(GoogleFinance(D80,""high"",C80, TODAY(),""DAILY""),2,1,2,0),2,2)"),278.9)</f>
        <v>278.89999999999998</v>
      </c>
      <c r="I80" s="132">
        <f t="shared" ca="1" si="0"/>
        <v>1.2134920634920634</v>
      </c>
      <c r="J80" s="132">
        <f t="shared" ca="1" si="1"/>
        <v>1.0134920634920634</v>
      </c>
      <c r="K80" s="221">
        <f t="shared" ca="1" si="2"/>
        <v>253.7</v>
      </c>
      <c r="L80" s="132">
        <f t="shared" ca="1" si="3"/>
        <v>1.1428571428571428</v>
      </c>
      <c r="M80" s="20">
        <f ca="1">IFERROR(__xludf.DUMMYFUNCTION("GOOGLEFINANCE(""NSE:TIMETECHNO"",""price"")"),270)</f>
        <v>270</v>
      </c>
      <c r="N80" s="222">
        <f t="shared" ca="1" si="4"/>
        <v>216000</v>
      </c>
      <c r="O80" s="223">
        <f t="shared" ca="1" si="5"/>
        <v>1.1428571428571428</v>
      </c>
      <c r="P80" s="22">
        <v>134</v>
      </c>
      <c r="Q80" s="22" t="s">
        <v>5913</v>
      </c>
      <c r="R80" s="17">
        <f t="shared" ca="1" si="6"/>
        <v>136</v>
      </c>
      <c r="S80" s="221">
        <f t="shared" ca="1" si="7"/>
        <v>16.300000000000011</v>
      </c>
      <c r="T80" s="132">
        <f t="shared" ca="1" si="8"/>
        <v>0.12936507936507946</v>
      </c>
      <c r="U80" s="17" t="e">
        <f t="shared" ca="1" si="9"/>
        <v>#VALUE!</v>
      </c>
      <c r="W80" s="22"/>
      <c r="X80" s="224">
        <f t="shared" ca="1" si="10"/>
        <v>270</v>
      </c>
      <c r="Y80" s="17">
        <v>141.15</v>
      </c>
      <c r="Z80" s="225">
        <f t="shared" ca="1" si="11"/>
        <v>0.9128586609989372</v>
      </c>
      <c r="AA80" s="57">
        <f t="shared" ca="1" si="12"/>
        <v>6.4672947998507769E-3</v>
      </c>
      <c r="AB80" s="17">
        <f t="shared" ca="1" si="13"/>
        <v>128.85</v>
      </c>
      <c r="AE80" s="17">
        <v>141.15</v>
      </c>
    </row>
    <row r="81" spans="1:31" ht="15.75" customHeight="1">
      <c r="A81" s="9" t="s">
        <v>6116</v>
      </c>
      <c r="B81" s="17" t="s">
        <v>365</v>
      </c>
      <c r="C81" s="226">
        <v>45079</v>
      </c>
      <c r="D81" s="203" t="s">
        <v>6117</v>
      </c>
      <c r="E81" s="31" t="s">
        <v>6118</v>
      </c>
      <c r="F81" s="17">
        <v>45.5</v>
      </c>
      <c r="G81" s="17">
        <v>5000</v>
      </c>
      <c r="H81" s="220">
        <f ca="1">IFERROR(__xludf.DUMMYFUNCTION("index(sortn(GoogleFinance(D81,""high"",C81, TODAY(),""DAILY""),2,1,2,0),2,2)"),81.9)</f>
        <v>81.900000000000006</v>
      </c>
      <c r="I81" s="132">
        <f t="shared" ca="1" si="0"/>
        <v>0.80000000000000016</v>
      </c>
      <c r="J81" s="132">
        <f t="shared" ca="1" si="1"/>
        <v>0.60000000000000009</v>
      </c>
      <c r="K81" s="221">
        <f t="shared" ca="1" si="2"/>
        <v>72.8</v>
      </c>
      <c r="L81" s="132">
        <f t="shared" ca="1" si="3"/>
        <v>0.6175824175824175</v>
      </c>
      <c r="M81" s="20">
        <f ca="1">IFERROR(__xludf.DUMMYFUNCTION("GOOGLEFINANCE(""NSE:TPLplasteh"",""price"")"),73.6)</f>
        <v>73.599999999999994</v>
      </c>
      <c r="N81" s="222">
        <f t="shared" ca="1" si="4"/>
        <v>140499.99999999997</v>
      </c>
      <c r="O81" s="223">
        <f t="shared" ca="1" si="5"/>
        <v>0.6175824175824175</v>
      </c>
      <c r="P81" s="22">
        <v>40</v>
      </c>
      <c r="Q81" s="22" t="s">
        <v>5913</v>
      </c>
      <c r="R81" s="17">
        <f t="shared" ca="1" si="6"/>
        <v>33.599999999999994</v>
      </c>
      <c r="S81" s="221">
        <f t="shared" ca="1" si="7"/>
        <v>0.79999999999999716</v>
      </c>
      <c r="T81" s="132">
        <f t="shared" ca="1" si="8"/>
        <v>1.758241758241752E-2</v>
      </c>
      <c r="U81" s="17" t="e">
        <f t="shared" ca="1" si="9"/>
        <v>#VALUE!</v>
      </c>
      <c r="W81" s="22"/>
      <c r="X81" s="224">
        <f t="shared" ca="1" si="10"/>
        <v>73.599999999999994</v>
      </c>
      <c r="Y81" s="17">
        <v>41.9</v>
      </c>
      <c r="Z81" s="225">
        <f t="shared" ca="1" si="11"/>
        <v>0.75656324582338896</v>
      </c>
      <c r="AA81" s="57">
        <f t="shared" ca="1" si="12"/>
        <v>1.8056402048290905E-2</v>
      </c>
      <c r="AB81" s="17">
        <f t="shared" ca="1" si="13"/>
        <v>31.699999999999996</v>
      </c>
      <c r="AE81" s="17">
        <v>41.9</v>
      </c>
    </row>
    <row r="82" spans="1:31" ht="15.75" customHeight="1">
      <c r="A82" s="9" t="s">
        <v>6119</v>
      </c>
      <c r="B82" s="17" t="s">
        <v>335</v>
      </c>
      <c r="C82" s="226">
        <v>45120</v>
      </c>
      <c r="D82" s="203" t="s">
        <v>6120</v>
      </c>
      <c r="E82" s="31" t="s">
        <v>6121</v>
      </c>
      <c r="F82" s="17">
        <v>282.95</v>
      </c>
      <c r="G82" s="17">
        <v>1000</v>
      </c>
      <c r="H82" s="220">
        <f ca="1">IFERROR(__xludf.DUMMYFUNCTION("index(sortn(GoogleFinance(D82,""high"",C82, TODAY(),""DAILY""),2,1,2,0),2,2)"),416.5)</f>
        <v>416.5</v>
      </c>
      <c r="I82" s="132">
        <f t="shared" ca="1" si="0"/>
        <v>0.47199151793603117</v>
      </c>
      <c r="J82" s="132">
        <f t="shared" ca="1" si="1"/>
        <v>0.34199151793603116</v>
      </c>
      <c r="K82" s="221">
        <f t="shared" ca="1" si="2"/>
        <v>379.7165</v>
      </c>
      <c r="L82" s="132">
        <f t="shared" ca="1" si="3"/>
        <v>0.17158508570418807</v>
      </c>
      <c r="M82" s="20">
        <f ca="1">IFERROR(__xludf.DUMMYFUNCTION("GOOGLEFINANCE(""NSE:triveni"",""price"")"),331.5)</f>
        <v>331.5</v>
      </c>
      <c r="N82" s="222">
        <f t="shared" ca="1" si="4"/>
        <v>48550.000000000015</v>
      </c>
      <c r="O82" s="223">
        <f t="shared" ca="1" si="5"/>
        <v>0.17158508570418807</v>
      </c>
      <c r="P82" s="22">
        <v>280</v>
      </c>
      <c r="Q82" s="17" t="s">
        <v>5913</v>
      </c>
      <c r="R82" s="17">
        <f t="shared" ca="1" si="6"/>
        <v>51.5</v>
      </c>
      <c r="S82" s="221">
        <f t="shared" ca="1" si="7"/>
        <v>-48.216499999999996</v>
      </c>
      <c r="T82" s="132">
        <f t="shared" ca="1" si="8"/>
        <v>-0.17040643223184307</v>
      </c>
      <c r="U82" s="17" t="e">
        <f t="shared" ca="1" si="9"/>
        <v>#VALUE!</v>
      </c>
      <c r="W82" s="22"/>
      <c r="X82" s="224">
        <f t="shared" ca="1" si="10"/>
        <v>331.5</v>
      </c>
      <c r="Y82" s="17">
        <v>298</v>
      </c>
      <c r="Z82" s="225">
        <f t="shared" ca="1" si="11"/>
        <v>0.11241610738255034</v>
      </c>
      <c r="AA82" s="57">
        <f t="shared" ca="1" si="12"/>
        <v>3.7723525967298772E-4</v>
      </c>
      <c r="AB82" s="17">
        <f t="shared" ca="1" si="13"/>
        <v>33.5</v>
      </c>
      <c r="AE82" s="17">
        <v>299.55</v>
      </c>
    </row>
    <row r="83" spans="1:31" ht="15.75" customHeight="1">
      <c r="A83" s="9" t="s">
        <v>6122</v>
      </c>
      <c r="B83" s="17" t="s">
        <v>5980</v>
      </c>
      <c r="C83" s="226">
        <v>45110</v>
      </c>
      <c r="D83" s="203" t="s">
        <v>230</v>
      </c>
      <c r="E83" s="31" t="s">
        <v>613</v>
      </c>
      <c r="F83" s="17">
        <v>339</v>
      </c>
      <c r="G83" s="17">
        <v>450</v>
      </c>
      <c r="H83" s="220">
        <f ca="1">IFERROR(__xludf.DUMMYFUNCTION("index(sortn(GoogleFinance(D83,""high"",C83, TODAY(),""DAILY""),2,1,2,0),2,2)"),535.8)</f>
        <v>535.79999999999995</v>
      </c>
      <c r="I83" s="132">
        <f t="shared" ca="1" si="0"/>
        <v>0.58053097345132731</v>
      </c>
      <c r="J83" s="132">
        <f t="shared" ca="1" si="1"/>
        <v>0.43053097345132729</v>
      </c>
      <c r="K83" s="221">
        <f t="shared" ca="1" si="2"/>
        <v>484.94999999999993</v>
      </c>
      <c r="L83" s="132">
        <f t="shared" ca="1" si="3"/>
        <v>2.4336283185840708E-2</v>
      </c>
      <c r="M83" s="20">
        <f ca="1">IFERROR(__xludf.DUMMYFUNCTION("GOOGLEFINANCE(""NSE:UTTAMSUGAR"",""price"")"),347.25)</f>
        <v>347.25</v>
      </c>
      <c r="N83" s="222">
        <f t="shared" ca="1" si="4"/>
        <v>3712.5</v>
      </c>
      <c r="O83" s="223">
        <f t="shared" ca="1" si="5"/>
        <v>2.4336283185840708E-2</v>
      </c>
      <c r="P83" s="22">
        <v>335</v>
      </c>
      <c r="Q83" s="22">
        <v>430</v>
      </c>
      <c r="R83" s="17">
        <f t="shared" ca="1" si="6"/>
        <v>12.25</v>
      </c>
      <c r="S83" s="221">
        <f t="shared" ca="1" si="7"/>
        <v>-137.69999999999993</v>
      </c>
      <c r="T83" s="132">
        <f t="shared" ca="1" si="8"/>
        <v>-0.40619469026548655</v>
      </c>
      <c r="U83" s="17">
        <f t="shared" ca="1" si="9"/>
        <v>82.75</v>
      </c>
      <c r="W83" s="22"/>
      <c r="X83" s="224">
        <f t="shared" ca="1" si="10"/>
        <v>360</v>
      </c>
      <c r="Y83" s="17">
        <v>360</v>
      </c>
      <c r="Z83" s="225">
        <f t="shared" ca="1" si="11"/>
        <v>-3.5416666666666666E-2</v>
      </c>
      <c r="AA83" s="57">
        <f t="shared" ca="1" si="12"/>
        <v>-9.8379629629629631E-5</v>
      </c>
      <c r="AB83" s="17">
        <f t="shared" ca="1" si="13"/>
        <v>-12.75</v>
      </c>
      <c r="AE83" s="17">
        <v>368.5</v>
      </c>
    </row>
    <row r="84" spans="1:31" ht="15.75" customHeight="1">
      <c r="A84" s="9" t="s">
        <v>449</v>
      </c>
      <c r="B84" s="17" t="s">
        <v>288</v>
      </c>
      <c r="C84" s="226">
        <v>45082</v>
      </c>
      <c r="D84" s="203" t="s">
        <v>6123</v>
      </c>
      <c r="E84" s="31" t="s">
        <v>6124</v>
      </c>
      <c r="F84" s="17">
        <v>43</v>
      </c>
      <c r="G84" s="17">
        <v>4000</v>
      </c>
      <c r="H84" s="220">
        <f ca="1">IFERROR(__xludf.DUMMYFUNCTION("index(sortn(GoogleFinance(D84,""high"",C84, TODAY(),""DAILY""),2,1,2,0),2,2)"),93.15)</f>
        <v>93.15</v>
      </c>
      <c r="I84" s="132">
        <f t="shared" ca="1" si="0"/>
        <v>1.1662790697674419</v>
      </c>
      <c r="J84" s="132">
        <f t="shared" ca="1" si="1"/>
        <v>0.96627906976744193</v>
      </c>
      <c r="K84" s="221">
        <f t="shared" ca="1" si="2"/>
        <v>84.55</v>
      </c>
      <c r="L84" s="132">
        <f t="shared" ca="1" si="3"/>
        <v>0.63139534883720938</v>
      </c>
      <c r="M84" s="20">
        <f ca="1">IFERROR(__xludf.DUMMYFUNCTION("GOOGLEFINANCE(""NSE:vasconeq"",""price"")"),70.15)</f>
        <v>70.150000000000006</v>
      </c>
      <c r="N84" s="222">
        <f t="shared" ca="1" si="4"/>
        <v>108600.00000000003</v>
      </c>
      <c r="O84" s="223">
        <f t="shared" ca="1" si="5"/>
        <v>0.63139534883720938</v>
      </c>
      <c r="P84" s="22">
        <v>42</v>
      </c>
      <c r="Q84" s="22">
        <v>51</v>
      </c>
      <c r="R84" s="17">
        <f t="shared" ca="1" si="6"/>
        <v>28.150000000000006</v>
      </c>
      <c r="S84" s="221">
        <f t="shared" ca="1" si="7"/>
        <v>-14.399999999999991</v>
      </c>
      <c r="T84" s="132">
        <f t="shared" ca="1" si="8"/>
        <v>-0.33488372093023239</v>
      </c>
      <c r="U84" s="17">
        <f t="shared" ca="1" si="9"/>
        <v>-19.150000000000006</v>
      </c>
      <c r="W84" s="22"/>
      <c r="X84" s="224">
        <f t="shared" ca="1" si="10"/>
        <v>70.150000000000006</v>
      </c>
      <c r="Y84" s="17">
        <v>45</v>
      </c>
      <c r="Z84" s="225">
        <f t="shared" ca="1" si="11"/>
        <v>0.55888888888888899</v>
      </c>
      <c r="AA84" s="57">
        <f t="shared" ca="1" si="12"/>
        <v>1.2419753086419755E-2</v>
      </c>
      <c r="AB84" s="17">
        <f t="shared" ca="1" si="13"/>
        <v>25.150000000000006</v>
      </c>
      <c r="AE84" s="17">
        <v>45</v>
      </c>
    </row>
    <row r="85" spans="1:31" ht="15.75" customHeight="1">
      <c r="A85" s="9" t="s">
        <v>6125</v>
      </c>
      <c r="B85" s="17" t="s">
        <v>5899</v>
      </c>
      <c r="C85" s="226">
        <v>45135</v>
      </c>
      <c r="D85" s="203" t="s">
        <v>6126</v>
      </c>
      <c r="E85" s="31" t="s">
        <v>6125</v>
      </c>
      <c r="F85" s="17">
        <v>506</v>
      </c>
      <c r="G85" s="17">
        <v>800</v>
      </c>
      <c r="H85" s="220">
        <f ca="1">IFERROR(__xludf.DUMMYFUNCTION("index(sortn(GoogleFinance(D85,""high"",C85, TODAY(),""DAILY""),2,1,2,0),2,2)"),623.15)</f>
        <v>623.15</v>
      </c>
      <c r="I85" s="132">
        <f t="shared" ca="1" si="0"/>
        <v>0.23152173913043475</v>
      </c>
      <c r="J85" s="132">
        <f t="shared" ca="1" si="1"/>
        <v>0.15152173913043476</v>
      </c>
      <c r="K85" s="221">
        <f t="shared" ca="1" si="2"/>
        <v>582.67000000000007</v>
      </c>
      <c r="L85" s="132">
        <f t="shared" ca="1" si="3"/>
        <v>-5.3557312252964472E-2</v>
      </c>
      <c r="M85" s="20">
        <f ca="1">IFERROR(__xludf.DUMMYFUNCTION("GOOGLEFINANCE(""NSE:vimtalabs"",""price"")"),478.9)</f>
        <v>478.9</v>
      </c>
      <c r="N85" s="222">
        <f t="shared" ca="1" si="4"/>
        <v>-21680.000000000018</v>
      </c>
      <c r="O85" s="223">
        <f t="shared" ca="1" si="5"/>
        <v>-5.3557312252964472E-2</v>
      </c>
      <c r="P85" s="22">
        <v>435</v>
      </c>
      <c r="Q85" s="22">
        <v>636</v>
      </c>
      <c r="R85" s="17">
        <f t="shared" ca="1" si="6"/>
        <v>43.899999999999977</v>
      </c>
      <c r="S85" s="221">
        <f t="shared" ca="1" si="7"/>
        <v>-103.7700000000001</v>
      </c>
      <c r="T85" s="132">
        <f t="shared" ca="1" si="8"/>
        <v>-0.20507905138339941</v>
      </c>
      <c r="U85" s="17">
        <f t="shared" ca="1" si="9"/>
        <v>157.10000000000002</v>
      </c>
      <c r="W85" s="22" t="s">
        <v>6127</v>
      </c>
      <c r="X85" s="224">
        <f t="shared" ca="1" si="10"/>
        <v>478.9</v>
      </c>
      <c r="Y85" s="17">
        <v>452.55</v>
      </c>
      <c r="Z85" s="225">
        <f t="shared" ca="1" si="11"/>
        <v>5.8225610429786689E-2</v>
      </c>
      <c r="AA85" s="57">
        <f t="shared" ca="1" si="12"/>
        <v>1.2866116546190849E-4</v>
      </c>
      <c r="AB85" s="17">
        <f t="shared" ca="1" si="13"/>
        <v>26.349999999999966</v>
      </c>
      <c r="AE85" s="17">
        <v>456.4</v>
      </c>
    </row>
    <row r="86" spans="1:31" ht="15.75" customHeight="1">
      <c r="A86" s="9" t="s">
        <v>405</v>
      </c>
      <c r="B86" s="17" t="s">
        <v>250</v>
      </c>
      <c r="C86" s="226">
        <v>45051</v>
      </c>
      <c r="D86" s="203" t="s">
        <v>6128</v>
      </c>
      <c r="E86" s="31" t="s">
        <v>405</v>
      </c>
      <c r="F86" s="17">
        <v>402.15</v>
      </c>
      <c r="G86" s="17">
        <v>214</v>
      </c>
      <c r="H86" s="220">
        <f ca="1">IFERROR(__xludf.DUMMYFUNCTION("index(sortn(GoogleFinance(D86,""high"",C86, TODAY(),""DAILY""),2,1,2,0),2,2)"),827.7)</f>
        <v>827.7</v>
      </c>
      <c r="I86" s="132">
        <f t="shared" ca="1" si="0"/>
        <v>1.0581872435658339</v>
      </c>
      <c r="J86" s="132">
        <f t="shared" ca="1" si="1"/>
        <v>0.85818724356583398</v>
      </c>
      <c r="K86" s="221">
        <f t="shared" ca="1" si="2"/>
        <v>747.2700000000001</v>
      </c>
      <c r="L86" s="132">
        <f t="shared" ca="1" si="3"/>
        <v>0.98147457416386941</v>
      </c>
      <c r="M86" s="20">
        <f ca="1">IFERROR(__xludf.DUMMYFUNCTION("GOOGLEFINANCE(""NSE:wabag"",""price"")"),796.85)</f>
        <v>796.85</v>
      </c>
      <c r="N86" s="10">
        <f t="shared" ca="1" si="4"/>
        <v>84465.8</v>
      </c>
      <c r="O86" s="223">
        <f t="shared" ca="1" si="5"/>
        <v>0.98147457416386941</v>
      </c>
      <c r="P86" s="22">
        <v>500</v>
      </c>
      <c r="Q86" s="22" t="s">
        <v>5913</v>
      </c>
      <c r="R86" s="17">
        <f t="shared" ca="1" si="6"/>
        <v>296.85000000000002</v>
      </c>
      <c r="S86" s="221">
        <f t="shared" ca="1" si="7"/>
        <v>49.579999999999927</v>
      </c>
      <c r="T86" s="132">
        <f t="shared" ca="1" si="8"/>
        <v>0.12328733059803539</v>
      </c>
      <c r="U86" s="17" t="e">
        <f t="shared" ca="1" si="9"/>
        <v>#VALUE!</v>
      </c>
      <c r="W86" s="22"/>
      <c r="X86" s="224">
        <f t="shared" ca="1" si="10"/>
        <v>796.85</v>
      </c>
      <c r="Y86" s="17">
        <v>539.5</v>
      </c>
      <c r="Z86" s="225">
        <f t="shared" ca="1" si="11"/>
        <v>0.47701575532900836</v>
      </c>
      <c r="AA86" s="57">
        <f t="shared" ca="1" si="12"/>
        <v>8.8418119616127597E-4</v>
      </c>
      <c r="AB86" s="17">
        <f t="shared" ca="1" si="13"/>
        <v>257.35000000000002</v>
      </c>
      <c r="AE86" s="17">
        <v>539.5</v>
      </c>
    </row>
    <row r="87" spans="1:31" ht="15.75" customHeight="1">
      <c r="A87" s="9" t="s">
        <v>6129</v>
      </c>
      <c r="B87" s="17" t="s">
        <v>319</v>
      </c>
      <c r="C87" s="226">
        <v>45112</v>
      </c>
      <c r="D87" s="203" t="s">
        <v>5563</v>
      </c>
      <c r="E87" s="31" t="s">
        <v>1075</v>
      </c>
      <c r="F87" s="17">
        <v>57.3</v>
      </c>
      <c r="G87" s="17">
        <v>4000</v>
      </c>
      <c r="H87" s="220">
        <f ca="1">IFERROR(__xludf.DUMMYFUNCTION("index(sortn(GoogleFinance(D87,""high"",C87, TODAY(),""DAILY""),2,1,2,0),2,2)"),104.3)</f>
        <v>104.3</v>
      </c>
      <c r="I87" s="132">
        <f t="shared" ca="1" si="0"/>
        <v>0.82024432809773129</v>
      </c>
      <c r="J87" s="132">
        <f t="shared" ca="1" si="1"/>
        <v>0.62024432809773122</v>
      </c>
      <c r="K87" s="221">
        <f t="shared" ca="1" si="2"/>
        <v>92.839999999999989</v>
      </c>
      <c r="L87" s="132">
        <f t="shared" ca="1" si="3"/>
        <v>0.48167539267015724</v>
      </c>
      <c r="M87" s="20">
        <f ca="1">IFERROR(__xludf.DUMMYFUNCTION("GOOGLEFINANCE(""NSE:WINDMACHIN"",""price"")"),84.9)</f>
        <v>84.9</v>
      </c>
      <c r="N87" s="222">
        <f t="shared" ca="1" si="4"/>
        <v>110400.00000000003</v>
      </c>
      <c r="O87" s="223">
        <f t="shared" ca="1" si="5"/>
        <v>0.48167539267015724</v>
      </c>
      <c r="P87" s="22">
        <v>63</v>
      </c>
      <c r="Q87" s="22">
        <v>73</v>
      </c>
      <c r="R87" s="17">
        <f t="shared" ca="1" si="6"/>
        <v>21.900000000000006</v>
      </c>
      <c r="S87" s="221">
        <f t="shared" ca="1" si="7"/>
        <v>-7.9399999999999835</v>
      </c>
      <c r="T87" s="132">
        <f t="shared" ca="1" si="8"/>
        <v>-0.1385689354275739</v>
      </c>
      <c r="U87" s="17">
        <f t="shared" ca="1" si="9"/>
        <v>-11.900000000000006</v>
      </c>
      <c r="W87" s="22" t="s">
        <v>6130</v>
      </c>
      <c r="X87" s="224">
        <f t="shared" ca="1" si="10"/>
        <v>84.9</v>
      </c>
      <c r="Y87" s="17">
        <v>66.7</v>
      </c>
      <c r="Z87" s="225">
        <f t="shared" ca="1" si="11"/>
        <v>0.27286356821589208</v>
      </c>
      <c r="AA87" s="57">
        <f t="shared" ca="1" si="12"/>
        <v>4.0909080692037789E-3</v>
      </c>
      <c r="AB87" s="17">
        <f t="shared" ca="1" si="13"/>
        <v>18.200000000000003</v>
      </c>
      <c r="AE87" s="17">
        <v>66.7</v>
      </c>
    </row>
    <row r="88" spans="1:31" ht="15.75" customHeight="1">
      <c r="A88" s="9" t="s">
        <v>6131</v>
      </c>
      <c r="B88" s="17" t="s">
        <v>365</v>
      </c>
      <c r="C88" s="226">
        <v>45079</v>
      </c>
      <c r="D88" s="203" t="s">
        <v>6132</v>
      </c>
      <c r="E88" s="31" t="s">
        <v>6133</v>
      </c>
      <c r="F88" s="17">
        <v>393.55</v>
      </c>
      <c r="G88" s="17">
        <v>450</v>
      </c>
      <c r="H88" s="220">
        <f ca="1">IFERROR(__xludf.DUMMYFUNCTION("index(sortn(GoogleFinance(D88,""high"",C88, TODAY(),""DAILY""),2,1,2,0),2,2)"),646.45)</f>
        <v>646.45000000000005</v>
      </c>
      <c r="I88" s="132">
        <f t="shared" ca="1" si="0"/>
        <v>0.64261212044212945</v>
      </c>
      <c r="J88" s="132">
        <f t="shared" ca="1" si="1"/>
        <v>0.44261212044212944</v>
      </c>
      <c r="K88" s="221">
        <f t="shared" ca="1" si="2"/>
        <v>567.74</v>
      </c>
      <c r="L88" s="132">
        <f t="shared" ca="1" si="3"/>
        <v>0.55647312920848668</v>
      </c>
      <c r="M88" s="20">
        <f ca="1">IFERROR(__xludf.DUMMYFUNCTION("GOOGLEFINANCE(""NSE:zensartech"",""price"")"),612.55)</f>
        <v>612.54999999999995</v>
      </c>
      <c r="N88" s="222">
        <f t="shared" ca="1" si="4"/>
        <v>98549.999999999971</v>
      </c>
      <c r="O88" s="223">
        <f t="shared" ca="1" si="5"/>
        <v>0.55647312920848668</v>
      </c>
      <c r="P88" s="22">
        <v>456</v>
      </c>
      <c r="Q88" s="22">
        <v>530</v>
      </c>
      <c r="R88" s="17">
        <f t="shared" ca="1" si="6"/>
        <v>156.54999999999995</v>
      </c>
      <c r="S88" s="221">
        <f t="shared" ca="1" si="7"/>
        <v>44.809999999999945</v>
      </c>
      <c r="T88" s="132">
        <f t="shared" ca="1" si="8"/>
        <v>0.11386100876635737</v>
      </c>
      <c r="U88" s="17">
        <f t="shared" ca="1" si="9"/>
        <v>-82.549999999999955</v>
      </c>
      <c r="W88" s="22" t="s">
        <v>6134</v>
      </c>
      <c r="X88" s="224">
        <f t="shared" ca="1" si="10"/>
        <v>612.54999999999995</v>
      </c>
      <c r="Y88" s="17">
        <v>488</v>
      </c>
      <c r="Z88" s="225">
        <f t="shared" ca="1" si="11"/>
        <v>0.25522540983606545</v>
      </c>
      <c r="AA88" s="57">
        <f t="shared" ca="1" si="12"/>
        <v>5.2300288900833088E-4</v>
      </c>
      <c r="AB88" s="17">
        <f t="shared" ca="1" si="13"/>
        <v>124.54999999999995</v>
      </c>
      <c r="AE88" s="17">
        <v>496</v>
      </c>
    </row>
    <row r="89" spans="1:31" ht="15.75" customHeight="1">
      <c r="A89" s="17" t="s">
        <v>6135</v>
      </c>
      <c r="B89" s="18">
        <v>45124</v>
      </c>
      <c r="C89" s="226">
        <v>45124</v>
      </c>
      <c r="D89" s="203" t="s">
        <v>1673</v>
      </c>
      <c r="E89" s="31" t="s">
        <v>6136</v>
      </c>
      <c r="F89" s="17">
        <v>1370</v>
      </c>
      <c r="G89" s="17">
        <v>200</v>
      </c>
      <c r="H89" s="220">
        <f ca="1">IFERROR(__xludf.DUMMYFUNCTION("index(sortn(GoogleFinance(D89,""high"",C89, TODAY(),""DAILY""),2,1,2,0),2,2)"),1800)</f>
        <v>1800</v>
      </c>
      <c r="I89" s="132">
        <f t="shared" ca="1" si="0"/>
        <v>0.31386861313868614</v>
      </c>
      <c r="J89" s="132">
        <f t="shared" ca="1" si="1"/>
        <v>0.21386861313868613</v>
      </c>
      <c r="K89" s="221">
        <f t="shared" ca="1" si="2"/>
        <v>1663</v>
      </c>
      <c r="L89" s="132">
        <f t="shared" ca="1" si="3"/>
        <v>0.13284671532846715</v>
      </c>
      <c r="M89" s="20">
        <f ca="1">IFERROR(__xludf.DUMMYFUNCTION("GOOGLEFINANCE(""NSE:APLAPOLLO"",""price"")"),1552)</f>
        <v>1552</v>
      </c>
      <c r="N89" s="10">
        <f t="shared" ca="1" si="4"/>
        <v>36400</v>
      </c>
      <c r="O89" s="223">
        <f t="shared" ca="1" si="5"/>
        <v>0.13284671532846715</v>
      </c>
      <c r="P89" s="22" t="s">
        <v>5913</v>
      </c>
      <c r="Q89" s="22" t="s">
        <v>5913</v>
      </c>
      <c r="R89" s="17" t="e">
        <f t="shared" ca="1" si="6"/>
        <v>#VALUE!</v>
      </c>
      <c r="S89" s="221">
        <f t="shared" ca="1" si="7"/>
        <v>-111</v>
      </c>
      <c r="T89" s="132">
        <f t="shared" ca="1" si="8"/>
        <v>-8.1021897810218985E-2</v>
      </c>
      <c r="U89" s="17" t="e">
        <f t="shared" ca="1" si="9"/>
        <v>#VALUE!</v>
      </c>
      <c r="W89" s="22"/>
      <c r="X89" s="224">
        <f t="shared" ca="1" si="10"/>
        <v>1587</v>
      </c>
      <c r="Y89" s="17">
        <v>1587</v>
      </c>
      <c r="Z89" s="225">
        <f t="shared" ca="1" si="11"/>
        <v>-2.2054190296156271E-2</v>
      </c>
      <c r="AA89" s="57">
        <f t="shared" ca="1" si="12"/>
        <v>-1.3896780274830669E-5</v>
      </c>
      <c r="AB89" s="17">
        <f t="shared" ca="1" si="13"/>
        <v>-35</v>
      </c>
      <c r="AE89" s="17">
        <v>1587</v>
      </c>
    </row>
    <row r="90" spans="1:31" ht="15.75" customHeight="1">
      <c r="A90" s="17" t="s">
        <v>6137</v>
      </c>
      <c r="B90" s="18">
        <v>45127</v>
      </c>
      <c r="C90" s="226">
        <v>45127</v>
      </c>
      <c r="D90" s="203" t="s">
        <v>3702</v>
      </c>
      <c r="E90" s="31" t="s">
        <v>1069</v>
      </c>
      <c r="F90" s="17">
        <v>1950</v>
      </c>
      <c r="G90" s="17">
        <v>200</v>
      </c>
      <c r="H90" s="220">
        <f ca="1">IFERROR(__xludf.DUMMYFUNCTION("index(sortn(GoogleFinance(D90,""high"",C90, TODAY(),""DAILY""),2,1,2,0),2,2)"),2898.7)</f>
        <v>2898.7</v>
      </c>
      <c r="I90" s="132">
        <f t="shared" ca="1" si="0"/>
        <v>0.48651282051282041</v>
      </c>
      <c r="J90" s="132">
        <f t="shared" ca="1" si="1"/>
        <v>0.35651282051282041</v>
      </c>
      <c r="K90" s="221">
        <f t="shared" ca="1" si="2"/>
        <v>2645.1999999999994</v>
      </c>
      <c r="L90" s="132">
        <f t="shared" ca="1" si="3"/>
        <v>0.29487179487179488</v>
      </c>
      <c r="M90" s="20">
        <f ca="1">IFERROR(__xludf.DUMMYFUNCTION("GOOGLEFINANCE(""NSE:VINDHYATEL"",""price"")"),2525)</f>
        <v>2525</v>
      </c>
      <c r="N90" s="10">
        <f t="shared" ca="1" si="4"/>
        <v>115000</v>
      </c>
      <c r="O90" s="223">
        <f t="shared" ca="1" si="5"/>
        <v>0.29487179487179488</v>
      </c>
      <c r="P90" s="22" t="s">
        <v>5913</v>
      </c>
      <c r="Q90" s="22">
        <v>3655</v>
      </c>
      <c r="R90" s="17" t="e">
        <f t="shared" ca="1" si="6"/>
        <v>#VALUE!</v>
      </c>
      <c r="S90" s="221">
        <f t="shared" ca="1" si="7"/>
        <v>-120.19999999999936</v>
      </c>
      <c r="T90" s="132">
        <f t="shared" ca="1" si="8"/>
        <v>-6.1641025641025311E-2</v>
      </c>
      <c r="U90" s="17">
        <f t="shared" ca="1" si="9"/>
        <v>1130</v>
      </c>
      <c r="W90" s="22"/>
      <c r="X90" s="224">
        <f t="shared" ca="1" si="10"/>
        <v>2525</v>
      </c>
      <c r="Y90" s="17">
        <v>2048.9</v>
      </c>
      <c r="Z90" s="225">
        <f t="shared" ca="1" si="11"/>
        <v>0.23236858802284147</v>
      </c>
      <c r="AA90" s="57">
        <f t="shared" ca="1" si="12"/>
        <v>1.1341138563270119E-4</v>
      </c>
      <c r="AB90" s="17">
        <f t="shared" ca="1" si="13"/>
        <v>476.09999999999991</v>
      </c>
      <c r="AE90" s="17">
        <v>2048.9</v>
      </c>
    </row>
    <row r="91" spans="1:31" ht="15.75" customHeight="1">
      <c r="A91" s="17" t="s">
        <v>6138</v>
      </c>
      <c r="B91" s="18">
        <v>45132</v>
      </c>
      <c r="C91" s="226">
        <v>45132</v>
      </c>
      <c r="D91" s="203" t="s">
        <v>6139</v>
      </c>
      <c r="E91" s="31" t="s">
        <v>6140</v>
      </c>
      <c r="F91" s="17">
        <v>130</v>
      </c>
      <c r="G91" s="17">
        <v>2000</v>
      </c>
      <c r="H91" s="220">
        <f ca="1">IFERROR(__xludf.DUMMYFUNCTION("index(sortn(GoogleFinance(D91,""high"",C91, TODAY(),""DAILY""),2,1,2,0),2,2)"),212.8)</f>
        <v>212.8</v>
      </c>
      <c r="I91" s="132">
        <f t="shared" ca="1" si="0"/>
        <v>0.63692307692307704</v>
      </c>
      <c r="J91" s="132">
        <f t="shared" ca="1" si="1"/>
        <v>0.43692307692307703</v>
      </c>
      <c r="K91" s="221">
        <f t="shared" ca="1" si="2"/>
        <v>186.8</v>
      </c>
      <c r="L91" s="132">
        <f t="shared" ca="1" si="3"/>
        <v>0.32615384615384618</v>
      </c>
      <c r="M91" s="20">
        <f ca="1">IFERROR(__xludf.DUMMYFUNCTION("GOOGLEFINANCE(""NSE:mukandltd"",""price"")"),172.4)</f>
        <v>172.4</v>
      </c>
      <c r="N91" s="10">
        <f t="shared" ca="1" si="4"/>
        <v>84800.000000000015</v>
      </c>
      <c r="O91" s="223">
        <f t="shared" ca="1" si="5"/>
        <v>0.32615384615384618</v>
      </c>
      <c r="P91" s="22">
        <v>120</v>
      </c>
      <c r="Q91" s="17">
        <v>236</v>
      </c>
      <c r="R91" s="17">
        <f t="shared" ca="1" si="6"/>
        <v>52.400000000000006</v>
      </c>
      <c r="S91" s="221">
        <f t="shared" ca="1" si="7"/>
        <v>-14.400000000000006</v>
      </c>
      <c r="T91" s="132">
        <f t="shared" ca="1" si="8"/>
        <v>-0.11076923076923081</v>
      </c>
      <c r="U91" s="17">
        <f t="shared" ca="1" si="9"/>
        <v>63.599999999999994</v>
      </c>
      <c r="W91" s="17" t="s">
        <v>6141</v>
      </c>
      <c r="X91" s="224">
        <f t="shared" ca="1" si="10"/>
        <v>178.3</v>
      </c>
      <c r="Y91" s="17">
        <v>178.3</v>
      </c>
      <c r="Z91" s="225">
        <f t="shared" ca="1" si="11"/>
        <v>-3.3090297251822803E-2</v>
      </c>
      <c r="AA91" s="57">
        <f t="shared" ca="1" si="12"/>
        <v>-1.8558775800237129E-4</v>
      </c>
      <c r="AB91" s="17">
        <f t="shared" ca="1" si="13"/>
        <v>-5.9000000000000057</v>
      </c>
      <c r="AE91" s="17">
        <v>178.3</v>
      </c>
    </row>
    <row r="92" spans="1:31" ht="15.75" customHeight="1">
      <c r="A92" s="17" t="s">
        <v>6142</v>
      </c>
      <c r="B92" s="18">
        <v>45135</v>
      </c>
      <c r="C92" s="226">
        <v>45135</v>
      </c>
      <c r="D92" s="203" t="s">
        <v>220</v>
      </c>
      <c r="E92" s="31" t="s">
        <v>140</v>
      </c>
      <c r="F92" s="17">
        <v>440</v>
      </c>
      <c r="G92" s="17">
        <v>1000</v>
      </c>
      <c r="H92" s="220">
        <f ca="1">IFERROR(__xludf.DUMMYFUNCTION("index(sortn(GoogleFinance(D92,""high"",C92, TODAY(),""DAILY""),2,1,2,0),2,2)"),549)</f>
        <v>549</v>
      </c>
      <c r="I92" s="132">
        <f t="shared" ca="1" si="0"/>
        <v>0.24772727272727274</v>
      </c>
      <c r="J92" s="132">
        <f t="shared" ca="1" si="1"/>
        <v>0.16772727272727272</v>
      </c>
      <c r="K92" s="221">
        <f t="shared" ca="1" si="2"/>
        <v>513.79999999999995</v>
      </c>
      <c r="L92" s="132">
        <f t="shared" ca="1" si="3"/>
        <v>-7.2727272727272724E-2</v>
      </c>
      <c r="M92" s="20">
        <f ca="1">IFERROR(__xludf.DUMMYFUNCTION("GOOGLEFINANCE(""NSE:ROSSELLIND"",""price"")"),408)</f>
        <v>408</v>
      </c>
      <c r="N92" s="10">
        <f t="shared" ca="1" si="4"/>
        <v>-32000</v>
      </c>
      <c r="O92" s="223">
        <f t="shared" ca="1" si="5"/>
        <v>-7.2727272727272724E-2</v>
      </c>
      <c r="P92" s="22" t="s">
        <v>5913</v>
      </c>
      <c r="Q92" s="17">
        <v>527</v>
      </c>
      <c r="R92" s="17" t="e">
        <f t="shared" ca="1" si="6"/>
        <v>#VALUE!</v>
      </c>
      <c r="S92" s="221">
        <f t="shared" ca="1" si="7"/>
        <v>-105.79999999999995</v>
      </c>
      <c r="T92" s="132">
        <f t="shared" ca="1" si="8"/>
        <v>-0.24045454545454534</v>
      </c>
      <c r="U92" s="17">
        <f t="shared" ca="1" si="9"/>
        <v>119</v>
      </c>
      <c r="X92" s="224">
        <f t="shared" ca="1" si="10"/>
        <v>437</v>
      </c>
      <c r="Y92" s="17">
        <v>437</v>
      </c>
      <c r="Z92" s="225">
        <f t="shared" ca="1" si="11"/>
        <v>-6.6361556064073221E-2</v>
      </c>
      <c r="AA92" s="57">
        <f t="shared" ca="1" si="12"/>
        <v>-1.5185710769810806E-4</v>
      </c>
      <c r="AB92" s="17">
        <f t="shared" ca="1" si="13"/>
        <v>-29</v>
      </c>
      <c r="AE92" s="17">
        <v>437</v>
      </c>
    </row>
    <row r="93" spans="1:31" ht="15.75" customHeight="1">
      <c r="A93" s="9" t="s">
        <v>261</v>
      </c>
      <c r="B93" s="17" t="s">
        <v>255</v>
      </c>
      <c r="C93" s="226">
        <v>45044</v>
      </c>
      <c r="D93" s="203" t="s">
        <v>6143</v>
      </c>
      <c r="E93" s="31" t="s">
        <v>6144</v>
      </c>
      <c r="F93" s="17">
        <v>325</v>
      </c>
      <c r="G93" s="17">
        <v>150</v>
      </c>
      <c r="H93" s="220">
        <f ca="1">IFERROR(__xludf.DUMMYFUNCTION("index(sortn(GoogleFinance(D93,""high"",C93, TODAY(),""DAILY""),2,1,2,0),2,2)"),682)</f>
        <v>682</v>
      </c>
      <c r="I93" s="132">
        <f t="shared" ca="1" si="0"/>
        <v>1.0984615384615384</v>
      </c>
      <c r="J93" s="132">
        <f t="shared" ca="1" si="1"/>
        <v>0.89846153846153842</v>
      </c>
      <c r="K93" s="221">
        <f t="shared" ca="1" si="2"/>
        <v>617</v>
      </c>
      <c r="L93" s="132">
        <f t="shared" ca="1" si="3"/>
        <v>-0.57276923076923081</v>
      </c>
      <c r="M93" s="20">
        <f ca="1">IFERROR(__xludf.DUMMYFUNCTION("GOOGLEFINANCE(""NSE:refex"",""price"")"),138.85)</f>
        <v>138.85</v>
      </c>
      <c r="N93" s="9">
        <f t="shared" ca="1" si="4"/>
        <v>-27922.5</v>
      </c>
      <c r="O93" s="223">
        <f t="shared" ca="1" si="5"/>
        <v>-0.57276923076923081</v>
      </c>
      <c r="P93" s="22" t="s">
        <v>5913</v>
      </c>
      <c r="Q93" s="22" t="s">
        <v>5913</v>
      </c>
      <c r="R93" s="17" t="e">
        <f t="shared" ca="1" si="6"/>
        <v>#VALUE!</v>
      </c>
      <c r="S93" s="221">
        <f t="shared" ca="1" si="7"/>
        <v>-478.15</v>
      </c>
      <c r="T93" s="132">
        <f t="shared" ca="1" si="8"/>
        <v>-1.4712307692307691</v>
      </c>
      <c r="U93" s="17" t="e">
        <f t="shared" ca="1" si="9"/>
        <v>#VALUE!</v>
      </c>
      <c r="W93" s="22"/>
      <c r="X93" s="224">
        <f t="shared" ca="1" si="10"/>
        <v>887.55</v>
      </c>
      <c r="Y93" s="17">
        <v>887.55</v>
      </c>
      <c r="Z93" s="225">
        <f t="shared" ca="1" si="11"/>
        <v>-0.84355810940228715</v>
      </c>
      <c r="AA93" s="57">
        <f t="shared" ca="1" si="12"/>
        <v>-9.5043446499046497E-4</v>
      </c>
      <c r="AB93" s="17">
        <f t="shared" ca="1" si="13"/>
        <v>-748.69999999999993</v>
      </c>
      <c r="AE93" s="17">
        <v>887.55</v>
      </c>
    </row>
    <row r="94" spans="1:31" ht="15.75" customHeight="1">
      <c r="A94" s="17" t="s">
        <v>408</v>
      </c>
      <c r="B94" s="17" t="s">
        <v>6145</v>
      </c>
      <c r="C94" s="226">
        <v>45139</v>
      </c>
      <c r="D94" s="203" t="s">
        <v>6146</v>
      </c>
      <c r="E94" s="31" t="s">
        <v>6147</v>
      </c>
      <c r="F94" s="17">
        <v>3898</v>
      </c>
      <c r="G94" s="17">
        <v>45</v>
      </c>
      <c r="H94" s="220">
        <f ca="1">IFERROR(__xludf.DUMMYFUNCTION("index(sortn(GoogleFinance(D94,""high"",C94, TODAY(),""DAILY""),2,1,2,0),2,2)"),7220.95)</f>
        <v>7220.95</v>
      </c>
      <c r="I94" s="132">
        <f t="shared" ca="1" si="0"/>
        <v>0.85247562852744996</v>
      </c>
      <c r="J94" s="132">
        <f t="shared" ca="1" si="1"/>
        <v>0.65247562852745</v>
      </c>
      <c r="K94" s="221">
        <f t="shared" ca="1" si="2"/>
        <v>6441.35</v>
      </c>
      <c r="L94" s="132">
        <f t="shared" ca="1" si="3"/>
        <v>0.35967162647511547</v>
      </c>
      <c r="M94" s="20">
        <f ca="1">IFERROR(__xludf.DUMMYFUNCTION("GOOGLEFINANCE(""NSE:astrazen"",""price"")"),5300)</f>
        <v>5300</v>
      </c>
      <c r="N94" s="222">
        <f t="shared" ca="1" si="4"/>
        <v>63090</v>
      </c>
      <c r="O94" s="223">
        <f t="shared" ca="1" si="5"/>
        <v>0.35967162647511547</v>
      </c>
      <c r="P94" s="22">
        <v>3743</v>
      </c>
      <c r="Q94" s="22" t="s">
        <v>5913</v>
      </c>
      <c r="R94" s="17">
        <f t="shared" ca="1" si="6"/>
        <v>1557</v>
      </c>
      <c r="S94" s="221">
        <f t="shared" ca="1" si="7"/>
        <v>-1141.3500000000004</v>
      </c>
      <c r="T94" s="132">
        <f t="shared" ca="1" si="8"/>
        <v>-0.29280400205233464</v>
      </c>
      <c r="U94" s="17" t="e">
        <f t="shared" ca="1" si="9"/>
        <v>#VALUE!</v>
      </c>
      <c r="W94" s="22"/>
      <c r="X94" s="224"/>
      <c r="Y94" s="17">
        <v>3818.1</v>
      </c>
      <c r="Z94" s="225">
        <f t="shared" ca="1" si="11"/>
        <v>0.38812498363060166</v>
      </c>
      <c r="AA94" s="57">
        <f t="shared" ca="1" si="12"/>
        <v>1.0165395972619933E-4</v>
      </c>
      <c r="AB94" s="17">
        <f t="shared" ca="1" si="13"/>
        <v>1481.9</v>
      </c>
    </row>
    <row r="95" spans="1:31" ht="15.75" customHeight="1">
      <c r="A95" s="9" t="s">
        <v>6148</v>
      </c>
      <c r="B95" s="17" t="s">
        <v>6145</v>
      </c>
      <c r="C95" s="226">
        <v>45139</v>
      </c>
      <c r="D95" s="203" t="s">
        <v>2242</v>
      </c>
      <c r="E95" s="31" t="s">
        <v>6149</v>
      </c>
      <c r="F95" s="17">
        <v>14100</v>
      </c>
      <c r="G95" s="17">
        <v>20</v>
      </c>
      <c r="H95" s="220">
        <f ca="1">IFERROR(__xludf.DUMMYFUNCTION("index(sortn(GoogleFinance(D95,""high"",C95, TODAY(),""DAILY""),2,1,2,0),2,2)"),17794.15)</f>
        <v>17794.150000000001</v>
      </c>
      <c r="I95" s="132">
        <f t="shared" ca="1" si="0"/>
        <v>0.2619964539007093</v>
      </c>
      <c r="J95" s="132">
        <f t="shared" ca="1" si="1"/>
        <v>0.1619964539007093</v>
      </c>
      <c r="K95" s="221">
        <f t="shared" ca="1" si="2"/>
        <v>16384.150000000001</v>
      </c>
      <c r="L95" s="132">
        <f t="shared" ca="1" si="3"/>
        <v>0.20673758865248226</v>
      </c>
      <c r="M95" s="20">
        <f ca="1">IFERROR(__xludf.DUMMYFUNCTION("GOOGLEFINANCE(""NSE:LAXMIMACH"",""price"")"),17015)</f>
        <v>17015</v>
      </c>
      <c r="N95" s="222">
        <f t="shared" ca="1" si="4"/>
        <v>58300</v>
      </c>
      <c r="O95" s="223">
        <f t="shared" ca="1" si="5"/>
        <v>0.20673758865248226</v>
      </c>
      <c r="P95" s="22">
        <v>13300</v>
      </c>
      <c r="Q95" s="22" t="s">
        <v>5913</v>
      </c>
      <c r="R95" s="17">
        <f t="shared" ca="1" si="6"/>
        <v>3715</v>
      </c>
      <c r="S95" s="221">
        <f t="shared" ca="1" si="7"/>
        <v>630.84999999999854</v>
      </c>
      <c r="T95" s="132">
        <f t="shared" ca="1" si="8"/>
        <v>4.4741134751772944E-2</v>
      </c>
      <c r="U95" s="17" t="e">
        <f t="shared" ca="1" si="9"/>
        <v>#VALUE!</v>
      </c>
      <c r="W95" s="22"/>
      <c r="X95" s="224"/>
      <c r="Y95" s="17">
        <v>13450.5</v>
      </c>
      <c r="Z95" s="225">
        <f t="shared" ca="1" si="11"/>
        <v>0.26500873573473105</v>
      </c>
      <c r="AA95" s="57">
        <f t="shared" ca="1" si="12"/>
        <v>1.970251929182789E-5</v>
      </c>
      <c r="AB95" s="17">
        <f t="shared" ca="1" si="13"/>
        <v>3564.5</v>
      </c>
    </row>
    <row r="96" spans="1:31" ht="15.75" customHeight="1">
      <c r="A96" s="9" t="s">
        <v>6150</v>
      </c>
      <c r="B96" s="17" t="s">
        <v>6145</v>
      </c>
      <c r="C96" s="226">
        <v>45139</v>
      </c>
      <c r="D96" s="203" t="s">
        <v>6151</v>
      </c>
      <c r="E96" s="31" t="s">
        <v>6152</v>
      </c>
      <c r="F96" s="17">
        <v>420</v>
      </c>
      <c r="G96" s="17">
        <v>500</v>
      </c>
      <c r="H96" s="220">
        <f ca="1">IFERROR(__xludf.DUMMYFUNCTION("index(sortn(GoogleFinance(D96,""high"",C96, TODAY(),""DAILY""),2,1,2,0),2,2)"),640.85)</f>
        <v>640.85</v>
      </c>
      <c r="I96" s="132">
        <f t="shared" ca="1" si="0"/>
        <v>0.52583333333333337</v>
      </c>
      <c r="J96" s="132">
        <f t="shared" ca="1" si="1"/>
        <v>0.37583333333333335</v>
      </c>
      <c r="K96" s="221">
        <f t="shared" ca="1" si="2"/>
        <v>577.85</v>
      </c>
      <c r="L96" s="132">
        <f t="shared" ca="1" si="3"/>
        <v>7.9047619047619019E-2</v>
      </c>
      <c r="M96" s="20">
        <f ca="1">IFERROR(__xludf.DUMMYFUNCTION("GOOGLEFINANCE(""NSE:goclcorp"",""price"")"),453.2)</f>
        <v>453.2</v>
      </c>
      <c r="N96" s="222">
        <f t="shared" ca="1" si="4"/>
        <v>16599.999999999993</v>
      </c>
      <c r="O96" s="223">
        <f t="shared" ca="1" si="5"/>
        <v>7.9047619047619019E-2</v>
      </c>
      <c r="P96" s="22" t="s">
        <v>5913</v>
      </c>
      <c r="Q96" s="22" t="s">
        <v>5913</v>
      </c>
      <c r="R96" s="17" t="e">
        <f t="shared" ca="1" si="6"/>
        <v>#VALUE!</v>
      </c>
      <c r="S96" s="221">
        <f t="shared" ca="1" si="7"/>
        <v>-124.65000000000003</v>
      </c>
      <c r="T96" s="132">
        <f t="shared" ca="1" si="8"/>
        <v>-0.29678571428571437</v>
      </c>
      <c r="U96" s="17" t="e">
        <f t="shared" ca="1" si="9"/>
        <v>#VALUE!</v>
      </c>
      <c r="W96" s="22"/>
      <c r="X96" s="224"/>
      <c r="Y96" s="17">
        <v>428.05</v>
      </c>
      <c r="Z96" s="225">
        <f t="shared" ca="1" si="11"/>
        <v>5.8754818362340797E-2</v>
      </c>
      <c r="AA96" s="57">
        <f t="shared" ca="1" si="12"/>
        <v>1.3726157776507603E-4</v>
      </c>
      <c r="AB96" s="17">
        <f t="shared" ca="1" si="13"/>
        <v>25.149999999999977</v>
      </c>
    </row>
    <row r="97" spans="1:28" ht="15.75" customHeight="1">
      <c r="A97" s="9" t="s">
        <v>423</v>
      </c>
      <c r="B97" s="17" t="s">
        <v>6153</v>
      </c>
      <c r="C97" s="226">
        <v>45140</v>
      </c>
      <c r="D97" s="203" t="s">
        <v>6154</v>
      </c>
      <c r="E97" s="31" t="s">
        <v>6155</v>
      </c>
      <c r="F97" s="17">
        <v>69</v>
      </c>
      <c r="G97" s="17">
        <v>4000</v>
      </c>
      <c r="H97" s="220">
        <f ca="1">IFERROR(__xludf.DUMMYFUNCTION("index(sortn(GoogleFinance(D97,""high"",C97, TODAY(),""DAILY""),2,1,2,0),2,2)"),152.5)</f>
        <v>152.5</v>
      </c>
      <c r="I97" s="132">
        <f t="shared" ca="1" si="0"/>
        <v>1.2101449275362319</v>
      </c>
      <c r="J97" s="132">
        <f t="shared" ca="1" si="1"/>
        <v>1.010144927536232</v>
      </c>
      <c r="K97" s="221">
        <f t="shared" ca="1" si="2"/>
        <v>138.70000000000002</v>
      </c>
      <c r="L97" s="132">
        <f t="shared" ca="1" si="3"/>
        <v>0.98840579710144916</v>
      </c>
      <c r="M97" s="20">
        <f ca="1">IFERROR(__xludf.DUMMYFUNCTION("GOOGLEFINANCE(""NSE:J&amp;Kbank"",""price"")"),137.2)</f>
        <v>137.19999999999999</v>
      </c>
      <c r="N97" s="222">
        <f t="shared" ca="1" si="4"/>
        <v>272799.99999999994</v>
      </c>
      <c r="O97" s="223">
        <f t="shared" ca="1" si="5"/>
        <v>0.98840579710144916</v>
      </c>
      <c r="P97" s="22">
        <v>65.8</v>
      </c>
      <c r="Q97" s="22" t="s">
        <v>5913</v>
      </c>
      <c r="R97" s="17">
        <f t="shared" ca="1" si="6"/>
        <v>71.399999999999991</v>
      </c>
      <c r="S97" s="221">
        <f t="shared" ca="1" si="7"/>
        <v>-1.5000000000000284</v>
      </c>
      <c r="T97" s="132">
        <f t="shared" ca="1" si="8"/>
        <v>-2.1739130434783021E-2</v>
      </c>
      <c r="U97" s="17" t="e">
        <f t="shared" ca="1" si="9"/>
        <v>#VALUE!</v>
      </c>
      <c r="W97" s="22"/>
      <c r="X97" s="224"/>
      <c r="Y97" s="17">
        <v>67.2</v>
      </c>
      <c r="Z97" s="225">
        <f t="shared" ca="1" si="11"/>
        <v>1.0416666666666665</v>
      </c>
      <c r="AA97" s="57">
        <f t="shared" ca="1" si="12"/>
        <v>1.550099206349206E-2</v>
      </c>
      <c r="AB97" s="17">
        <f t="shared" ca="1" si="13"/>
        <v>69.999999999999986</v>
      </c>
    </row>
    <row r="98" spans="1:28" ht="15.75" customHeight="1">
      <c r="A98" s="9" t="s">
        <v>6156</v>
      </c>
      <c r="B98" s="17" t="s">
        <v>6153</v>
      </c>
      <c r="C98" s="226">
        <v>45140</v>
      </c>
      <c r="D98" s="203" t="s">
        <v>6157</v>
      </c>
      <c r="E98" s="31" t="s">
        <v>6158</v>
      </c>
      <c r="F98" s="17">
        <v>92</v>
      </c>
      <c r="G98" s="17">
        <v>3500</v>
      </c>
      <c r="H98" s="220">
        <f ca="1">IFERROR(__xludf.DUMMYFUNCTION("index(sortn(GoogleFinance(D98,""high"",C98, TODAY(),""DAILY""),2,1,2,0),2,2)"),144.95)</f>
        <v>144.94999999999999</v>
      </c>
      <c r="I98" s="132">
        <f t="shared" ca="1" si="0"/>
        <v>0.57554347826086949</v>
      </c>
      <c r="J98" s="132">
        <f t="shared" ca="1" si="1"/>
        <v>0.42554347826086947</v>
      </c>
      <c r="K98" s="221">
        <f t="shared" ca="1" si="2"/>
        <v>131.14999999999998</v>
      </c>
      <c r="L98" s="132">
        <f t="shared" ca="1" si="3"/>
        <v>0.30706521739130432</v>
      </c>
      <c r="M98" s="20">
        <f ca="1">IFERROR(__xludf.DUMMYFUNCTION("GOOGLEFINANCE(""NSE:tbz"",""price"")"),120.25)</f>
        <v>120.25</v>
      </c>
      <c r="N98" s="222">
        <f t="shared" ca="1" si="4"/>
        <v>98875</v>
      </c>
      <c r="O98" s="223">
        <f t="shared" ca="1" si="5"/>
        <v>0.30706521739130432</v>
      </c>
      <c r="P98" s="22">
        <v>82</v>
      </c>
      <c r="Q98" s="22" t="s">
        <v>5913</v>
      </c>
      <c r="R98" s="17">
        <f t="shared" ca="1" si="6"/>
        <v>38.25</v>
      </c>
      <c r="S98" s="221">
        <f t="shared" ca="1" si="7"/>
        <v>-10.899999999999977</v>
      </c>
      <c r="T98" s="132">
        <f t="shared" ca="1" si="8"/>
        <v>-0.11847826086956496</v>
      </c>
      <c r="U98" s="17" t="e">
        <f t="shared" ca="1" si="9"/>
        <v>#VALUE!</v>
      </c>
      <c r="W98" s="22"/>
      <c r="X98" s="224"/>
      <c r="Y98" s="17">
        <v>91.7</v>
      </c>
      <c r="Z98" s="225">
        <f t="shared" ca="1" si="11"/>
        <v>0.31134133042529982</v>
      </c>
      <c r="AA98" s="57">
        <f t="shared" ca="1" si="12"/>
        <v>3.3952162532748073E-3</v>
      </c>
      <c r="AB98" s="17">
        <f t="shared" ca="1" si="13"/>
        <v>28.549999999999997</v>
      </c>
    </row>
    <row r="99" spans="1:28" ht="15.75" customHeight="1">
      <c r="A99" s="9" t="s">
        <v>6159</v>
      </c>
      <c r="B99" s="17" t="s">
        <v>6153</v>
      </c>
      <c r="C99" s="226">
        <v>45140</v>
      </c>
      <c r="D99" s="203" t="s">
        <v>6160</v>
      </c>
      <c r="E99" s="31" t="s">
        <v>6161</v>
      </c>
      <c r="F99" s="17">
        <v>353</v>
      </c>
      <c r="G99" s="17">
        <v>1000</v>
      </c>
      <c r="H99" s="220">
        <f ca="1">IFERROR(__xludf.DUMMYFUNCTION("index(sortn(GoogleFinance(D99,""high"",C99, TODAY(),""DAILY""),2,1,2,0),2,2)"),480)</f>
        <v>480</v>
      </c>
      <c r="I99" s="132">
        <f t="shared" ca="1" si="0"/>
        <v>0.35977337110481589</v>
      </c>
      <c r="J99" s="132">
        <f t="shared" ca="1" si="1"/>
        <v>0.25977337110481591</v>
      </c>
      <c r="K99" s="221">
        <f t="shared" ca="1" si="2"/>
        <v>444.7</v>
      </c>
      <c r="L99" s="132">
        <f t="shared" ca="1" si="3"/>
        <v>0.26062322946175637</v>
      </c>
      <c r="M99" s="20">
        <f ca="1">IFERROR(__xludf.DUMMYFUNCTION("GOOGLEFINANCE(""NSE:pncinfra"",""price"")"),445)</f>
        <v>445</v>
      </c>
      <c r="N99" s="222">
        <f t="shared" ca="1" si="4"/>
        <v>92000</v>
      </c>
      <c r="O99" s="223">
        <f t="shared" ca="1" si="5"/>
        <v>0.26062322946175637</v>
      </c>
      <c r="P99" s="22">
        <v>341</v>
      </c>
      <c r="Q99" s="22" t="s">
        <v>5913</v>
      </c>
      <c r="R99" s="17">
        <f t="shared" ca="1" si="6"/>
        <v>104</v>
      </c>
      <c r="S99" s="221">
        <f t="shared" ca="1" si="7"/>
        <v>0.30000000000001137</v>
      </c>
      <c r="T99" s="132">
        <f t="shared" ca="1" si="8"/>
        <v>8.4985835694054211E-4</v>
      </c>
      <c r="U99" s="17" t="e">
        <f t="shared" ca="1" si="9"/>
        <v>#VALUE!</v>
      </c>
      <c r="W99" s="22"/>
      <c r="X99" s="224"/>
      <c r="Y99" s="17">
        <v>344.95</v>
      </c>
      <c r="Z99" s="225">
        <f t="shared" ca="1" si="11"/>
        <v>0.2900420350775475</v>
      </c>
      <c r="AA99" s="57">
        <f t="shared" ca="1" si="12"/>
        <v>8.4082340941454565E-4</v>
      </c>
      <c r="AB99" s="17">
        <f t="shared" ca="1" si="13"/>
        <v>100.05000000000001</v>
      </c>
    </row>
    <row r="100" spans="1:28" ht="15.75" customHeight="1">
      <c r="A100" s="9" t="s">
        <v>6162</v>
      </c>
      <c r="B100" s="17" t="s">
        <v>6153</v>
      </c>
      <c r="C100" s="226">
        <v>45140</v>
      </c>
      <c r="D100" s="203" t="s">
        <v>6163</v>
      </c>
      <c r="E100" s="31" t="s">
        <v>6162</v>
      </c>
      <c r="F100" s="17">
        <v>159</v>
      </c>
      <c r="G100" s="17">
        <v>2000</v>
      </c>
      <c r="H100" s="220">
        <f ca="1">IFERROR(__xludf.DUMMYFUNCTION("index(sortn(GoogleFinance(D100,""high"",C100, TODAY(),""DAILY""),2,1,2,0),2,2)"),343.5)</f>
        <v>343.5</v>
      </c>
      <c r="I100" s="132">
        <f t="shared" ca="1" si="0"/>
        <v>1.1603773584905661</v>
      </c>
      <c r="J100" s="132">
        <f t="shared" ca="1" si="1"/>
        <v>0.96037735849056616</v>
      </c>
      <c r="K100" s="221">
        <f t="shared" ca="1" si="2"/>
        <v>311.70000000000005</v>
      </c>
      <c r="L100" s="132">
        <f t="shared" ca="1" si="3"/>
        <v>0.72295597484276719</v>
      </c>
      <c r="M100" s="20">
        <f ca="1">IFERROR(__xludf.DUMMYFUNCTION("GOOGLEFINANCE(""NSE:pcbl"",""price"")"),273.95)</f>
        <v>273.95</v>
      </c>
      <c r="N100" s="222">
        <f t="shared" ca="1" si="4"/>
        <v>229899.99999999997</v>
      </c>
      <c r="O100" s="223">
        <f t="shared" ca="1" si="5"/>
        <v>0.72295597484276719</v>
      </c>
      <c r="P100" s="22">
        <v>151</v>
      </c>
      <c r="Q100" s="22" t="s">
        <v>5913</v>
      </c>
      <c r="R100" s="17">
        <f t="shared" ca="1" si="6"/>
        <v>122.94999999999999</v>
      </c>
      <c r="S100" s="221">
        <f t="shared" ca="1" si="7"/>
        <v>-37.750000000000057</v>
      </c>
      <c r="T100" s="132">
        <f t="shared" ca="1" si="8"/>
        <v>-0.23742138364779911</v>
      </c>
      <c r="U100" s="17" t="e">
        <f t="shared" ca="1" si="9"/>
        <v>#VALUE!</v>
      </c>
      <c r="W100" s="22"/>
      <c r="X100" s="224"/>
      <c r="Y100" s="17">
        <v>154.65</v>
      </c>
      <c r="Z100" s="225">
        <f t="shared" ca="1" si="11"/>
        <v>0.77141933397995455</v>
      </c>
      <c r="AA100" s="57">
        <f t="shared" ca="1" si="12"/>
        <v>4.9881625216938539E-3</v>
      </c>
      <c r="AB100" s="17">
        <f t="shared" ca="1" si="13"/>
        <v>119.29999999999998</v>
      </c>
    </row>
    <row r="101" spans="1:28" ht="15.75" customHeight="1">
      <c r="A101" s="17" t="s">
        <v>6137</v>
      </c>
      <c r="B101" s="18">
        <v>45127</v>
      </c>
      <c r="C101" s="226">
        <v>45127</v>
      </c>
      <c r="D101" s="203" t="s">
        <v>3702</v>
      </c>
      <c r="E101" s="31" t="s">
        <v>1069</v>
      </c>
      <c r="F101" s="17">
        <v>1950</v>
      </c>
      <c r="G101" s="17">
        <v>200</v>
      </c>
      <c r="H101" s="220">
        <f ca="1">IFERROR(__xludf.DUMMYFUNCTION("index(sortn(GoogleFinance(D101,""high"",C101, TODAY(),""DAILY""),2,1,2,0),2,2)"),2898.7)</f>
        <v>2898.7</v>
      </c>
      <c r="I101" s="132">
        <f t="shared" ca="1" si="0"/>
        <v>0.48651282051282041</v>
      </c>
      <c r="J101" s="132">
        <f t="shared" ca="1" si="1"/>
        <v>0.35651282051282041</v>
      </c>
      <c r="K101" s="221">
        <f t="shared" ca="1" si="2"/>
        <v>2645.1999999999994</v>
      </c>
      <c r="L101" s="132">
        <f t="shared" ca="1" si="3"/>
        <v>0.29487179487179488</v>
      </c>
      <c r="M101" s="20">
        <f ca="1">IFERROR(__xludf.DUMMYFUNCTION("GOOGLEFINANCE(""NSE:VINDHYATEL"",""price"")"),2525)</f>
        <v>2525</v>
      </c>
      <c r="N101" s="222">
        <f t="shared" ca="1" si="4"/>
        <v>115000</v>
      </c>
      <c r="O101" s="223">
        <f t="shared" ca="1" si="5"/>
        <v>0.29487179487179488</v>
      </c>
      <c r="P101" s="22">
        <v>1900</v>
      </c>
      <c r="Q101" s="22" t="s">
        <v>5913</v>
      </c>
      <c r="R101" s="17">
        <f t="shared" ca="1" si="6"/>
        <v>625</v>
      </c>
      <c r="S101" s="221">
        <f t="shared" ca="1" si="7"/>
        <v>-120.19999999999936</v>
      </c>
      <c r="T101" s="132">
        <f t="shared" ca="1" si="8"/>
        <v>-6.1641025641025311E-2</v>
      </c>
      <c r="U101" s="17" t="e">
        <f t="shared" ca="1" si="9"/>
        <v>#VALUE!</v>
      </c>
      <c r="W101" s="22"/>
      <c r="X101" s="224"/>
      <c r="Y101" s="17">
        <v>2019.25</v>
      </c>
      <c r="Z101" s="225">
        <f t="shared" ca="1" si="11"/>
        <v>0.2504642812925591</v>
      </c>
      <c r="AA101" s="57">
        <f t="shared" ca="1" si="12"/>
        <v>1.2403827227562664E-4</v>
      </c>
      <c r="AB101" s="17">
        <f t="shared" ca="1" si="13"/>
        <v>505.75</v>
      </c>
    </row>
    <row r="102" spans="1:28" ht="15.75" customHeight="1">
      <c r="A102" s="9" t="s">
        <v>330</v>
      </c>
      <c r="B102" s="17" t="s">
        <v>303</v>
      </c>
      <c r="C102" s="226">
        <v>45090</v>
      </c>
      <c r="D102" s="203" t="s">
        <v>6164</v>
      </c>
      <c r="E102" s="31" t="s">
        <v>6165</v>
      </c>
      <c r="F102" s="17">
        <v>187</v>
      </c>
      <c r="G102" s="17">
        <v>1000</v>
      </c>
      <c r="H102" s="220">
        <f ca="1">IFERROR(__xludf.DUMMYFUNCTION("index(sortn(GoogleFinance(D102,""high"",C102, TODAY(),""DAILY""),2,1,2,0),2,2)"),401.55)</f>
        <v>401.55</v>
      </c>
      <c r="I102" s="132">
        <f t="shared" ca="1" si="0"/>
        <v>1.1473262032085563</v>
      </c>
      <c r="J102" s="132">
        <f t="shared" ca="1" si="1"/>
        <v>0.94732620320855632</v>
      </c>
      <c r="K102" s="221">
        <f t="shared" ca="1" si="2"/>
        <v>364.15000000000003</v>
      </c>
      <c r="L102" s="132">
        <f t="shared" ca="1" si="3"/>
        <v>0.70053475935828879</v>
      </c>
      <c r="M102" s="20">
        <f ca="1">IFERROR(__xludf.DUMMYFUNCTION("GOOGLEFINANCE(""NSE:nrbbearing"",""price"")"),318)</f>
        <v>318</v>
      </c>
      <c r="N102" s="222">
        <f t="shared" ca="1" si="4"/>
        <v>131000</v>
      </c>
      <c r="O102" s="223">
        <f t="shared" ca="1" si="5"/>
        <v>0.70053475935828879</v>
      </c>
      <c r="P102" s="22">
        <v>244</v>
      </c>
      <c r="Q102" s="22" t="s">
        <v>5913</v>
      </c>
      <c r="R102" s="17">
        <f t="shared" ca="1" si="6"/>
        <v>74</v>
      </c>
      <c r="S102" s="221">
        <f t="shared" ca="1" si="7"/>
        <v>-46.150000000000034</v>
      </c>
      <c r="T102" s="132">
        <f t="shared" ca="1" si="8"/>
        <v>-0.24679144385026755</v>
      </c>
      <c r="U102" s="17" t="e">
        <f t="shared" ca="1" si="9"/>
        <v>#VALUE!</v>
      </c>
      <c r="W102" s="22"/>
      <c r="X102" s="224"/>
      <c r="Y102" s="17">
        <v>260.7</v>
      </c>
      <c r="Z102" s="225">
        <f t="shared" ca="1" si="11"/>
        <v>0.21979286536248566</v>
      </c>
      <c r="AA102" s="57">
        <f t="shared" ca="1" si="12"/>
        <v>8.4308732398345092E-4</v>
      </c>
      <c r="AB102" s="17">
        <f t="shared" ca="1" si="13"/>
        <v>57.300000000000011</v>
      </c>
    </row>
    <row r="103" spans="1:28" ht="15.75" customHeight="1">
      <c r="A103" s="9" t="s">
        <v>6166</v>
      </c>
      <c r="C103" s="17"/>
      <c r="D103" s="203" t="s">
        <v>6167</v>
      </c>
      <c r="E103" s="31" t="s">
        <v>6168</v>
      </c>
      <c r="F103" s="17">
        <v>86</v>
      </c>
      <c r="G103" s="17">
        <v>4000</v>
      </c>
      <c r="H103" s="220">
        <f ca="1">IFERROR(__xludf.DUMMYFUNCTION("index(sortn(GoogleFinance(D103,""high"",C103, TODAY(),""DAILY""),2,1,2,0),2,2)"),163)</f>
        <v>163</v>
      </c>
      <c r="I103" s="132">
        <f t="shared" ca="1" si="0"/>
        <v>0.89534883720930236</v>
      </c>
      <c r="J103" s="132">
        <f t="shared" ca="1" si="1"/>
        <v>0.69534883720930241</v>
      </c>
      <c r="K103" s="221">
        <f t="shared" ca="1" si="2"/>
        <v>145.80000000000001</v>
      </c>
      <c r="L103" s="132">
        <f t="shared" ca="1" si="3"/>
        <v>0.77848837209302313</v>
      </c>
      <c r="M103" s="20">
        <f ca="1">IFERROR(__xludf.DUMMYFUNCTION("GOOGLEFINANCE(""NSE:maanalu"",""price"")"),152.95)</f>
        <v>152.94999999999999</v>
      </c>
      <c r="N103" s="222">
        <f t="shared" ca="1" si="4"/>
        <v>267799.99999999994</v>
      </c>
      <c r="O103" s="223">
        <f t="shared" ca="1" si="5"/>
        <v>0.77848837209302313</v>
      </c>
      <c r="P103" s="22">
        <v>86</v>
      </c>
      <c r="Q103" s="22" t="s">
        <v>5913</v>
      </c>
      <c r="R103" s="46">
        <f t="shared" ca="1" si="6"/>
        <v>66.949999999999989</v>
      </c>
      <c r="S103" s="221">
        <f t="shared" ca="1" si="7"/>
        <v>7.1499999999999773</v>
      </c>
      <c r="T103" s="132">
        <f t="shared" ca="1" si="8"/>
        <v>8.3139534883720667E-2</v>
      </c>
      <c r="U103" s="22" t="e">
        <f t="shared" ca="1" si="9"/>
        <v>#VALUE!</v>
      </c>
      <c r="W103" s="22"/>
      <c r="X103" s="224"/>
      <c r="Y103" s="17">
        <v>87.05</v>
      </c>
      <c r="Z103" s="225">
        <f t="shared" ca="1" si="11"/>
        <v>0.7570361860999425</v>
      </c>
      <c r="AA103" s="57">
        <f t="shared" ca="1" si="12"/>
        <v>8.6965673302693003E-3</v>
      </c>
      <c r="AB103" s="17">
        <f t="shared" ca="1" si="13"/>
        <v>65.899999999999991</v>
      </c>
    </row>
    <row r="104" spans="1:28" ht="15.75" customHeight="1">
      <c r="A104" s="9"/>
      <c r="D104" s="203"/>
      <c r="E104" s="31"/>
      <c r="I104" s="132"/>
      <c r="J104" s="132"/>
      <c r="K104" s="221"/>
      <c r="L104" s="132"/>
      <c r="N104" s="10"/>
      <c r="O104" s="223"/>
      <c r="P104" s="22"/>
      <c r="Q104" s="22"/>
      <c r="T104" s="132"/>
      <c r="W104" s="22"/>
      <c r="X104" s="224"/>
      <c r="Z104" s="50"/>
      <c r="AA104" s="57"/>
    </row>
    <row r="105" spans="1:28" ht="15.75" customHeight="1">
      <c r="A105" s="9"/>
      <c r="D105" s="203"/>
      <c r="E105" s="31"/>
      <c r="I105" s="132"/>
      <c r="J105" s="132"/>
      <c r="K105" s="221"/>
      <c r="L105" s="132"/>
      <c r="N105" s="10"/>
      <c r="O105" s="223"/>
      <c r="P105" s="22"/>
      <c r="Q105" s="22"/>
      <c r="T105" s="132"/>
      <c r="W105" s="22"/>
      <c r="X105" s="224"/>
      <c r="Z105" s="50"/>
      <c r="AA105" s="57"/>
    </row>
    <row r="106" spans="1:28" ht="15.75" customHeight="1">
      <c r="A106" s="9"/>
      <c r="D106" s="203"/>
      <c r="E106" s="31"/>
      <c r="I106" s="132"/>
      <c r="J106" s="132"/>
      <c r="K106" s="221"/>
      <c r="L106" s="132"/>
      <c r="N106" s="10"/>
      <c r="O106" s="223"/>
      <c r="P106" s="22"/>
      <c r="Q106" s="22"/>
      <c r="T106" s="132"/>
      <c r="W106" s="22"/>
      <c r="X106" s="224"/>
      <c r="Z106" s="50"/>
      <c r="AA106" s="57"/>
    </row>
    <row r="107" spans="1:28" ht="15.75" customHeight="1">
      <c r="A107" s="9"/>
      <c r="D107" s="203"/>
      <c r="E107" s="31"/>
      <c r="I107" s="132"/>
      <c r="J107" s="132"/>
      <c r="K107" s="221"/>
      <c r="L107" s="132"/>
      <c r="N107" s="10"/>
      <c r="O107" s="223"/>
      <c r="P107" s="22"/>
      <c r="Q107" s="22"/>
      <c r="T107" s="132"/>
      <c r="W107" s="22"/>
      <c r="X107" s="224"/>
      <c r="Z107" s="50"/>
      <c r="AA107" s="57"/>
    </row>
    <row r="108" spans="1:28" ht="15.75" customHeight="1">
      <c r="A108" s="9"/>
      <c r="D108" s="203"/>
      <c r="E108" s="31"/>
      <c r="I108" s="132"/>
      <c r="J108" s="132"/>
      <c r="K108" s="221"/>
      <c r="L108" s="132"/>
      <c r="N108" s="10"/>
      <c r="O108" s="223"/>
      <c r="P108" s="22"/>
      <c r="Q108" s="22"/>
      <c r="T108" s="132"/>
      <c r="W108" s="22"/>
      <c r="X108" s="224"/>
      <c r="Z108" s="50"/>
      <c r="AA108" s="57"/>
    </row>
    <row r="109" spans="1:28" ht="15.75" customHeight="1">
      <c r="A109" s="9"/>
      <c r="D109" s="203"/>
      <c r="E109" s="31"/>
      <c r="I109" s="132"/>
      <c r="J109" s="132"/>
      <c r="K109" s="221"/>
      <c r="L109" s="132"/>
      <c r="N109" s="10"/>
      <c r="O109" s="223"/>
      <c r="P109" s="22"/>
      <c r="Q109" s="22"/>
      <c r="T109" s="132"/>
      <c r="W109" s="22"/>
      <c r="X109" s="224"/>
      <c r="Z109" s="50"/>
      <c r="AA109" s="57"/>
    </row>
    <row r="110" spans="1:28" ht="15.75" customHeight="1">
      <c r="A110" s="9"/>
      <c r="D110" s="203"/>
      <c r="E110" s="31"/>
      <c r="I110" s="132"/>
      <c r="J110" s="132"/>
      <c r="K110" s="221"/>
      <c r="L110" s="132"/>
      <c r="N110" s="10"/>
      <c r="O110" s="223"/>
      <c r="P110" s="22"/>
      <c r="Q110" s="22"/>
      <c r="T110" s="132"/>
      <c r="W110" s="22"/>
      <c r="X110" s="224"/>
      <c r="Z110" s="50"/>
      <c r="AA110" s="57"/>
    </row>
    <row r="111" spans="1:28" ht="15.75" customHeight="1">
      <c r="A111" s="9"/>
      <c r="D111" s="203"/>
      <c r="E111" s="31"/>
      <c r="I111" s="132"/>
      <c r="J111" s="132"/>
      <c r="K111" s="221"/>
      <c r="L111" s="132"/>
      <c r="N111" s="10"/>
      <c r="O111" s="223"/>
      <c r="P111" s="22"/>
      <c r="Q111" s="22"/>
      <c r="T111" s="132"/>
      <c r="W111" s="22"/>
      <c r="X111" s="224"/>
      <c r="Z111" s="50"/>
      <c r="AA111" s="57"/>
    </row>
    <row r="112" spans="1:28" ht="15.75" customHeight="1">
      <c r="A112" s="9"/>
      <c r="D112" s="203"/>
      <c r="E112" s="31"/>
      <c r="I112" s="132"/>
      <c r="J112" s="132"/>
      <c r="K112" s="221"/>
      <c r="L112" s="132"/>
      <c r="N112" s="10"/>
      <c r="O112" s="223"/>
      <c r="P112" s="22"/>
      <c r="Q112" s="22"/>
      <c r="T112" s="132"/>
      <c r="W112" s="22"/>
      <c r="X112" s="224"/>
      <c r="Z112" s="50"/>
      <c r="AA112" s="57"/>
    </row>
    <row r="113" spans="1:27" ht="15.75" customHeight="1">
      <c r="A113" s="9"/>
      <c r="D113" s="203"/>
      <c r="E113" s="31"/>
      <c r="I113" s="132"/>
      <c r="J113" s="132"/>
      <c r="K113" s="221"/>
      <c r="L113" s="132"/>
      <c r="N113" s="10"/>
      <c r="O113" s="223"/>
      <c r="P113" s="22"/>
      <c r="Q113" s="22"/>
      <c r="T113" s="132"/>
      <c r="W113" s="22"/>
      <c r="X113" s="224"/>
      <c r="Z113" s="50"/>
      <c r="AA113" s="57"/>
    </row>
    <row r="114" spans="1:27" ht="15.75" customHeight="1">
      <c r="A114" s="9"/>
      <c r="D114" s="203"/>
      <c r="E114" s="31"/>
      <c r="I114" s="132"/>
      <c r="J114" s="132"/>
      <c r="K114" s="221"/>
      <c r="L114" s="132"/>
      <c r="N114" s="10"/>
      <c r="O114" s="223"/>
      <c r="P114" s="22"/>
      <c r="Q114" s="22"/>
      <c r="T114" s="132"/>
      <c r="W114" s="22"/>
      <c r="X114" s="224"/>
      <c r="Z114" s="50"/>
      <c r="AA114" s="57"/>
    </row>
    <row r="115" spans="1:27" ht="15.75" customHeight="1">
      <c r="A115" s="9"/>
      <c r="D115" s="203"/>
      <c r="E115" s="31"/>
      <c r="I115" s="132"/>
      <c r="J115" s="132"/>
      <c r="K115" s="221"/>
      <c r="L115" s="132"/>
      <c r="N115" s="10"/>
      <c r="O115" s="223"/>
      <c r="P115" s="22"/>
      <c r="Q115" s="22"/>
      <c r="T115" s="132"/>
      <c r="W115" s="22"/>
      <c r="X115" s="224"/>
      <c r="Z115" s="50"/>
      <c r="AA115" s="57"/>
    </row>
    <row r="116" spans="1:27" ht="15.75" customHeight="1">
      <c r="A116" s="9"/>
      <c r="D116" s="203"/>
      <c r="E116" s="31"/>
      <c r="I116" s="132"/>
      <c r="J116" s="132"/>
      <c r="K116" s="221"/>
      <c r="L116" s="132"/>
      <c r="N116" s="10"/>
      <c r="O116" s="223"/>
      <c r="P116" s="22"/>
      <c r="Q116" s="22"/>
      <c r="T116" s="132"/>
      <c r="W116" s="22"/>
      <c r="X116" s="224"/>
      <c r="Z116" s="50"/>
      <c r="AA116" s="57"/>
    </row>
    <row r="117" spans="1:27" ht="15.75" customHeight="1">
      <c r="A117" s="9"/>
      <c r="D117" s="203"/>
      <c r="E117" s="31"/>
      <c r="I117" s="132"/>
      <c r="J117" s="132"/>
      <c r="K117" s="221"/>
      <c r="L117" s="132"/>
      <c r="N117" s="10"/>
      <c r="O117" s="223"/>
      <c r="P117" s="22"/>
      <c r="Q117" s="22"/>
      <c r="T117" s="132"/>
      <c r="W117" s="22"/>
      <c r="X117" s="224"/>
      <c r="Z117" s="50"/>
      <c r="AA117" s="57"/>
    </row>
    <row r="118" spans="1:27" ht="15.75" customHeight="1">
      <c r="A118" s="9"/>
      <c r="D118" s="203"/>
      <c r="E118" s="31"/>
      <c r="I118" s="132"/>
      <c r="J118" s="132"/>
      <c r="K118" s="221"/>
      <c r="L118" s="132"/>
      <c r="N118" s="10"/>
      <c r="O118" s="223"/>
      <c r="P118" s="22"/>
      <c r="Q118" s="22"/>
      <c r="T118" s="132"/>
      <c r="W118" s="22"/>
      <c r="X118" s="224"/>
      <c r="Z118" s="50"/>
      <c r="AA118" s="57"/>
    </row>
    <row r="119" spans="1:27" ht="15.75" customHeight="1">
      <c r="A119" s="9"/>
      <c r="D119" s="203"/>
      <c r="E119" s="31"/>
      <c r="I119" s="132"/>
      <c r="J119" s="132"/>
      <c r="K119" s="221"/>
      <c r="L119" s="132"/>
      <c r="N119" s="10"/>
      <c r="O119" s="223"/>
      <c r="P119" s="22"/>
      <c r="Q119" s="22"/>
      <c r="T119" s="132"/>
      <c r="W119" s="22"/>
      <c r="X119" s="224"/>
      <c r="Z119" s="50"/>
      <c r="AA119" s="57"/>
    </row>
    <row r="120" spans="1:27" ht="15.75" customHeight="1">
      <c r="A120" s="9"/>
      <c r="D120" s="203"/>
      <c r="E120" s="31"/>
      <c r="I120" s="132"/>
      <c r="J120" s="132"/>
      <c r="K120" s="221"/>
      <c r="L120" s="132"/>
      <c r="N120" s="10"/>
      <c r="O120" s="223"/>
      <c r="P120" s="22"/>
      <c r="Q120" s="22"/>
      <c r="T120" s="132"/>
      <c r="W120" s="22"/>
      <c r="X120" s="224"/>
      <c r="Z120" s="50"/>
      <c r="AA120" s="57"/>
    </row>
    <row r="121" spans="1:27" ht="15.75" customHeight="1">
      <c r="A121" s="9"/>
      <c r="D121" s="203"/>
      <c r="E121" s="31"/>
      <c r="I121" s="132"/>
      <c r="J121" s="132"/>
      <c r="K121" s="221"/>
      <c r="L121" s="132"/>
      <c r="N121" s="10"/>
      <c r="O121" s="223"/>
      <c r="P121" s="22"/>
      <c r="Q121" s="22"/>
      <c r="T121" s="132"/>
      <c r="W121" s="22"/>
      <c r="X121" s="224"/>
      <c r="Z121" s="50"/>
      <c r="AA121" s="57"/>
    </row>
    <row r="122" spans="1:27" ht="15.75" customHeight="1">
      <c r="A122" s="9"/>
      <c r="D122" s="203"/>
      <c r="E122" s="31"/>
      <c r="I122" s="132"/>
      <c r="J122" s="132"/>
      <c r="K122" s="221"/>
      <c r="L122" s="132"/>
      <c r="N122" s="10"/>
      <c r="O122" s="223"/>
      <c r="P122" s="22"/>
      <c r="Q122" s="22"/>
      <c r="T122" s="132"/>
      <c r="W122" s="22"/>
      <c r="X122" s="224"/>
      <c r="Z122" s="50"/>
      <c r="AA122" s="57"/>
    </row>
    <row r="123" spans="1:27" ht="15.75" customHeight="1">
      <c r="A123" s="9"/>
      <c r="D123" s="203"/>
      <c r="E123" s="31"/>
      <c r="I123" s="132"/>
      <c r="J123" s="132"/>
      <c r="K123" s="221"/>
      <c r="L123" s="132"/>
      <c r="N123" s="10"/>
      <c r="O123" s="223"/>
      <c r="P123" s="22"/>
      <c r="Q123" s="22"/>
      <c r="T123" s="132"/>
      <c r="W123" s="22"/>
      <c r="X123" s="224"/>
      <c r="Z123" s="50"/>
      <c r="AA123" s="57"/>
    </row>
    <row r="124" spans="1:27" ht="15.75" customHeight="1">
      <c r="A124" s="9"/>
      <c r="D124" s="203"/>
      <c r="E124" s="31"/>
      <c r="I124" s="132"/>
      <c r="J124" s="132"/>
      <c r="K124" s="221"/>
      <c r="L124" s="132"/>
      <c r="N124" s="10"/>
      <c r="O124" s="223"/>
      <c r="P124" s="22"/>
      <c r="Q124" s="22"/>
      <c r="T124" s="132"/>
      <c r="W124" s="22"/>
      <c r="X124" s="224"/>
      <c r="Z124" s="50"/>
      <c r="AA124" s="57"/>
    </row>
    <row r="125" spans="1:27" ht="15.75" customHeight="1">
      <c r="A125" s="9"/>
      <c r="D125" s="203"/>
      <c r="E125" s="31"/>
      <c r="I125" s="132"/>
      <c r="J125" s="132"/>
      <c r="K125" s="221"/>
      <c r="L125" s="132"/>
      <c r="N125" s="10"/>
      <c r="O125" s="223"/>
      <c r="P125" s="22"/>
      <c r="Q125" s="22"/>
      <c r="T125" s="132"/>
      <c r="W125" s="22"/>
      <c r="X125" s="224"/>
      <c r="Z125" s="50"/>
      <c r="AA125" s="57"/>
    </row>
    <row r="126" spans="1:27" ht="15.75" customHeight="1">
      <c r="A126" s="9"/>
      <c r="D126" s="203"/>
      <c r="E126" s="31"/>
      <c r="I126" s="132"/>
      <c r="J126" s="132"/>
      <c r="K126" s="221"/>
      <c r="L126" s="132"/>
      <c r="N126" s="10"/>
      <c r="O126" s="223"/>
      <c r="P126" s="22"/>
      <c r="Q126" s="22"/>
      <c r="T126" s="132"/>
      <c r="W126" s="22"/>
      <c r="X126" s="224"/>
      <c r="Z126" s="50"/>
      <c r="AA126" s="57"/>
    </row>
    <row r="127" spans="1:27" ht="15.75" customHeight="1">
      <c r="A127" s="9"/>
      <c r="D127" s="203"/>
      <c r="E127" s="31"/>
      <c r="I127" s="132"/>
      <c r="J127" s="132"/>
      <c r="K127" s="221"/>
      <c r="L127" s="132"/>
      <c r="N127" s="10"/>
      <c r="O127" s="223"/>
      <c r="P127" s="22"/>
      <c r="Q127" s="22"/>
      <c r="T127" s="132"/>
      <c r="W127" s="22"/>
      <c r="X127" s="224"/>
      <c r="Z127" s="50"/>
      <c r="AA127" s="57"/>
    </row>
    <row r="128" spans="1:27" ht="15.75" customHeight="1">
      <c r="A128" s="9"/>
      <c r="D128" s="203"/>
      <c r="E128" s="31"/>
      <c r="I128" s="132"/>
      <c r="J128" s="132"/>
      <c r="K128" s="221"/>
      <c r="L128" s="132"/>
      <c r="N128" s="10"/>
      <c r="O128" s="223"/>
      <c r="P128" s="22"/>
      <c r="Q128" s="22"/>
      <c r="T128" s="132"/>
      <c r="W128" s="22"/>
      <c r="X128" s="224"/>
      <c r="Z128" s="50"/>
      <c r="AA128" s="57"/>
    </row>
    <row r="129" spans="1:27" ht="15.75" customHeight="1">
      <c r="A129" s="9"/>
      <c r="D129" s="203"/>
      <c r="E129" s="31"/>
      <c r="I129" s="132"/>
      <c r="J129" s="132"/>
      <c r="K129" s="221"/>
      <c r="L129" s="132"/>
      <c r="N129" s="10"/>
      <c r="O129" s="223"/>
      <c r="P129" s="22"/>
      <c r="Q129" s="22"/>
      <c r="T129" s="132"/>
      <c r="W129" s="22"/>
      <c r="X129" s="224"/>
      <c r="Z129" s="50"/>
      <c r="AA129" s="57"/>
    </row>
    <row r="130" spans="1:27" ht="15.75" customHeight="1">
      <c r="A130" s="9"/>
      <c r="D130" s="203"/>
      <c r="E130" s="31"/>
      <c r="I130" s="132"/>
      <c r="J130" s="132"/>
      <c r="K130" s="221"/>
      <c r="L130" s="132"/>
      <c r="N130" s="10"/>
      <c r="O130" s="223"/>
      <c r="P130" s="22"/>
      <c r="Q130" s="22"/>
      <c r="T130" s="132"/>
      <c r="W130" s="22"/>
      <c r="X130" s="224"/>
      <c r="Z130" s="50"/>
      <c r="AA130" s="57"/>
    </row>
    <row r="131" spans="1:27" ht="15.75" customHeight="1">
      <c r="A131" s="9"/>
      <c r="D131" s="203"/>
      <c r="E131" s="31"/>
      <c r="I131" s="132"/>
      <c r="J131" s="132"/>
      <c r="K131" s="221"/>
      <c r="L131" s="132"/>
      <c r="N131" s="10"/>
      <c r="O131" s="223"/>
      <c r="P131" s="22"/>
      <c r="Q131" s="22"/>
      <c r="T131" s="132"/>
      <c r="W131" s="22"/>
      <c r="X131" s="224"/>
      <c r="Z131" s="50"/>
      <c r="AA131" s="57"/>
    </row>
    <row r="132" spans="1:27" ht="15.75" customHeight="1">
      <c r="A132" s="9"/>
      <c r="D132" s="203"/>
      <c r="E132" s="31"/>
      <c r="I132" s="132"/>
      <c r="J132" s="132"/>
      <c r="K132" s="221"/>
      <c r="L132" s="132"/>
      <c r="N132" s="10"/>
      <c r="O132" s="223"/>
      <c r="P132" s="22"/>
      <c r="Q132" s="22"/>
      <c r="T132" s="132"/>
      <c r="W132" s="22"/>
      <c r="X132" s="224"/>
      <c r="Z132" s="50"/>
      <c r="AA132" s="57"/>
    </row>
    <row r="133" spans="1:27" ht="15.75" customHeight="1">
      <c r="A133" s="9"/>
      <c r="D133" s="203"/>
      <c r="E133" s="31"/>
      <c r="I133" s="132"/>
      <c r="J133" s="132"/>
      <c r="K133" s="221"/>
      <c r="L133" s="132"/>
      <c r="N133" s="10"/>
      <c r="O133" s="223"/>
      <c r="P133" s="22"/>
      <c r="Q133" s="22"/>
      <c r="T133" s="132"/>
      <c r="W133" s="22"/>
      <c r="X133" s="224"/>
      <c r="Z133" s="50"/>
      <c r="AA133" s="57"/>
    </row>
    <row r="134" spans="1:27" ht="15.75" customHeight="1">
      <c r="A134" s="9"/>
      <c r="D134" s="203"/>
      <c r="E134" s="31"/>
      <c r="I134" s="132"/>
      <c r="J134" s="132"/>
      <c r="K134" s="221"/>
      <c r="L134" s="132"/>
      <c r="N134" s="10"/>
      <c r="O134" s="223"/>
      <c r="P134" s="22"/>
      <c r="Q134" s="22"/>
      <c r="T134" s="132"/>
      <c r="W134" s="22"/>
      <c r="X134" s="224"/>
      <c r="Z134" s="50"/>
      <c r="AA134" s="57"/>
    </row>
    <row r="135" spans="1:27" ht="15.75" customHeight="1">
      <c r="A135" s="9"/>
      <c r="D135" s="203"/>
      <c r="E135" s="31"/>
      <c r="I135" s="132"/>
      <c r="J135" s="132"/>
      <c r="K135" s="221"/>
      <c r="L135" s="132"/>
      <c r="N135" s="10"/>
      <c r="O135" s="223"/>
      <c r="P135" s="22"/>
      <c r="Q135" s="22"/>
      <c r="T135" s="132"/>
      <c r="W135" s="22"/>
      <c r="X135" s="224"/>
      <c r="Z135" s="50"/>
      <c r="AA135" s="57"/>
    </row>
    <row r="136" spans="1:27" ht="15.75" customHeight="1">
      <c r="A136" s="9"/>
      <c r="D136" s="203"/>
      <c r="E136" s="31"/>
      <c r="I136" s="132"/>
      <c r="J136" s="132"/>
      <c r="K136" s="221"/>
      <c r="L136" s="132"/>
      <c r="N136" s="10"/>
      <c r="O136" s="223"/>
      <c r="P136" s="22"/>
      <c r="Q136" s="22"/>
      <c r="T136" s="132"/>
      <c r="W136" s="22"/>
      <c r="X136" s="224"/>
      <c r="Z136" s="50"/>
      <c r="AA136" s="57"/>
    </row>
    <row r="137" spans="1:27" ht="15.75" customHeight="1">
      <c r="A137" s="9"/>
      <c r="D137" s="203"/>
      <c r="E137" s="31"/>
      <c r="I137" s="132"/>
      <c r="J137" s="132"/>
      <c r="K137" s="221"/>
      <c r="L137" s="132"/>
      <c r="N137" s="10"/>
      <c r="O137" s="223"/>
      <c r="P137" s="22"/>
      <c r="Q137" s="22"/>
      <c r="T137" s="132"/>
      <c r="W137" s="22"/>
      <c r="X137" s="224"/>
      <c r="Z137" s="50"/>
      <c r="AA137" s="57"/>
    </row>
    <row r="138" spans="1:27" ht="15.75" customHeight="1">
      <c r="A138" s="9"/>
      <c r="D138" s="203"/>
      <c r="E138" s="31"/>
      <c r="I138" s="132"/>
      <c r="J138" s="132"/>
      <c r="K138" s="221"/>
      <c r="L138" s="132"/>
      <c r="N138" s="10"/>
      <c r="O138" s="223"/>
      <c r="P138" s="22"/>
      <c r="Q138" s="22"/>
      <c r="T138" s="132"/>
      <c r="W138" s="22"/>
      <c r="X138" s="224"/>
      <c r="Z138" s="50"/>
      <c r="AA138" s="57"/>
    </row>
    <row r="139" spans="1:27" ht="15.75" customHeight="1">
      <c r="A139" s="9"/>
      <c r="D139" s="203"/>
      <c r="E139" s="31"/>
      <c r="I139" s="132"/>
      <c r="J139" s="132"/>
      <c r="K139" s="221"/>
      <c r="L139" s="132"/>
      <c r="N139" s="10"/>
      <c r="O139" s="223"/>
      <c r="P139" s="22"/>
      <c r="Q139" s="22"/>
      <c r="T139" s="132"/>
      <c r="W139" s="22"/>
      <c r="X139" s="224"/>
      <c r="Z139" s="50"/>
      <c r="AA139" s="57"/>
    </row>
    <row r="140" spans="1:27" ht="15.75" customHeight="1">
      <c r="A140" s="9"/>
      <c r="D140" s="203"/>
      <c r="E140" s="31"/>
      <c r="I140" s="132"/>
      <c r="J140" s="132"/>
      <c r="K140" s="221"/>
      <c r="L140" s="132"/>
      <c r="N140" s="10"/>
      <c r="O140" s="223"/>
      <c r="P140" s="22"/>
      <c r="Q140" s="22"/>
      <c r="T140" s="132"/>
      <c r="W140" s="22"/>
      <c r="X140" s="224"/>
      <c r="Z140" s="50"/>
      <c r="AA140" s="57"/>
    </row>
    <row r="141" spans="1:27" ht="15.75" customHeight="1">
      <c r="A141" s="9"/>
      <c r="D141" s="203"/>
      <c r="E141" s="31"/>
      <c r="I141" s="132"/>
      <c r="J141" s="132"/>
      <c r="K141" s="221"/>
      <c r="L141" s="132"/>
      <c r="N141" s="10"/>
      <c r="O141" s="223"/>
      <c r="P141" s="22"/>
      <c r="Q141" s="22"/>
      <c r="T141" s="132"/>
      <c r="W141" s="22"/>
      <c r="X141" s="224"/>
      <c r="Z141" s="50"/>
      <c r="AA141" s="57"/>
    </row>
    <row r="142" spans="1:27" ht="15.75" customHeight="1">
      <c r="A142" s="9"/>
      <c r="D142" s="203"/>
      <c r="E142" s="31"/>
      <c r="I142" s="132"/>
      <c r="J142" s="132"/>
      <c r="K142" s="221"/>
      <c r="L142" s="132"/>
      <c r="N142" s="10"/>
      <c r="O142" s="223"/>
      <c r="P142" s="22"/>
      <c r="Q142" s="22"/>
      <c r="T142" s="132"/>
      <c r="W142" s="22"/>
      <c r="X142" s="224"/>
      <c r="Z142" s="50"/>
      <c r="AA142" s="57"/>
    </row>
    <row r="143" spans="1:27" ht="15.75" customHeight="1">
      <c r="A143" s="9"/>
      <c r="D143" s="203"/>
      <c r="E143" s="31"/>
      <c r="I143" s="132"/>
      <c r="J143" s="132"/>
      <c r="K143" s="221"/>
      <c r="L143" s="132"/>
      <c r="N143" s="10"/>
      <c r="O143" s="223"/>
      <c r="P143" s="22"/>
      <c r="Q143" s="22"/>
      <c r="T143" s="132"/>
      <c r="W143" s="22"/>
      <c r="X143" s="224"/>
      <c r="Z143" s="50"/>
      <c r="AA143" s="57"/>
    </row>
    <row r="144" spans="1:27" ht="15.75" customHeight="1">
      <c r="A144" s="9"/>
      <c r="D144" s="203"/>
      <c r="E144" s="31"/>
      <c r="I144" s="132"/>
      <c r="J144" s="132"/>
      <c r="K144" s="221"/>
      <c r="L144" s="132"/>
      <c r="N144" s="10"/>
      <c r="O144" s="223"/>
      <c r="P144" s="22"/>
      <c r="Q144" s="22"/>
      <c r="T144" s="132"/>
      <c r="W144" s="22"/>
      <c r="X144" s="224"/>
      <c r="Z144" s="50"/>
      <c r="AA144" s="57"/>
    </row>
    <row r="145" spans="1:27" ht="15.75" customHeight="1">
      <c r="A145" s="9"/>
      <c r="D145" s="203"/>
      <c r="E145" s="31"/>
      <c r="I145" s="132"/>
      <c r="J145" s="132"/>
      <c r="K145" s="221"/>
      <c r="L145" s="132"/>
      <c r="N145" s="10"/>
      <c r="O145" s="223"/>
      <c r="P145" s="22"/>
      <c r="Q145" s="22"/>
      <c r="T145" s="132"/>
      <c r="W145" s="22"/>
      <c r="X145" s="224"/>
      <c r="Z145" s="50"/>
      <c r="AA145" s="57"/>
    </row>
    <row r="146" spans="1:27" ht="15.75" customHeight="1">
      <c r="A146" s="9"/>
      <c r="D146" s="203"/>
      <c r="E146" s="31"/>
      <c r="I146" s="132"/>
      <c r="J146" s="132"/>
      <c r="K146" s="221"/>
      <c r="L146" s="132"/>
      <c r="N146" s="10"/>
      <c r="O146" s="223"/>
      <c r="P146" s="22"/>
      <c r="Q146" s="22"/>
      <c r="T146" s="132"/>
      <c r="W146" s="22"/>
      <c r="X146" s="224"/>
      <c r="Z146" s="50"/>
      <c r="AA146" s="57"/>
    </row>
    <row r="147" spans="1:27" ht="15.75" customHeight="1">
      <c r="A147" s="9"/>
      <c r="D147" s="203"/>
      <c r="E147" s="31"/>
      <c r="I147" s="132"/>
      <c r="J147" s="132"/>
      <c r="K147" s="221"/>
      <c r="L147" s="132"/>
      <c r="N147" s="10"/>
      <c r="O147" s="223"/>
      <c r="P147" s="22"/>
      <c r="Q147" s="22"/>
      <c r="T147" s="132"/>
      <c r="W147" s="22"/>
      <c r="X147" s="224"/>
      <c r="Z147" s="50"/>
      <c r="AA147" s="57"/>
    </row>
    <row r="148" spans="1:27" ht="15.75" customHeight="1">
      <c r="A148" s="9"/>
      <c r="D148" s="203"/>
      <c r="E148" s="31"/>
      <c r="I148" s="132"/>
      <c r="J148" s="132"/>
      <c r="K148" s="221"/>
      <c r="L148" s="132"/>
      <c r="N148" s="10"/>
      <c r="O148" s="223"/>
      <c r="P148" s="22"/>
      <c r="Q148" s="22"/>
      <c r="T148" s="132"/>
      <c r="W148" s="22"/>
      <c r="X148" s="224"/>
      <c r="Z148" s="50"/>
      <c r="AA148" s="57"/>
    </row>
    <row r="149" spans="1:27" ht="15.75" customHeight="1">
      <c r="A149" s="9"/>
      <c r="D149" s="203"/>
      <c r="E149" s="31"/>
      <c r="I149" s="132"/>
      <c r="J149" s="132"/>
      <c r="K149" s="221"/>
      <c r="L149" s="132"/>
      <c r="N149" s="10"/>
      <c r="O149" s="223"/>
      <c r="P149" s="22"/>
      <c r="Q149" s="22"/>
      <c r="T149" s="132"/>
      <c r="W149" s="22"/>
      <c r="X149" s="224"/>
      <c r="Z149" s="50"/>
      <c r="AA149" s="57"/>
    </row>
    <row r="150" spans="1:27" ht="15.75" customHeight="1">
      <c r="A150" s="9"/>
      <c r="D150" s="203"/>
      <c r="E150" s="31"/>
      <c r="I150" s="132"/>
      <c r="J150" s="132"/>
      <c r="K150" s="221"/>
      <c r="L150" s="132"/>
      <c r="N150" s="10"/>
      <c r="O150" s="223"/>
      <c r="P150" s="22"/>
      <c r="Q150" s="22"/>
      <c r="T150" s="132"/>
      <c r="W150" s="22"/>
      <c r="X150" s="224"/>
      <c r="Z150" s="50"/>
      <c r="AA150" s="57"/>
    </row>
    <row r="151" spans="1:27" ht="15.75" customHeight="1">
      <c r="A151" s="9"/>
      <c r="D151" s="203"/>
      <c r="E151" s="31"/>
      <c r="I151" s="132"/>
      <c r="J151" s="132"/>
      <c r="K151" s="221"/>
      <c r="L151" s="132"/>
      <c r="N151" s="10"/>
      <c r="O151" s="223"/>
      <c r="P151" s="22"/>
      <c r="Q151" s="22"/>
      <c r="T151" s="132"/>
      <c r="W151" s="22"/>
      <c r="X151" s="224"/>
      <c r="Z151" s="50"/>
      <c r="AA151" s="57"/>
    </row>
    <row r="152" spans="1:27" ht="15.75" customHeight="1">
      <c r="A152" s="9"/>
      <c r="D152" s="203"/>
      <c r="E152" s="31"/>
      <c r="I152" s="132"/>
      <c r="J152" s="132"/>
      <c r="K152" s="221"/>
      <c r="L152" s="132"/>
      <c r="N152" s="10"/>
      <c r="O152" s="223"/>
      <c r="P152" s="22"/>
      <c r="Q152" s="22"/>
      <c r="T152" s="132"/>
      <c r="W152" s="22"/>
      <c r="X152" s="224"/>
      <c r="Z152" s="50"/>
      <c r="AA152" s="57"/>
    </row>
    <row r="153" spans="1:27" ht="15.75" customHeight="1">
      <c r="A153" s="9"/>
      <c r="D153" s="203"/>
      <c r="E153" s="31"/>
      <c r="I153" s="132"/>
      <c r="J153" s="132"/>
      <c r="K153" s="221"/>
      <c r="L153" s="132"/>
      <c r="N153" s="10"/>
      <c r="O153" s="223"/>
      <c r="P153" s="22"/>
      <c r="Q153" s="22"/>
      <c r="T153" s="132"/>
      <c r="W153" s="22"/>
      <c r="X153" s="224"/>
      <c r="Z153" s="50"/>
      <c r="AA153" s="57"/>
    </row>
    <row r="154" spans="1:27" ht="15.75" customHeight="1">
      <c r="A154" s="9"/>
      <c r="D154" s="203"/>
      <c r="E154" s="31"/>
      <c r="I154" s="132"/>
      <c r="J154" s="132"/>
      <c r="K154" s="221"/>
      <c r="L154" s="132"/>
      <c r="N154" s="10"/>
      <c r="O154" s="223"/>
      <c r="P154" s="22"/>
      <c r="Q154" s="22"/>
      <c r="T154" s="132"/>
      <c r="W154" s="22"/>
      <c r="X154" s="224"/>
      <c r="Z154" s="50"/>
      <c r="AA154" s="57"/>
    </row>
    <row r="155" spans="1:27" ht="15.75" customHeight="1">
      <c r="A155" s="9"/>
      <c r="D155" s="203"/>
      <c r="E155" s="31"/>
      <c r="I155" s="132"/>
      <c r="J155" s="132"/>
      <c r="K155" s="221"/>
      <c r="L155" s="132"/>
      <c r="N155" s="10"/>
      <c r="O155" s="223"/>
      <c r="P155" s="22"/>
      <c r="Q155" s="22"/>
      <c r="T155" s="132"/>
      <c r="W155" s="22"/>
      <c r="X155" s="224"/>
      <c r="Z155" s="50"/>
      <c r="AA155" s="57"/>
    </row>
    <row r="156" spans="1:27" ht="15.75" customHeight="1">
      <c r="A156" s="9"/>
      <c r="D156" s="203"/>
      <c r="E156" s="31"/>
      <c r="I156" s="132"/>
      <c r="J156" s="132"/>
      <c r="K156" s="221"/>
      <c r="L156" s="132"/>
      <c r="N156" s="10"/>
      <c r="O156" s="223"/>
      <c r="P156" s="22"/>
      <c r="Q156" s="22"/>
      <c r="T156" s="132"/>
      <c r="W156" s="22"/>
      <c r="X156" s="224"/>
      <c r="Z156" s="50"/>
      <c r="AA156" s="57"/>
    </row>
    <row r="157" spans="1:27" ht="15.75" customHeight="1">
      <c r="A157" s="9"/>
      <c r="D157" s="203"/>
      <c r="E157" s="31"/>
      <c r="I157" s="132"/>
      <c r="J157" s="132"/>
      <c r="K157" s="221"/>
      <c r="L157" s="132"/>
      <c r="N157" s="10"/>
      <c r="O157" s="223"/>
      <c r="P157" s="22"/>
      <c r="Q157" s="22"/>
      <c r="T157" s="132"/>
      <c r="W157" s="22"/>
      <c r="X157" s="224"/>
      <c r="Z157" s="50"/>
      <c r="AA157" s="57"/>
    </row>
    <row r="158" spans="1:27" ht="15.75" customHeight="1">
      <c r="A158" s="9"/>
      <c r="D158" s="203"/>
      <c r="E158" s="31"/>
      <c r="I158" s="132"/>
      <c r="J158" s="132"/>
      <c r="K158" s="221"/>
      <c r="L158" s="132"/>
      <c r="N158" s="10"/>
      <c r="O158" s="223"/>
      <c r="P158" s="22"/>
      <c r="Q158" s="22"/>
      <c r="T158" s="132"/>
      <c r="W158" s="22"/>
      <c r="X158" s="224"/>
      <c r="Z158" s="50"/>
      <c r="AA158" s="57"/>
    </row>
    <row r="159" spans="1:27" ht="15.75" customHeight="1">
      <c r="A159" s="9"/>
      <c r="D159" s="203"/>
      <c r="E159" s="31"/>
      <c r="I159" s="132"/>
      <c r="J159" s="132"/>
      <c r="K159" s="221"/>
      <c r="L159" s="132"/>
      <c r="N159" s="10"/>
      <c r="O159" s="223"/>
      <c r="P159" s="22"/>
      <c r="Q159" s="22"/>
      <c r="T159" s="132"/>
      <c r="W159" s="22"/>
      <c r="X159" s="224"/>
      <c r="Z159" s="50"/>
      <c r="AA159" s="57"/>
    </row>
    <row r="160" spans="1:27" ht="15.75" customHeight="1">
      <c r="A160" s="9"/>
      <c r="D160" s="203"/>
      <c r="E160" s="31"/>
      <c r="I160" s="132"/>
      <c r="J160" s="132"/>
      <c r="K160" s="221"/>
      <c r="L160" s="132"/>
      <c r="N160" s="10"/>
      <c r="O160" s="223"/>
      <c r="P160" s="22"/>
      <c r="Q160" s="22"/>
      <c r="T160" s="132"/>
      <c r="W160" s="22"/>
      <c r="X160" s="224"/>
      <c r="Z160" s="50"/>
      <c r="AA160" s="57"/>
    </row>
    <row r="161" spans="1:27" ht="15.75" customHeight="1">
      <c r="A161" s="9"/>
      <c r="D161" s="203"/>
      <c r="E161" s="31"/>
      <c r="I161" s="132"/>
      <c r="J161" s="132"/>
      <c r="K161" s="221"/>
      <c r="L161" s="132"/>
      <c r="N161" s="10"/>
      <c r="O161" s="223"/>
      <c r="P161" s="22"/>
      <c r="Q161" s="22"/>
      <c r="T161" s="132"/>
      <c r="W161" s="22"/>
      <c r="X161" s="224"/>
      <c r="Z161" s="50"/>
      <c r="AA161" s="57"/>
    </row>
    <row r="162" spans="1:27" ht="15.75" customHeight="1">
      <c r="A162" s="9"/>
      <c r="D162" s="203"/>
      <c r="E162" s="31"/>
      <c r="I162" s="132"/>
      <c r="J162" s="132"/>
      <c r="K162" s="221"/>
      <c r="L162" s="132"/>
      <c r="N162" s="10"/>
      <c r="O162" s="223"/>
      <c r="P162" s="22"/>
      <c r="Q162" s="22"/>
      <c r="T162" s="132"/>
      <c r="W162" s="22"/>
      <c r="X162" s="224"/>
      <c r="Z162" s="50"/>
      <c r="AA162" s="57"/>
    </row>
    <row r="163" spans="1:27" ht="15.75" customHeight="1">
      <c r="A163" s="9"/>
      <c r="D163" s="203"/>
      <c r="E163" s="31"/>
      <c r="I163" s="132"/>
      <c r="J163" s="132"/>
      <c r="K163" s="221"/>
      <c r="L163" s="132"/>
      <c r="N163" s="10"/>
      <c r="O163" s="223"/>
      <c r="P163" s="22"/>
      <c r="Q163" s="22"/>
      <c r="T163" s="132"/>
      <c r="W163" s="22"/>
      <c r="X163" s="224"/>
      <c r="Z163" s="50"/>
      <c r="AA163" s="57"/>
    </row>
    <row r="164" spans="1:27" ht="15.75" customHeight="1">
      <c r="A164" s="9"/>
      <c r="D164" s="203"/>
      <c r="E164" s="31"/>
      <c r="I164" s="132"/>
      <c r="J164" s="132"/>
      <c r="K164" s="221"/>
      <c r="L164" s="132"/>
      <c r="N164" s="10"/>
      <c r="O164" s="223"/>
      <c r="P164" s="22"/>
      <c r="Q164" s="22"/>
      <c r="T164" s="132"/>
      <c r="W164" s="22"/>
      <c r="X164" s="224"/>
      <c r="Z164" s="50"/>
      <c r="AA164" s="57"/>
    </row>
    <row r="165" spans="1:27" ht="15.75" customHeight="1">
      <c r="A165" s="9"/>
      <c r="D165" s="203"/>
      <c r="E165" s="31"/>
      <c r="I165" s="132"/>
      <c r="J165" s="132"/>
      <c r="K165" s="221"/>
      <c r="L165" s="132"/>
      <c r="N165" s="10"/>
      <c r="O165" s="223"/>
      <c r="P165" s="22"/>
      <c r="Q165" s="22"/>
      <c r="T165" s="132"/>
      <c r="W165" s="22"/>
      <c r="X165" s="224"/>
      <c r="Z165" s="50"/>
      <c r="AA165" s="57"/>
    </row>
    <row r="166" spans="1:27" ht="15.75" customHeight="1">
      <c r="A166" s="9"/>
      <c r="D166" s="203"/>
      <c r="E166" s="31"/>
      <c r="I166" s="132"/>
      <c r="J166" s="132"/>
      <c r="K166" s="221"/>
      <c r="L166" s="132"/>
      <c r="N166" s="10"/>
      <c r="O166" s="223"/>
      <c r="P166" s="22"/>
      <c r="Q166" s="22"/>
      <c r="T166" s="132"/>
      <c r="W166" s="22"/>
      <c r="X166" s="224"/>
      <c r="Z166" s="50"/>
      <c r="AA166" s="57"/>
    </row>
    <row r="167" spans="1:27" ht="15.75" customHeight="1">
      <c r="A167" s="9"/>
      <c r="D167" s="203"/>
      <c r="E167" s="31"/>
      <c r="I167" s="132"/>
      <c r="J167" s="132"/>
      <c r="K167" s="221"/>
      <c r="L167" s="132"/>
      <c r="N167" s="10"/>
      <c r="O167" s="223"/>
      <c r="P167" s="22"/>
      <c r="Q167" s="22"/>
      <c r="T167" s="132"/>
      <c r="W167" s="22"/>
      <c r="X167" s="224"/>
      <c r="Z167" s="50"/>
      <c r="AA167" s="57"/>
    </row>
    <row r="168" spans="1:27" ht="15.75" customHeight="1">
      <c r="A168" s="9"/>
      <c r="D168" s="203"/>
      <c r="E168" s="31"/>
      <c r="I168" s="132"/>
      <c r="J168" s="132"/>
      <c r="K168" s="221"/>
      <c r="L168" s="132"/>
      <c r="N168" s="10"/>
      <c r="O168" s="223"/>
      <c r="P168" s="22"/>
      <c r="Q168" s="22"/>
      <c r="T168" s="132"/>
      <c r="W168" s="22"/>
      <c r="X168" s="224"/>
      <c r="Z168" s="50"/>
      <c r="AA168" s="57"/>
    </row>
    <row r="169" spans="1:27" ht="15.75" customHeight="1">
      <c r="A169" s="9"/>
      <c r="D169" s="203"/>
      <c r="E169" s="31"/>
      <c r="I169" s="132"/>
      <c r="J169" s="132"/>
      <c r="K169" s="221"/>
      <c r="L169" s="132"/>
      <c r="N169" s="10"/>
      <c r="O169" s="223"/>
      <c r="P169" s="22"/>
      <c r="Q169" s="22"/>
      <c r="T169" s="132"/>
      <c r="W169" s="22"/>
      <c r="X169" s="224"/>
      <c r="Z169" s="50"/>
      <c r="AA169" s="57"/>
    </row>
    <row r="170" spans="1:27" ht="15.75" customHeight="1">
      <c r="A170" s="9"/>
      <c r="D170" s="203"/>
      <c r="E170" s="31"/>
      <c r="I170" s="132"/>
      <c r="J170" s="132"/>
      <c r="K170" s="221"/>
      <c r="L170" s="132"/>
      <c r="N170" s="10"/>
      <c r="O170" s="223"/>
      <c r="P170" s="22"/>
      <c r="Q170" s="22"/>
      <c r="T170" s="132"/>
      <c r="W170" s="22"/>
      <c r="X170" s="224"/>
      <c r="Z170" s="50"/>
      <c r="AA170" s="57"/>
    </row>
    <row r="171" spans="1:27" ht="15.75" customHeight="1">
      <c r="A171" s="9"/>
      <c r="D171" s="203"/>
      <c r="E171" s="31"/>
      <c r="I171" s="132"/>
      <c r="J171" s="132"/>
      <c r="K171" s="221"/>
      <c r="L171" s="132"/>
      <c r="N171" s="10"/>
      <c r="O171" s="223"/>
      <c r="P171" s="22"/>
      <c r="Q171" s="22"/>
      <c r="T171" s="132"/>
      <c r="W171" s="22"/>
      <c r="X171" s="224"/>
      <c r="Z171" s="50"/>
      <c r="AA171" s="57"/>
    </row>
    <row r="172" spans="1:27" ht="15.75" customHeight="1">
      <c r="A172" s="9"/>
      <c r="D172" s="203"/>
      <c r="E172" s="31"/>
      <c r="I172" s="132"/>
      <c r="J172" s="132"/>
      <c r="K172" s="221"/>
      <c r="L172" s="132"/>
      <c r="N172" s="10"/>
      <c r="O172" s="223"/>
      <c r="P172" s="22"/>
      <c r="Q172" s="22"/>
      <c r="T172" s="132"/>
      <c r="W172" s="22"/>
      <c r="X172" s="224"/>
      <c r="Z172" s="50"/>
      <c r="AA172" s="57"/>
    </row>
    <row r="173" spans="1:27" ht="15.75" customHeight="1">
      <c r="A173" s="9"/>
      <c r="D173" s="203"/>
      <c r="E173" s="31"/>
      <c r="I173" s="132"/>
      <c r="J173" s="132"/>
      <c r="K173" s="221"/>
      <c r="L173" s="132"/>
      <c r="N173" s="10"/>
      <c r="O173" s="223"/>
      <c r="P173" s="22"/>
      <c r="Q173" s="22"/>
      <c r="T173" s="132"/>
      <c r="W173" s="22"/>
      <c r="X173" s="224"/>
      <c r="Z173" s="50"/>
      <c r="AA173" s="57"/>
    </row>
    <row r="174" spans="1:27" ht="15.75" customHeight="1">
      <c r="A174" s="9"/>
      <c r="D174" s="203"/>
      <c r="E174" s="31"/>
      <c r="I174" s="132"/>
      <c r="J174" s="132"/>
      <c r="K174" s="221"/>
      <c r="L174" s="132"/>
      <c r="N174" s="10"/>
      <c r="O174" s="223"/>
      <c r="P174" s="22"/>
      <c r="Q174" s="22"/>
      <c r="T174" s="132"/>
      <c r="W174" s="22"/>
      <c r="X174" s="224"/>
      <c r="Z174" s="50"/>
      <c r="AA174" s="57"/>
    </row>
    <row r="175" spans="1:27" ht="15.75" customHeight="1">
      <c r="A175" s="9"/>
      <c r="D175" s="203"/>
      <c r="E175" s="31"/>
      <c r="I175" s="132"/>
      <c r="J175" s="132"/>
      <c r="K175" s="221"/>
      <c r="L175" s="132"/>
      <c r="N175" s="10"/>
      <c r="O175" s="223"/>
      <c r="P175" s="22"/>
      <c r="Q175" s="22"/>
      <c r="T175" s="132"/>
      <c r="W175" s="22"/>
      <c r="X175" s="224"/>
      <c r="Z175" s="50"/>
      <c r="AA175" s="57"/>
    </row>
    <row r="176" spans="1:27" ht="15.75" customHeight="1">
      <c r="A176" s="9"/>
      <c r="D176" s="203"/>
      <c r="E176" s="31"/>
      <c r="I176" s="132"/>
      <c r="J176" s="132"/>
      <c r="K176" s="221"/>
      <c r="L176" s="132"/>
      <c r="N176" s="10"/>
      <c r="O176" s="223"/>
      <c r="P176" s="22"/>
      <c r="Q176" s="22"/>
      <c r="T176" s="132"/>
      <c r="W176" s="22"/>
      <c r="X176" s="224"/>
      <c r="Z176" s="50"/>
      <c r="AA176" s="57"/>
    </row>
    <row r="177" spans="1:27" ht="15.75" customHeight="1">
      <c r="A177" s="9"/>
      <c r="D177" s="203"/>
      <c r="E177" s="31"/>
      <c r="I177" s="132"/>
      <c r="J177" s="132"/>
      <c r="K177" s="221"/>
      <c r="L177" s="132"/>
      <c r="N177" s="10"/>
      <c r="O177" s="223"/>
      <c r="P177" s="22"/>
      <c r="Q177" s="22"/>
      <c r="T177" s="132"/>
      <c r="W177" s="22"/>
      <c r="X177" s="224"/>
      <c r="Z177" s="50"/>
      <c r="AA177" s="57"/>
    </row>
    <row r="178" spans="1:27" ht="15.75" customHeight="1">
      <c r="A178" s="9"/>
      <c r="D178" s="203"/>
      <c r="E178" s="31"/>
      <c r="I178" s="132"/>
      <c r="J178" s="132"/>
      <c r="K178" s="221"/>
      <c r="L178" s="132"/>
      <c r="N178" s="10"/>
      <c r="O178" s="223"/>
      <c r="P178" s="22"/>
      <c r="Q178" s="22"/>
      <c r="T178" s="132"/>
      <c r="W178" s="22"/>
      <c r="X178" s="224"/>
      <c r="Z178" s="50"/>
      <c r="AA178" s="57"/>
    </row>
    <row r="179" spans="1:27" ht="15.75" customHeight="1">
      <c r="A179" s="9"/>
      <c r="D179" s="203"/>
      <c r="E179" s="31"/>
      <c r="I179" s="132"/>
      <c r="J179" s="132"/>
      <c r="K179" s="221"/>
      <c r="L179" s="132"/>
      <c r="N179" s="10"/>
      <c r="O179" s="223"/>
      <c r="P179" s="22"/>
      <c r="Q179" s="22"/>
      <c r="T179" s="132"/>
      <c r="W179" s="22"/>
      <c r="X179" s="224"/>
      <c r="Z179" s="50"/>
      <c r="AA179" s="57"/>
    </row>
    <row r="180" spans="1:27" ht="15.75" customHeight="1">
      <c r="A180" s="9"/>
      <c r="D180" s="203"/>
      <c r="E180" s="31"/>
      <c r="I180" s="132"/>
      <c r="J180" s="132"/>
      <c r="K180" s="221"/>
      <c r="L180" s="132"/>
      <c r="N180" s="10"/>
      <c r="O180" s="223"/>
      <c r="P180" s="22"/>
      <c r="Q180" s="22"/>
      <c r="T180" s="132"/>
      <c r="W180" s="22"/>
      <c r="X180" s="224"/>
      <c r="Z180" s="50"/>
      <c r="AA180" s="57"/>
    </row>
    <row r="181" spans="1:27" ht="15.75" customHeight="1">
      <c r="A181" s="9"/>
      <c r="D181" s="203"/>
      <c r="E181" s="31"/>
      <c r="I181" s="132"/>
      <c r="J181" s="132"/>
      <c r="K181" s="221"/>
      <c r="L181" s="132"/>
      <c r="N181" s="10"/>
      <c r="O181" s="223"/>
      <c r="P181" s="22"/>
      <c r="Q181" s="22"/>
      <c r="T181" s="132"/>
      <c r="W181" s="22"/>
      <c r="X181" s="224"/>
      <c r="Z181" s="50"/>
      <c r="AA181" s="57"/>
    </row>
    <row r="182" spans="1:27" ht="15.75" customHeight="1">
      <c r="A182" s="9"/>
      <c r="D182" s="203"/>
      <c r="E182" s="31"/>
      <c r="I182" s="132"/>
      <c r="J182" s="132"/>
      <c r="K182" s="221"/>
      <c r="L182" s="132"/>
      <c r="N182" s="10"/>
      <c r="O182" s="223"/>
      <c r="P182" s="22"/>
      <c r="Q182" s="22"/>
      <c r="T182" s="132"/>
      <c r="W182" s="22"/>
      <c r="X182" s="224"/>
      <c r="Z182" s="50"/>
      <c r="AA182" s="57"/>
    </row>
    <row r="183" spans="1:27" ht="15.75" customHeight="1">
      <c r="A183" s="9"/>
      <c r="D183" s="203"/>
      <c r="E183" s="31"/>
      <c r="I183" s="132"/>
      <c r="J183" s="132"/>
      <c r="K183" s="221"/>
      <c r="L183" s="132"/>
      <c r="N183" s="10"/>
      <c r="O183" s="223"/>
      <c r="P183" s="22"/>
      <c r="Q183" s="22"/>
      <c r="T183" s="132"/>
      <c r="W183" s="22"/>
      <c r="X183" s="224"/>
      <c r="Z183" s="50"/>
      <c r="AA183" s="57"/>
    </row>
    <row r="184" spans="1:27" ht="15.75" customHeight="1">
      <c r="A184" s="9"/>
      <c r="D184" s="203"/>
      <c r="E184" s="31"/>
      <c r="I184" s="132"/>
      <c r="J184" s="132"/>
      <c r="K184" s="221"/>
      <c r="L184" s="132"/>
      <c r="N184" s="10"/>
      <c r="O184" s="223"/>
      <c r="P184" s="22"/>
      <c r="Q184" s="22"/>
      <c r="T184" s="132"/>
      <c r="W184" s="22"/>
      <c r="X184" s="224"/>
      <c r="Z184" s="50"/>
      <c r="AA184" s="57"/>
    </row>
    <row r="185" spans="1:27" ht="15.75" customHeight="1">
      <c r="A185" s="9"/>
      <c r="D185" s="203"/>
      <c r="E185" s="31"/>
      <c r="I185" s="132"/>
      <c r="J185" s="132"/>
      <c r="K185" s="221"/>
      <c r="L185" s="132"/>
      <c r="N185" s="10"/>
      <c r="O185" s="223"/>
      <c r="P185" s="22"/>
      <c r="Q185" s="22"/>
      <c r="T185" s="132"/>
      <c r="W185" s="22"/>
      <c r="X185" s="224"/>
      <c r="Z185" s="50"/>
      <c r="AA185" s="57"/>
    </row>
    <row r="186" spans="1:27" ht="15.75" customHeight="1">
      <c r="A186" s="9"/>
      <c r="D186" s="203"/>
      <c r="E186" s="31"/>
      <c r="I186" s="132"/>
      <c r="J186" s="132"/>
      <c r="K186" s="221"/>
      <c r="L186" s="132"/>
      <c r="N186" s="10"/>
      <c r="O186" s="223"/>
      <c r="P186" s="22"/>
      <c r="Q186" s="22"/>
      <c r="T186" s="132"/>
      <c r="W186" s="22"/>
      <c r="X186" s="224"/>
      <c r="Z186" s="50"/>
      <c r="AA186" s="57"/>
    </row>
    <row r="187" spans="1:27" ht="15.75" customHeight="1">
      <c r="A187" s="9"/>
      <c r="D187" s="203"/>
      <c r="E187" s="31"/>
      <c r="I187" s="132"/>
      <c r="J187" s="132"/>
      <c r="K187" s="221"/>
      <c r="L187" s="132"/>
      <c r="N187" s="10"/>
      <c r="O187" s="223"/>
      <c r="P187" s="22"/>
      <c r="Q187" s="22"/>
      <c r="T187" s="132"/>
      <c r="W187" s="22"/>
      <c r="X187" s="224"/>
      <c r="Z187" s="50"/>
      <c r="AA187" s="57"/>
    </row>
    <row r="188" spans="1:27" ht="15.75" customHeight="1">
      <c r="A188" s="9"/>
      <c r="D188" s="203"/>
      <c r="E188" s="31"/>
      <c r="I188" s="132"/>
      <c r="J188" s="132"/>
      <c r="K188" s="221"/>
      <c r="L188" s="132"/>
      <c r="N188" s="10"/>
      <c r="O188" s="223"/>
      <c r="P188" s="22"/>
      <c r="Q188" s="22"/>
      <c r="T188" s="132"/>
      <c r="W188" s="22"/>
      <c r="X188" s="224"/>
      <c r="Z188" s="50"/>
      <c r="AA188" s="57"/>
    </row>
    <row r="189" spans="1:27" ht="15.75" customHeight="1">
      <c r="A189" s="9"/>
      <c r="D189" s="203"/>
      <c r="E189" s="31"/>
      <c r="I189" s="132"/>
      <c r="J189" s="132"/>
      <c r="K189" s="221"/>
      <c r="L189" s="132"/>
      <c r="N189" s="10"/>
      <c r="O189" s="223"/>
      <c r="P189" s="22"/>
      <c r="Q189" s="22"/>
      <c r="T189" s="132"/>
      <c r="W189" s="22"/>
      <c r="X189" s="224"/>
      <c r="Z189" s="50"/>
      <c r="AA189" s="57"/>
    </row>
    <row r="190" spans="1:27" ht="15.75" customHeight="1">
      <c r="A190" s="9"/>
      <c r="D190" s="203"/>
      <c r="E190" s="31"/>
      <c r="I190" s="132"/>
      <c r="J190" s="132"/>
      <c r="K190" s="221"/>
      <c r="L190" s="132"/>
      <c r="N190" s="10"/>
      <c r="O190" s="223"/>
      <c r="P190" s="22"/>
      <c r="Q190" s="22"/>
      <c r="T190" s="132"/>
      <c r="W190" s="22"/>
      <c r="X190" s="224"/>
      <c r="Z190" s="50"/>
      <c r="AA190" s="57"/>
    </row>
    <row r="191" spans="1:27" ht="15.75" customHeight="1">
      <c r="A191" s="9"/>
      <c r="D191" s="203"/>
      <c r="E191" s="31"/>
      <c r="I191" s="132"/>
      <c r="J191" s="132"/>
      <c r="K191" s="221"/>
      <c r="L191" s="132"/>
      <c r="N191" s="10"/>
      <c r="O191" s="223"/>
      <c r="P191" s="22"/>
      <c r="Q191" s="22"/>
      <c r="T191" s="132"/>
      <c r="W191" s="22"/>
      <c r="X191" s="224"/>
      <c r="Z191" s="50"/>
      <c r="AA191" s="57"/>
    </row>
    <row r="192" spans="1:27" ht="15.75" customHeight="1">
      <c r="A192" s="9"/>
      <c r="D192" s="203"/>
      <c r="E192" s="31"/>
      <c r="I192" s="132"/>
      <c r="J192" s="132"/>
      <c r="K192" s="221"/>
      <c r="L192" s="132"/>
      <c r="N192" s="10"/>
      <c r="O192" s="223"/>
      <c r="P192" s="22"/>
      <c r="Q192" s="22"/>
      <c r="T192" s="132"/>
      <c r="W192" s="22"/>
      <c r="X192" s="224"/>
      <c r="Z192" s="50"/>
      <c r="AA192" s="57"/>
    </row>
    <row r="193" spans="1:27" ht="15.75" customHeight="1">
      <c r="A193" s="9"/>
      <c r="D193" s="203"/>
      <c r="E193" s="31"/>
      <c r="I193" s="132"/>
      <c r="J193" s="132"/>
      <c r="K193" s="221"/>
      <c r="L193" s="132"/>
      <c r="N193" s="10"/>
      <c r="O193" s="223"/>
      <c r="P193" s="22"/>
      <c r="Q193" s="22"/>
      <c r="T193" s="132"/>
      <c r="W193" s="22"/>
      <c r="X193" s="224"/>
      <c r="Z193" s="50"/>
      <c r="AA193" s="57"/>
    </row>
    <row r="194" spans="1:27" ht="15.75" customHeight="1">
      <c r="A194" s="9"/>
      <c r="D194" s="203"/>
      <c r="E194" s="31"/>
      <c r="I194" s="132"/>
      <c r="J194" s="132"/>
      <c r="K194" s="221"/>
      <c r="L194" s="132"/>
      <c r="N194" s="10"/>
      <c r="O194" s="223"/>
      <c r="P194" s="22"/>
      <c r="Q194" s="22"/>
      <c r="T194" s="132"/>
      <c r="W194" s="22"/>
      <c r="X194" s="224"/>
      <c r="Z194" s="50"/>
      <c r="AA194" s="57"/>
    </row>
    <row r="195" spans="1:27" ht="15.75" customHeight="1">
      <c r="A195" s="9"/>
      <c r="D195" s="203"/>
      <c r="E195" s="31"/>
      <c r="I195" s="132"/>
      <c r="J195" s="132"/>
      <c r="K195" s="221"/>
      <c r="L195" s="132"/>
      <c r="N195" s="10"/>
      <c r="O195" s="223"/>
      <c r="P195" s="22"/>
      <c r="Q195" s="22"/>
      <c r="T195" s="132"/>
      <c r="W195" s="22"/>
      <c r="X195" s="224"/>
      <c r="Z195" s="50"/>
      <c r="AA195" s="57"/>
    </row>
    <row r="196" spans="1:27" ht="15.75" customHeight="1">
      <c r="A196" s="9"/>
      <c r="D196" s="203"/>
      <c r="E196" s="31"/>
      <c r="I196" s="132"/>
      <c r="J196" s="132"/>
      <c r="K196" s="221"/>
      <c r="L196" s="132"/>
      <c r="N196" s="10"/>
      <c r="O196" s="223"/>
      <c r="P196" s="22"/>
      <c r="Q196" s="22"/>
      <c r="T196" s="132"/>
      <c r="W196" s="22"/>
      <c r="X196" s="224"/>
      <c r="Z196" s="50"/>
      <c r="AA196" s="57"/>
    </row>
    <row r="197" spans="1:27" ht="15.75" customHeight="1">
      <c r="A197" s="9"/>
      <c r="D197" s="203"/>
      <c r="E197" s="31"/>
      <c r="I197" s="132"/>
      <c r="J197" s="132"/>
      <c r="K197" s="221"/>
      <c r="L197" s="132"/>
      <c r="N197" s="10"/>
      <c r="O197" s="223"/>
      <c r="P197" s="22"/>
      <c r="Q197" s="22"/>
      <c r="T197" s="132"/>
      <c r="W197" s="22"/>
      <c r="X197" s="224"/>
      <c r="Z197" s="50"/>
      <c r="AA197" s="57"/>
    </row>
    <row r="198" spans="1:27" ht="15.75" customHeight="1">
      <c r="A198" s="9"/>
      <c r="D198" s="203"/>
      <c r="E198" s="31"/>
      <c r="I198" s="132"/>
      <c r="J198" s="132"/>
      <c r="K198" s="221"/>
      <c r="L198" s="132"/>
      <c r="N198" s="10"/>
      <c r="O198" s="223"/>
      <c r="P198" s="22"/>
      <c r="Q198" s="22"/>
      <c r="T198" s="132"/>
      <c r="W198" s="22"/>
      <c r="X198" s="224"/>
      <c r="Z198" s="50"/>
      <c r="AA198" s="57"/>
    </row>
    <row r="199" spans="1:27" ht="15.75" customHeight="1">
      <c r="A199" s="9"/>
      <c r="D199" s="203"/>
      <c r="E199" s="31"/>
      <c r="I199" s="132"/>
      <c r="J199" s="132"/>
      <c r="K199" s="221"/>
      <c r="L199" s="132"/>
      <c r="N199" s="10"/>
      <c r="O199" s="223"/>
      <c r="P199" s="22"/>
      <c r="Q199" s="22"/>
      <c r="T199" s="132"/>
      <c r="W199" s="22"/>
      <c r="X199" s="224"/>
      <c r="Z199" s="50"/>
      <c r="AA199" s="57"/>
    </row>
    <row r="200" spans="1:27" ht="15.75" customHeight="1">
      <c r="A200" s="9"/>
      <c r="D200" s="203"/>
      <c r="E200" s="31"/>
      <c r="I200" s="132"/>
      <c r="J200" s="132"/>
      <c r="K200" s="221"/>
      <c r="L200" s="132"/>
      <c r="N200" s="10"/>
      <c r="O200" s="223"/>
      <c r="P200" s="22"/>
      <c r="Q200" s="22"/>
      <c r="T200" s="132"/>
      <c r="W200" s="22"/>
      <c r="X200" s="224"/>
      <c r="Z200" s="50"/>
      <c r="AA200" s="57"/>
    </row>
    <row r="201" spans="1:27" ht="15.75" customHeight="1">
      <c r="A201" s="9"/>
      <c r="D201" s="203"/>
      <c r="E201" s="31"/>
      <c r="I201" s="132"/>
      <c r="J201" s="132"/>
      <c r="K201" s="221"/>
      <c r="L201" s="132"/>
      <c r="N201" s="10"/>
      <c r="O201" s="223"/>
      <c r="P201" s="22"/>
      <c r="Q201" s="22"/>
      <c r="T201" s="132"/>
      <c r="W201" s="22"/>
      <c r="X201" s="224"/>
      <c r="Z201" s="50"/>
      <c r="AA201" s="57"/>
    </row>
    <row r="202" spans="1:27" ht="15.75" customHeight="1">
      <c r="A202" s="9"/>
      <c r="D202" s="203"/>
      <c r="E202" s="31"/>
      <c r="I202" s="132"/>
      <c r="J202" s="132"/>
      <c r="K202" s="221"/>
      <c r="L202" s="132"/>
      <c r="N202" s="10"/>
      <c r="O202" s="223"/>
      <c r="P202" s="22"/>
      <c r="Q202" s="22"/>
      <c r="T202" s="132"/>
      <c r="W202" s="22"/>
      <c r="X202" s="224"/>
      <c r="Z202" s="50"/>
      <c r="AA202" s="57"/>
    </row>
    <row r="203" spans="1:27" ht="15.75" customHeight="1">
      <c r="A203" s="9"/>
      <c r="D203" s="203"/>
      <c r="E203" s="31"/>
      <c r="I203" s="132"/>
      <c r="J203" s="132"/>
      <c r="K203" s="221"/>
      <c r="L203" s="132"/>
      <c r="N203" s="10"/>
      <c r="O203" s="223"/>
      <c r="P203" s="22"/>
      <c r="Q203" s="22"/>
      <c r="T203" s="132"/>
      <c r="W203" s="22"/>
      <c r="X203" s="224"/>
      <c r="Z203" s="50"/>
      <c r="AA203" s="57"/>
    </row>
    <row r="204" spans="1:27" ht="15.75" customHeight="1">
      <c r="A204" s="9"/>
      <c r="D204" s="203"/>
      <c r="E204" s="31"/>
      <c r="I204" s="132"/>
      <c r="J204" s="132"/>
      <c r="K204" s="221"/>
      <c r="L204" s="132"/>
      <c r="N204" s="10"/>
      <c r="O204" s="223"/>
      <c r="P204" s="22"/>
      <c r="Q204" s="22"/>
      <c r="T204" s="132"/>
      <c r="W204" s="22"/>
      <c r="X204" s="224"/>
      <c r="Z204" s="50"/>
      <c r="AA204" s="57"/>
    </row>
    <row r="205" spans="1:27" ht="15.75" customHeight="1">
      <c r="A205" s="9"/>
      <c r="D205" s="203"/>
      <c r="E205" s="31"/>
      <c r="I205" s="132"/>
      <c r="J205" s="132"/>
      <c r="K205" s="221"/>
      <c r="L205" s="132"/>
      <c r="N205" s="10"/>
      <c r="O205" s="223"/>
      <c r="P205" s="22"/>
      <c r="Q205" s="22"/>
      <c r="T205" s="132"/>
      <c r="W205" s="22"/>
      <c r="X205" s="224"/>
      <c r="Z205" s="50"/>
      <c r="AA205" s="57"/>
    </row>
    <row r="206" spans="1:27" ht="15.75" customHeight="1">
      <c r="A206" s="9"/>
      <c r="D206" s="203"/>
      <c r="E206" s="31"/>
      <c r="I206" s="132"/>
      <c r="J206" s="132"/>
      <c r="K206" s="221"/>
      <c r="L206" s="132"/>
      <c r="N206" s="10"/>
      <c r="O206" s="223"/>
      <c r="P206" s="22"/>
      <c r="Q206" s="22"/>
      <c r="T206" s="132"/>
      <c r="W206" s="22"/>
      <c r="X206" s="224"/>
      <c r="Z206" s="50"/>
      <c r="AA206" s="57"/>
    </row>
    <row r="207" spans="1:27" ht="15.75" customHeight="1">
      <c r="A207" s="9"/>
      <c r="D207" s="203"/>
      <c r="E207" s="31"/>
      <c r="I207" s="132"/>
      <c r="J207" s="132"/>
      <c r="K207" s="221"/>
      <c r="L207" s="132"/>
      <c r="N207" s="10"/>
      <c r="O207" s="223"/>
      <c r="P207" s="22"/>
      <c r="Q207" s="22"/>
      <c r="T207" s="132"/>
      <c r="W207" s="22"/>
      <c r="X207" s="224"/>
      <c r="Z207" s="50"/>
      <c r="AA207" s="57"/>
    </row>
    <row r="208" spans="1:27" ht="15.75" customHeight="1">
      <c r="A208" s="9"/>
      <c r="D208" s="203"/>
      <c r="E208" s="31"/>
      <c r="I208" s="132"/>
      <c r="J208" s="132"/>
      <c r="K208" s="221"/>
      <c r="L208" s="132"/>
      <c r="N208" s="10"/>
      <c r="O208" s="223"/>
      <c r="P208" s="22"/>
      <c r="Q208" s="22"/>
      <c r="T208" s="132"/>
      <c r="W208" s="22"/>
      <c r="X208" s="224"/>
      <c r="Z208" s="50"/>
      <c r="AA208" s="57"/>
    </row>
    <row r="209" spans="1:27" ht="15.75" customHeight="1">
      <c r="A209" s="9"/>
      <c r="D209" s="203"/>
      <c r="E209" s="31"/>
      <c r="I209" s="132"/>
      <c r="J209" s="132"/>
      <c r="K209" s="221"/>
      <c r="L209" s="132"/>
      <c r="N209" s="10"/>
      <c r="O209" s="223"/>
      <c r="P209" s="22"/>
      <c r="Q209" s="22"/>
      <c r="T209" s="132"/>
      <c r="W209" s="22"/>
      <c r="X209" s="224"/>
      <c r="Z209" s="50"/>
      <c r="AA209" s="57"/>
    </row>
    <row r="210" spans="1:27" ht="15.75" customHeight="1">
      <c r="A210" s="9"/>
      <c r="D210" s="203"/>
      <c r="E210" s="31"/>
      <c r="I210" s="132"/>
      <c r="J210" s="132"/>
      <c r="K210" s="221"/>
      <c r="L210" s="132"/>
      <c r="N210" s="10"/>
      <c r="O210" s="223"/>
      <c r="P210" s="22"/>
      <c r="Q210" s="22"/>
      <c r="T210" s="132"/>
      <c r="W210" s="22"/>
      <c r="X210" s="224"/>
      <c r="Z210" s="50"/>
      <c r="AA210" s="57"/>
    </row>
    <row r="211" spans="1:27" ht="15.75" customHeight="1">
      <c r="A211" s="9"/>
      <c r="D211" s="203"/>
      <c r="E211" s="31"/>
      <c r="I211" s="132"/>
      <c r="J211" s="132"/>
      <c r="K211" s="221"/>
      <c r="L211" s="132"/>
      <c r="N211" s="10"/>
      <c r="O211" s="223"/>
      <c r="P211" s="22"/>
      <c r="Q211" s="22"/>
      <c r="T211" s="132"/>
      <c r="W211" s="22"/>
      <c r="X211" s="224"/>
      <c r="Z211" s="50"/>
      <c r="AA211" s="57"/>
    </row>
    <row r="212" spans="1:27" ht="15.75" customHeight="1">
      <c r="A212" s="9"/>
      <c r="D212" s="203"/>
      <c r="E212" s="31"/>
      <c r="I212" s="132"/>
      <c r="J212" s="132"/>
      <c r="K212" s="221"/>
      <c r="L212" s="132"/>
      <c r="N212" s="10"/>
      <c r="O212" s="223"/>
      <c r="P212" s="22"/>
      <c r="Q212" s="22"/>
      <c r="T212" s="132"/>
      <c r="W212" s="22"/>
      <c r="X212" s="224"/>
      <c r="Z212" s="50"/>
      <c r="AA212" s="57"/>
    </row>
    <row r="213" spans="1:27" ht="15.75" customHeight="1">
      <c r="A213" s="9"/>
      <c r="D213" s="203"/>
      <c r="E213" s="31"/>
      <c r="I213" s="132"/>
      <c r="J213" s="132"/>
      <c r="K213" s="221"/>
      <c r="L213" s="132"/>
      <c r="N213" s="10"/>
      <c r="O213" s="223"/>
      <c r="P213" s="22"/>
      <c r="Q213" s="22"/>
      <c r="T213" s="132"/>
      <c r="W213" s="22"/>
      <c r="X213" s="224"/>
      <c r="Z213" s="50"/>
      <c r="AA213" s="57"/>
    </row>
    <row r="214" spans="1:27" ht="15.75" customHeight="1">
      <c r="A214" s="9"/>
      <c r="D214" s="203"/>
      <c r="E214" s="31"/>
      <c r="I214" s="132"/>
      <c r="J214" s="132"/>
      <c r="K214" s="221"/>
      <c r="L214" s="132"/>
      <c r="N214" s="10"/>
      <c r="O214" s="223"/>
      <c r="P214" s="22"/>
      <c r="Q214" s="22"/>
      <c r="T214" s="132"/>
      <c r="W214" s="22"/>
      <c r="X214" s="224"/>
      <c r="Z214" s="50"/>
      <c r="AA214" s="57"/>
    </row>
    <row r="215" spans="1:27" ht="15.75" customHeight="1">
      <c r="A215" s="9"/>
      <c r="D215" s="203"/>
      <c r="E215" s="31"/>
      <c r="I215" s="132"/>
      <c r="J215" s="132"/>
      <c r="K215" s="221"/>
      <c r="L215" s="132"/>
      <c r="N215" s="10"/>
      <c r="O215" s="223"/>
      <c r="P215" s="22"/>
      <c r="Q215" s="22"/>
      <c r="T215" s="132"/>
      <c r="W215" s="22"/>
      <c r="X215" s="224"/>
      <c r="Z215" s="50"/>
      <c r="AA215" s="57"/>
    </row>
    <row r="216" spans="1:27" ht="15.75" customHeight="1">
      <c r="A216" s="9"/>
      <c r="D216" s="203"/>
      <c r="E216" s="31"/>
      <c r="I216" s="132"/>
      <c r="J216" s="132"/>
      <c r="K216" s="221"/>
      <c r="L216" s="132"/>
      <c r="N216" s="10"/>
      <c r="O216" s="223"/>
      <c r="P216" s="22"/>
      <c r="Q216" s="22"/>
      <c r="T216" s="132"/>
      <c r="W216" s="22"/>
      <c r="X216" s="224"/>
      <c r="Z216" s="50"/>
      <c r="AA216" s="57"/>
    </row>
    <row r="217" spans="1:27" ht="15.75" customHeight="1">
      <c r="A217" s="9"/>
      <c r="D217" s="203"/>
      <c r="E217" s="31"/>
      <c r="I217" s="132"/>
      <c r="J217" s="132"/>
      <c r="K217" s="221"/>
      <c r="L217" s="132"/>
      <c r="N217" s="10"/>
      <c r="O217" s="223"/>
      <c r="P217" s="22"/>
      <c r="Q217" s="22"/>
      <c r="T217" s="132"/>
      <c r="W217" s="22"/>
      <c r="X217" s="224"/>
      <c r="Z217" s="50"/>
      <c r="AA217" s="57"/>
    </row>
    <row r="218" spans="1:27" ht="15.75" customHeight="1">
      <c r="A218" s="9"/>
      <c r="D218" s="203"/>
      <c r="E218" s="31"/>
      <c r="I218" s="132"/>
      <c r="J218" s="132"/>
      <c r="K218" s="221"/>
      <c r="L218" s="132"/>
      <c r="N218" s="10"/>
      <c r="O218" s="223"/>
      <c r="P218" s="22"/>
      <c r="Q218" s="22"/>
      <c r="T218" s="132"/>
      <c r="W218" s="22"/>
      <c r="X218" s="224"/>
      <c r="Z218" s="50"/>
      <c r="AA218" s="57"/>
    </row>
    <row r="219" spans="1:27" ht="15.75" customHeight="1">
      <c r="A219" s="9"/>
      <c r="D219" s="203"/>
      <c r="E219" s="31"/>
      <c r="I219" s="132"/>
      <c r="J219" s="132"/>
      <c r="K219" s="221"/>
      <c r="L219" s="132"/>
      <c r="N219" s="10"/>
      <c r="O219" s="223"/>
      <c r="P219" s="22"/>
      <c r="Q219" s="22"/>
      <c r="T219" s="132"/>
      <c r="W219" s="22"/>
      <c r="X219" s="224"/>
      <c r="Z219" s="50"/>
      <c r="AA219" s="57"/>
    </row>
    <row r="220" spans="1:27" ht="15.75" customHeight="1">
      <c r="A220" s="9"/>
      <c r="D220" s="203"/>
      <c r="E220" s="31"/>
      <c r="I220" s="132"/>
      <c r="J220" s="132"/>
      <c r="K220" s="221"/>
      <c r="L220" s="132"/>
      <c r="N220" s="10"/>
      <c r="O220" s="223"/>
      <c r="P220" s="22"/>
      <c r="Q220" s="22"/>
      <c r="T220" s="132"/>
      <c r="W220" s="22"/>
      <c r="X220" s="224"/>
      <c r="Z220" s="50"/>
      <c r="AA220" s="57"/>
    </row>
    <row r="221" spans="1:27" ht="15.75" customHeight="1">
      <c r="A221" s="9"/>
      <c r="D221" s="203"/>
      <c r="E221" s="31"/>
      <c r="I221" s="132"/>
      <c r="J221" s="132"/>
      <c r="K221" s="221"/>
      <c r="L221" s="132"/>
      <c r="N221" s="10"/>
      <c r="O221" s="223"/>
      <c r="P221" s="22"/>
      <c r="Q221" s="22"/>
      <c r="T221" s="132"/>
      <c r="W221" s="22"/>
      <c r="X221" s="224"/>
      <c r="Z221" s="50"/>
      <c r="AA221" s="57"/>
    </row>
    <row r="222" spans="1:27" ht="15.75" customHeight="1">
      <c r="A222" s="9"/>
      <c r="D222" s="203"/>
      <c r="E222" s="31"/>
      <c r="I222" s="132"/>
      <c r="J222" s="132"/>
      <c r="K222" s="221"/>
      <c r="L222" s="132"/>
      <c r="N222" s="10"/>
      <c r="O222" s="223"/>
      <c r="P222" s="22"/>
      <c r="Q222" s="22"/>
      <c r="T222" s="132"/>
      <c r="W222" s="22"/>
      <c r="X222" s="224"/>
      <c r="Z222" s="50"/>
      <c r="AA222" s="57"/>
    </row>
    <row r="223" spans="1:27" ht="15.75" customHeight="1">
      <c r="A223" s="9"/>
      <c r="D223" s="203"/>
      <c r="E223" s="31"/>
      <c r="I223" s="132"/>
      <c r="J223" s="132"/>
      <c r="K223" s="221"/>
      <c r="L223" s="132"/>
      <c r="N223" s="10"/>
      <c r="O223" s="223"/>
      <c r="P223" s="22"/>
      <c r="Q223" s="22"/>
      <c r="T223" s="132"/>
      <c r="W223" s="22"/>
      <c r="X223" s="224"/>
      <c r="Z223" s="50"/>
      <c r="AA223" s="57"/>
    </row>
    <row r="224" spans="1:27" ht="15.75" customHeight="1">
      <c r="A224" s="9"/>
      <c r="D224" s="203"/>
      <c r="E224" s="31"/>
      <c r="I224" s="132"/>
      <c r="J224" s="132"/>
      <c r="K224" s="221"/>
      <c r="L224" s="132"/>
      <c r="N224" s="10"/>
      <c r="O224" s="223"/>
      <c r="P224" s="22"/>
      <c r="Q224" s="22"/>
      <c r="T224" s="132"/>
      <c r="W224" s="22"/>
      <c r="X224" s="224"/>
      <c r="Z224" s="50"/>
      <c r="AA224" s="57"/>
    </row>
    <row r="225" spans="1:27" ht="15.75" customHeight="1">
      <c r="A225" s="9"/>
      <c r="D225" s="203"/>
      <c r="E225" s="31"/>
      <c r="I225" s="132"/>
      <c r="J225" s="132"/>
      <c r="K225" s="221"/>
      <c r="L225" s="132"/>
      <c r="N225" s="10"/>
      <c r="O225" s="223"/>
      <c r="P225" s="22"/>
      <c r="Q225" s="22"/>
      <c r="T225" s="132"/>
      <c r="W225" s="22"/>
      <c r="X225" s="224"/>
      <c r="Z225" s="50"/>
      <c r="AA225" s="57"/>
    </row>
    <row r="226" spans="1:27" ht="15.75" customHeight="1">
      <c r="A226" s="9"/>
      <c r="D226" s="203"/>
      <c r="E226" s="31"/>
      <c r="I226" s="132"/>
      <c r="J226" s="132"/>
      <c r="K226" s="221"/>
      <c r="L226" s="132"/>
      <c r="N226" s="10"/>
      <c r="O226" s="223"/>
      <c r="P226" s="22"/>
      <c r="Q226" s="22"/>
      <c r="T226" s="132"/>
      <c r="W226" s="22"/>
      <c r="X226" s="224"/>
      <c r="Z226" s="50"/>
      <c r="AA226" s="57"/>
    </row>
    <row r="227" spans="1:27" ht="15.75" customHeight="1">
      <c r="A227" s="9"/>
      <c r="D227" s="203"/>
      <c r="E227" s="31"/>
      <c r="I227" s="132"/>
      <c r="J227" s="132"/>
      <c r="K227" s="221"/>
      <c r="L227" s="132"/>
      <c r="N227" s="10"/>
      <c r="O227" s="223"/>
      <c r="P227" s="22"/>
      <c r="Q227" s="22"/>
      <c r="T227" s="132"/>
      <c r="W227" s="22"/>
      <c r="X227" s="224"/>
      <c r="Z227" s="50"/>
      <c r="AA227" s="57"/>
    </row>
    <row r="228" spans="1:27" ht="15.75" customHeight="1">
      <c r="A228" s="9"/>
      <c r="D228" s="203"/>
      <c r="E228" s="31"/>
      <c r="I228" s="132"/>
      <c r="J228" s="132"/>
      <c r="K228" s="221"/>
      <c r="L228" s="132"/>
      <c r="N228" s="10"/>
      <c r="O228" s="223"/>
      <c r="P228" s="22"/>
      <c r="Q228" s="22"/>
      <c r="T228" s="132"/>
      <c r="W228" s="22"/>
      <c r="X228" s="224"/>
      <c r="Z228" s="50"/>
      <c r="AA228" s="57"/>
    </row>
    <row r="229" spans="1:27" ht="15.75" customHeight="1">
      <c r="A229" s="9"/>
      <c r="D229" s="203"/>
      <c r="E229" s="31"/>
      <c r="I229" s="132"/>
      <c r="J229" s="132"/>
      <c r="K229" s="221"/>
      <c r="L229" s="132"/>
      <c r="N229" s="10"/>
      <c r="O229" s="223"/>
      <c r="P229" s="22"/>
      <c r="Q229" s="22"/>
      <c r="T229" s="132"/>
      <c r="W229" s="22"/>
      <c r="X229" s="224"/>
      <c r="Z229" s="50"/>
      <c r="AA229" s="57"/>
    </row>
    <row r="230" spans="1:27" ht="15.75" customHeight="1">
      <c r="A230" s="9"/>
      <c r="D230" s="203"/>
      <c r="E230" s="31"/>
      <c r="I230" s="132"/>
      <c r="J230" s="132"/>
      <c r="K230" s="221"/>
      <c r="L230" s="132"/>
      <c r="N230" s="10"/>
      <c r="O230" s="223"/>
      <c r="P230" s="22"/>
      <c r="Q230" s="22"/>
      <c r="T230" s="132"/>
      <c r="W230" s="22"/>
      <c r="X230" s="224"/>
      <c r="Z230" s="50"/>
      <c r="AA230" s="57"/>
    </row>
    <row r="231" spans="1:27" ht="15.75" customHeight="1">
      <c r="A231" s="9"/>
      <c r="D231" s="203"/>
      <c r="E231" s="31"/>
      <c r="I231" s="132"/>
      <c r="J231" s="132"/>
      <c r="K231" s="221"/>
      <c r="L231" s="132"/>
      <c r="N231" s="10"/>
      <c r="O231" s="223"/>
      <c r="P231" s="22"/>
      <c r="Q231" s="22"/>
      <c r="T231" s="132"/>
      <c r="W231" s="22"/>
      <c r="X231" s="224"/>
      <c r="Z231" s="50"/>
      <c r="AA231" s="57"/>
    </row>
    <row r="232" spans="1:27" ht="15.75" customHeight="1">
      <c r="A232" s="9"/>
      <c r="D232" s="203"/>
      <c r="E232" s="31"/>
      <c r="I232" s="132"/>
      <c r="J232" s="132"/>
      <c r="K232" s="221"/>
      <c r="L232" s="132"/>
      <c r="N232" s="10"/>
      <c r="O232" s="223"/>
      <c r="P232" s="22"/>
      <c r="Q232" s="22"/>
      <c r="T232" s="132"/>
      <c r="W232" s="22"/>
      <c r="X232" s="224"/>
      <c r="Z232" s="50"/>
      <c r="AA232" s="57"/>
    </row>
    <row r="233" spans="1:27" ht="15.75" customHeight="1">
      <c r="A233" s="9"/>
      <c r="D233" s="203"/>
      <c r="E233" s="31"/>
      <c r="I233" s="132"/>
      <c r="J233" s="132"/>
      <c r="K233" s="221"/>
      <c r="L233" s="132"/>
      <c r="N233" s="10"/>
      <c r="O233" s="223"/>
      <c r="P233" s="22"/>
      <c r="Q233" s="22"/>
      <c r="T233" s="132"/>
      <c r="W233" s="22"/>
      <c r="X233" s="224"/>
      <c r="Z233" s="50"/>
      <c r="AA233" s="57"/>
    </row>
    <row r="234" spans="1:27" ht="15.75" customHeight="1">
      <c r="A234" s="9"/>
      <c r="D234" s="203"/>
      <c r="E234" s="31"/>
      <c r="I234" s="132"/>
      <c r="J234" s="132"/>
      <c r="K234" s="221"/>
      <c r="L234" s="132"/>
      <c r="N234" s="10"/>
      <c r="O234" s="223"/>
      <c r="P234" s="22"/>
      <c r="Q234" s="22"/>
      <c r="T234" s="132"/>
      <c r="W234" s="22"/>
      <c r="X234" s="224"/>
      <c r="Z234" s="50"/>
      <c r="AA234" s="57"/>
    </row>
    <row r="235" spans="1:27" ht="15.75" customHeight="1">
      <c r="A235" s="9"/>
      <c r="D235" s="203"/>
      <c r="E235" s="31"/>
      <c r="I235" s="132"/>
      <c r="J235" s="132"/>
      <c r="K235" s="221"/>
      <c r="L235" s="132"/>
      <c r="N235" s="10"/>
      <c r="O235" s="223"/>
      <c r="P235" s="22"/>
      <c r="Q235" s="22"/>
      <c r="T235" s="132"/>
      <c r="W235" s="22"/>
      <c r="X235" s="224"/>
      <c r="Z235" s="50"/>
      <c r="AA235" s="57"/>
    </row>
    <row r="236" spans="1:27" ht="15.75" customHeight="1">
      <c r="A236" s="9"/>
      <c r="D236" s="203"/>
      <c r="E236" s="31"/>
      <c r="I236" s="132"/>
      <c r="J236" s="132"/>
      <c r="K236" s="221"/>
      <c r="L236" s="132"/>
      <c r="N236" s="10"/>
      <c r="O236" s="223"/>
      <c r="P236" s="22"/>
      <c r="Q236" s="22"/>
      <c r="T236" s="132"/>
      <c r="W236" s="22"/>
      <c r="X236" s="224"/>
      <c r="Z236" s="50"/>
      <c r="AA236" s="57"/>
    </row>
    <row r="237" spans="1:27" ht="15.75" customHeight="1">
      <c r="A237" s="9"/>
      <c r="D237" s="203"/>
      <c r="E237" s="31"/>
      <c r="I237" s="132"/>
      <c r="J237" s="132"/>
      <c r="K237" s="221"/>
      <c r="L237" s="132"/>
      <c r="N237" s="10"/>
      <c r="O237" s="223"/>
      <c r="P237" s="22"/>
      <c r="Q237" s="22"/>
      <c r="T237" s="132"/>
      <c r="W237" s="22"/>
      <c r="X237" s="224"/>
      <c r="Z237" s="50"/>
      <c r="AA237" s="57"/>
    </row>
    <row r="238" spans="1:27" ht="15.75" customHeight="1">
      <c r="A238" s="9"/>
      <c r="D238" s="203"/>
      <c r="E238" s="31"/>
      <c r="I238" s="132"/>
      <c r="J238" s="132"/>
      <c r="K238" s="221"/>
      <c r="L238" s="132"/>
      <c r="N238" s="10"/>
      <c r="O238" s="223"/>
      <c r="P238" s="22"/>
      <c r="Q238" s="22"/>
      <c r="T238" s="132"/>
      <c r="W238" s="22"/>
      <c r="X238" s="224"/>
      <c r="Z238" s="50"/>
      <c r="AA238" s="57"/>
    </row>
    <row r="239" spans="1:27" ht="15.75" customHeight="1">
      <c r="A239" s="9"/>
      <c r="D239" s="203"/>
      <c r="E239" s="31"/>
      <c r="I239" s="132"/>
      <c r="J239" s="132"/>
      <c r="K239" s="221"/>
      <c r="L239" s="132"/>
      <c r="N239" s="10"/>
      <c r="O239" s="223"/>
      <c r="P239" s="22"/>
      <c r="Q239" s="22"/>
      <c r="T239" s="132"/>
      <c r="W239" s="22"/>
      <c r="X239" s="224"/>
      <c r="Z239" s="50"/>
      <c r="AA239" s="57"/>
    </row>
    <row r="240" spans="1:27" ht="15.75" customHeight="1">
      <c r="A240" s="9"/>
      <c r="D240" s="203"/>
      <c r="E240" s="31"/>
      <c r="I240" s="132"/>
      <c r="J240" s="132"/>
      <c r="K240" s="221"/>
      <c r="L240" s="132"/>
      <c r="N240" s="10"/>
      <c r="O240" s="223"/>
      <c r="P240" s="22"/>
      <c r="Q240" s="22"/>
      <c r="T240" s="132"/>
      <c r="W240" s="22"/>
      <c r="X240" s="224"/>
      <c r="Z240" s="50"/>
      <c r="AA240" s="57"/>
    </row>
    <row r="241" spans="1:27" ht="15.75" customHeight="1">
      <c r="A241" s="9"/>
      <c r="D241" s="203"/>
      <c r="E241" s="31"/>
      <c r="I241" s="132"/>
      <c r="J241" s="132"/>
      <c r="K241" s="221"/>
      <c r="L241" s="132"/>
      <c r="N241" s="10"/>
      <c r="O241" s="223"/>
      <c r="P241" s="22"/>
      <c r="Q241" s="22"/>
      <c r="T241" s="132"/>
      <c r="W241" s="22"/>
      <c r="X241" s="224"/>
      <c r="Z241" s="50"/>
      <c r="AA241" s="57"/>
    </row>
    <row r="242" spans="1:27" ht="15.75" customHeight="1">
      <c r="A242" s="9"/>
      <c r="D242" s="203"/>
      <c r="E242" s="31"/>
      <c r="I242" s="132"/>
      <c r="J242" s="132"/>
      <c r="K242" s="221"/>
      <c r="L242" s="132"/>
      <c r="N242" s="10"/>
      <c r="O242" s="223"/>
      <c r="P242" s="22"/>
      <c r="Q242" s="22"/>
      <c r="T242" s="132"/>
      <c r="W242" s="22"/>
      <c r="X242" s="224"/>
      <c r="Z242" s="50"/>
      <c r="AA242" s="57"/>
    </row>
    <row r="243" spans="1:27" ht="15.75" customHeight="1">
      <c r="A243" s="9"/>
      <c r="D243" s="203"/>
      <c r="E243" s="31"/>
      <c r="I243" s="132"/>
      <c r="J243" s="132"/>
      <c r="K243" s="221"/>
      <c r="L243" s="132"/>
      <c r="N243" s="10"/>
      <c r="O243" s="223"/>
      <c r="P243" s="22"/>
      <c r="Q243" s="22"/>
      <c r="T243" s="132"/>
      <c r="W243" s="22"/>
      <c r="X243" s="224"/>
      <c r="Z243" s="50"/>
      <c r="AA243" s="57"/>
    </row>
    <row r="244" spans="1:27" ht="15.75" customHeight="1">
      <c r="A244" s="9"/>
      <c r="D244" s="203"/>
      <c r="E244" s="31"/>
      <c r="I244" s="132"/>
      <c r="J244" s="132"/>
      <c r="K244" s="221"/>
      <c r="L244" s="132"/>
      <c r="N244" s="10"/>
      <c r="O244" s="223"/>
      <c r="P244" s="22"/>
      <c r="Q244" s="22"/>
      <c r="T244" s="132"/>
      <c r="W244" s="22"/>
      <c r="X244" s="224"/>
      <c r="Z244" s="50"/>
      <c r="AA244" s="57"/>
    </row>
    <row r="245" spans="1:27" ht="15.75" customHeight="1">
      <c r="A245" s="9"/>
      <c r="D245" s="203"/>
      <c r="E245" s="31"/>
      <c r="I245" s="132"/>
      <c r="J245" s="132"/>
      <c r="K245" s="221"/>
      <c r="L245" s="132"/>
      <c r="N245" s="10"/>
      <c r="O245" s="223"/>
      <c r="P245" s="22"/>
      <c r="Q245" s="22"/>
      <c r="T245" s="132"/>
      <c r="W245" s="22"/>
      <c r="X245" s="224"/>
      <c r="Z245" s="50"/>
      <c r="AA245" s="57"/>
    </row>
    <row r="246" spans="1:27" ht="15.75" customHeight="1">
      <c r="A246" s="9"/>
      <c r="D246" s="203"/>
      <c r="E246" s="31"/>
      <c r="I246" s="132"/>
      <c r="J246" s="132"/>
      <c r="K246" s="221"/>
      <c r="L246" s="132"/>
      <c r="N246" s="10"/>
      <c r="O246" s="223"/>
      <c r="P246" s="22"/>
      <c r="Q246" s="22"/>
      <c r="T246" s="132"/>
      <c r="W246" s="22"/>
      <c r="X246" s="224"/>
      <c r="Z246" s="50"/>
      <c r="AA246" s="57"/>
    </row>
    <row r="247" spans="1:27" ht="15.75" customHeight="1">
      <c r="A247" s="9"/>
      <c r="D247" s="203"/>
      <c r="E247" s="31"/>
      <c r="I247" s="132"/>
      <c r="J247" s="132"/>
      <c r="K247" s="221"/>
      <c r="L247" s="132"/>
      <c r="N247" s="10"/>
      <c r="O247" s="223"/>
      <c r="P247" s="22"/>
      <c r="Q247" s="22"/>
      <c r="T247" s="132"/>
      <c r="W247" s="22"/>
      <c r="X247" s="224"/>
      <c r="Z247" s="50"/>
      <c r="AA247" s="57"/>
    </row>
    <row r="248" spans="1:27" ht="15.75" customHeight="1">
      <c r="A248" s="9"/>
      <c r="D248" s="203"/>
      <c r="E248" s="31"/>
      <c r="I248" s="132"/>
      <c r="J248" s="132"/>
      <c r="K248" s="221"/>
      <c r="L248" s="132"/>
      <c r="N248" s="10"/>
      <c r="O248" s="223"/>
      <c r="P248" s="22"/>
      <c r="Q248" s="22"/>
      <c r="T248" s="132"/>
      <c r="W248" s="22"/>
      <c r="X248" s="224"/>
      <c r="Z248" s="50"/>
      <c r="AA248" s="57"/>
    </row>
    <row r="249" spans="1:27" ht="15.75" customHeight="1">
      <c r="A249" s="9"/>
      <c r="D249" s="203"/>
      <c r="E249" s="31"/>
      <c r="I249" s="132"/>
      <c r="J249" s="132"/>
      <c r="K249" s="221"/>
      <c r="L249" s="132"/>
      <c r="N249" s="10"/>
      <c r="O249" s="223"/>
      <c r="P249" s="22"/>
      <c r="Q249" s="22"/>
      <c r="T249" s="132"/>
      <c r="W249" s="22"/>
      <c r="X249" s="224"/>
      <c r="Z249" s="50"/>
      <c r="AA249" s="57"/>
    </row>
    <row r="250" spans="1:27" ht="15.75" customHeight="1">
      <c r="A250" s="9"/>
      <c r="D250" s="203"/>
      <c r="E250" s="31"/>
      <c r="I250" s="132"/>
      <c r="J250" s="132"/>
      <c r="K250" s="221"/>
      <c r="L250" s="132"/>
      <c r="N250" s="10"/>
      <c r="O250" s="223"/>
      <c r="P250" s="22"/>
      <c r="Q250" s="22"/>
      <c r="T250" s="132"/>
      <c r="W250" s="22"/>
      <c r="X250" s="224"/>
      <c r="Z250" s="50"/>
      <c r="AA250" s="57"/>
    </row>
    <row r="251" spans="1:27" ht="15.75" customHeight="1">
      <c r="A251" s="9"/>
      <c r="D251" s="203"/>
      <c r="E251" s="31"/>
      <c r="I251" s="132"/>
      <c r="J251" s="132"/>
      <c r="K251" s="221"/>
      <c r="L251" s="132"/>
      <c r="N251" s="10"/>
      <c r="O251" s="223"/>
      <c r="P251" s="22"/>
      <c r="Q251" s="22"/>
      <c r="T251" s="132"/>
      <c r="W251" s="22"/>
      <c r="X251" s="224"/>
      <c r="Z251" s="50"/>
      <c r="AA251" s="57"/>
    </row>
    <row r="252" spans="1:27" ht="15.75" customHeight="1">
      <c r="A252" s="9"/>
      <c r="D252" s="203"/>
      <c r="E252" s="31"/>
      <c r="I252" s="132"/>
      <c r="J252" s="132"/>
      <c r="K252" s="221"/>
      <c r="L252" s="132"/>
      <c r="N252" s="10"/>
      <c r="O252" s="223"/>
      <c r="P252" s="22"/>
      <c r="Q252" s="22"/>
      <c r="T252" s="132"/>
      <c r="W252" s="22"/>
      <c r="X252" s="224"/>
      <c r="Z252" s="50"/>
      <c r="AA252" s="57"/>
    </row>
    <row r="253" spans="1:27" ht="15.75" customHeight="1">
      <c r="A253" s="9"/>
      <c r="D253" s="203"/>
      <c r="E253" s="31"/>
      <c r="I253" s="132"/>
      <c r="J253" s="132"/>
      <c r="K253" s="221"/>
      <c r="L253" s="132"/>
      <c r="N253" s="10"/>
      <c r="O253" s="223"/>
      <c r="P253" s="22"/>
      <c r="Q253" s="22"/>
      <c r="T253" s="132"/>
      <c r="W253" s="22"/>
      <c r="X253" s="224"/>
      <c r="Z253" s="50"/>
      <c r="AA253" s="57"/>
    </row>
    <row r="254" spans="1:27" ht="15.75" customHeight="1">
      <c r="A254" s="9"/>
      <c r="D254" s="203"/>
      <c r="E254" s="31"/>
      <c r="I254" s="132"/>
      <c r="J254" s="132"/>
      <c r="K254" s="221"/>
      <c r="L254" s="132"/>
      <c r="N254" s="10"/>
      <c r="O254" s="223"/>
      <c r="P254" s="22"/>
      <c r="Q254" s="22"/>
      <c r="T254" s="132"/>
      <c r="W254" s="22"/>
      <c r="X254" s="224"/>
      <c r="Z254" s="50"/>
      <c r="AA254" s="57"/>
    </row>
    <row r="255" spans="1:27" ht="15.75" customHeight="1">
      <c r="A255" s="9"/>
      <c r="D255" s="203"/>
      <c r="E255" s="31"/>
      <c r="I255" s="132"/>
      <c r="J255" s="132"/>
      <c r="K255" s="221"/>
      <c r="L255" s="132"/>
      <c r="N255" s="10"/>
      <c r="O255" s="223"/>
      <c r="P255" s="22"/>
      <c r="Q255" s="22"/>
      <c r="T255" s="132"/>
      <c r="W255" s="22"/>
      <c r="X255" s="224"/>
      <c r="Z255" s="50"/>
      <c r="AA255" s="57"/>
    </row>
    <row r="256" spans="1:27" ht="15.75" customHeight="1">
      <c r="A256" s="9"/>
      <c r="D256" s="203"/>
      <c r="E256" s="31"/>
      <c r="I256" s="132"/>
      <c r="J256" s="132"/>
      <c r="K256" s="221"/>
      <c r="L256" s="132"/>
      <c r="N256" s="10"/>
      <c r="O256" s="223"/>
      <c r="P256" s="22"/>
      <c r="Q256" s="22"/>
      <c r="T256" s="132"/>
      <c r="W256" s="22"/>
      <c r="X256" s="224"/>
      <c r="Z256" s="50"/>
      <c r="AA256" s="57"/>
    </row>
    <row r="257" spans="1:27" ht="15.75" customHeight="1">
      <c r="A257" s="9"/>
      <c r="D257" s="203"/>
      <c r="E257" s="31"/>
      <c r="I257" s="132"/>
      <c r="J257" s="132"/>
      <c r="K257" s="221"/>
      <c r="L257" s="132"/>
      <c r="N257" s="10"/>
      <c r="O257" s="223"/>
      <c r="P257" s="22"/>
      <c r="Q257" s="22"/>
      <c r="T257" s="132"/>
      <c r="W257" s="22"/>
      <c r="X257" s="224"/>
      <c r="Z257" s="50"/>
      <c r="AA257" s="57"/>
    </row>
    <row r="258" spans="1:27" ht="15.75" customHeight="1">
      <c r="A258" s="9"/>
      <c r="D258" s="203"/>
      <c r="E258" s="31"/>
      <c r="I258" s="132"/>
      <c r="J258" s="132"/>
      <c r="K258" s="221"/>
      <c r="L258" s="132"/>
      <c r="N258" s="10"/>
      <c r="O258" s="223"/>
      <c r="P258" s="22"/>
      <c r="Q258" s="22"/>
      <c r="T258" s="132"/>
      <c r="W258" s="22"/>
      <c r="X258" s="224"/>
      <c r="Z258" s="50"/>
      <c r="AA258" s="57"/>
    </row>
    <row r="259" spans="1:27" ht="15.75" customHeight="1">
      <c r="A259" s="9"/>
      <c r="D259" s="203"/>
      <c r="E259" s="31"/>
      <c r="I259" s="132"/>
      <c r="J259" s="132"/>
      <c r="K259" s="221"/>
      <c r="L259" s="132"/>
      <c r="N259" s="10"/>
      <c r="O259" s="223"/>
      <c r="P259" s="22"/>
      <c r="Q259" s="22"/>
      <c r="T259" s="132"/>
      <c r="W259" s="22"/>
      <c r="X259" s="224"/>
      <c r="Z259" s="50"/>
      <c r="AA259" s="57"/>
    </row>
    <row r="260" spans="1:27" ht="15.75" customHeight="1">
      <c r="A260" s="9"/>
      <c r="D260" s="203"/>
      <c r="E260" s="31"/>
      <c r="I260" s="132"/>
      <c r="J260" s="132"/>
      <c r="K260" s="221"/>
      <c r="L260" s="132"/>
      <c r="N260" s="10"/>
      <c r="O260" s="223"/>
      <c r="P260" s="22"/>
      <c r="Q260" s="22"/>
      <c r="T260" s="132"/>
      <c r="W260" s="22"/>
      <c r="X260" s="224"/>
      <c r="Z260" s="50"/>
      <c r="AA260" s="57"/>
    </row>
    <row r="261" spans="1:27" ht="15.75" customHeight="1">
      <c r="A261" s="9"/>
      <c r="D261" s="203"/>
      <c r="E261" s="31"/>
      <c r="I261" s="132"/>
      <c r="J261" s="132"/>
      <c r="K261" s="221"/>
      <c r="L261" s="132"/>
      <c r="N261" s="10"/>
      <c r="O261" s="223"/>
      <c r="P261" s="22"/>
      <c r="Q261" s="22"/>
      <c r="T261" s="132"/>
      <c r="W261" s="22"/>
      <c r="X261" s="224"/>
      <c r="Z261" s="50"/>
      <c r="AA261" s="57"/>
    </row>
    <row r="262" spans="1:27" ht="15.75" customHeight="1">
      <c r="A262" s="9"/>
      <c r="D262" s="203"/>
      <c r="E262" s="31"/>
      <c r="I262" s="132"/>
      <c r="J262" s="132"/>
      <c r="K262" s="221"/>
      <c r="L262" s="132"/>
      <c r="N262" s="10"/>
      <c r="O262" s="223"/>
      <c r="P262" s="22"/>
      <c r="Q262" s="22"/>
      <c r="T262" s="132"/>
      <c r="W262" s="22"/>
      <c r="X262" s="224"/>
      <c r="Z262" s="50"/>
      <c r="AA262" s="57"/>
    </row>
    <row r="263" spans="1:27" ht="15.75" customHeight="1">
      <c r="A263" s="9"/>
      <c r="D263" s="203"/>
      <c r="E263" s="31"/>
      <c r="I263" s="132"/>
      <c r="J263" s="132"/>
      <c r="K263" s="221"/>
      <c r="L263" s="132"/>
      <c r="N263" s="10"/>
      <c r="O263" s="223"/>
      <c r="P263" s="22"/>
      <c r="Q263" s="22"/>
      <c r="T263" s="132"/>
      <c r="W263" s="22"/>
      <c r="X263" s="224"/>
      <c r="Z263" s="50"/>
      <c r="AA263" s="57"/>
    </row>
    <row r="264" spans="1:27" ht="15.75" customHeight="1">
      <c r="A264" s="9"/>
      <c r="D264" s="203"/>
      <c r="E264" s="31"/>
      <c r="I264" s="132"/>
      <c r="J264" s="132"/>
      <c r="K264" s="221"/>
      <c r="L264" s="132"/>
      <c r="N264" s="10"/>
      <c r="O264" s="223"/>
      <c r="P264" s="22"/>
      <c r="Q264" s="22"/>
      <c r="T264" s="132"/>
      <c r="W264" s="22"/>
      <c r="X264" s="224"/>
      <c r="Z264" s="50"/>
      <c r="AA264" s="57"/>
    </row>
    <row r="265" spans="1:27" ht="15.75" customHeight="1">
      <c r="A265" s="9"/>
      <c r="D265" s="203"/>
      <c r="E265" s="31"/>
      <c r="I265" s="132"/>
      <c r="J265" s="132"/>
      <c r="K265" s="221"/>
      <c r="L265" s="132"/>
      <c r="N265" s="10"/>
      <c r="O265" s="223"/>
      <c r="P265" s="22"/>
      <c r="Q265" s="22"/>
      <c r="T265" s="132"/>
      <c r="W265" s="22"/>
      <c r="X265" s="224"/>
      <c r="Z265" s="50"/>
      <c r="AA265" s="57"/>
    </row>
    <row r="266" spans="1:27" ht="15.75" customHeight="1">
      <c r="A266" s="9"/>
      <c r="D266" s="203"/>
      <c r="E266" s="31"/>
      <c r="I266" s="132"/>
      <c r="J266" s="132"/>
      <c r="K266" s="221"/>
      <c r="L266" s="132"/>
      <c r="N266" s="10"/>
      <c r="O266" s="223"/>
      <c r="P266" s="22"/>
      <c r="Q266" s="22"/>
      <c r="T266" s="132"/>
      <c r="W266" s="22"/>
      <c r="X266" s="224"/>
      <c r="Z266" s="50"/>
      <c r="AA266" s="57"/>
    </row>
    <row r="267" spans="1:27" ht="15.75" customHeight="1">
      <c r="A267" s="9"/>
      <c r="D267" s="203"/>
      <c r="E267" s="31"/>
      <c r="I267" s="132"/>
      <c r="J267" s="132"/>
      <c r="K267" s="221"/>
      <c r="L267" s="132"/>
      <c r="N267" s="10"/>
      <c r="O267" s="223"/>
      <c r="P267" s="22"/>
      <c r="Q267" s="22"/>
      <c r="T267" s="132"/>
      <c r="W267" s="22"/>
      <c r="X267" s="224"/>
      <c r="Z267" s="50"/>
      <c r="AA267" s="57"/>
    </row>
    <row r="268" spans="1:27" ht="15.75" customHeight="1">
      <c r="A268" s="9"/>
      <c r="D268" s="203"/>
      <c r="E268" s="31"/>
      <c r="I268" s="132"/>
      <c r="J268" s="132"/>
      <c r="K268" s="221"/>
      <c r="L268" s="132"/>
      <c r="N268" s="10"/>
      <c r="O268" s="223"/>
      <c r="P268" s="22"/>
      <c r="Q268" s="22"/>
      <c r="T268" s="132"/>
      <c r="W268" s="22"/>
      <c r="X268" s="224"/>
      <c r="Z268" s="50"/>
      <c r="AA268" s="57"/>
    </row>
    <row r="269" spans="1:27" ht="15.75" customHeight="1">
      <c r="A269" s="9"/>
      <c r="D269" s="203"/>
      <c r="E269" s="31"/>
      <c r="I269" s="132"/>
      <c r="J269" s="132"/>
      <c r="K269" s="221"/>
      <c r="L269" s="132"/>
      <c r="N269" s="10"/>
      <c r="O269" s="223"/>
      <c r="P269" s="22"/>
      <c r="Q269" s="22"/>
      <c r="T269" s="132"/>
      <c r="W269" s="22"/>
      <c r="X269" s="224"/>
      <c r="Z269" s="50"/>
      <c r="AA269" s="57"/>
    </row>
    <row r="270" spans="1:27" ht="15.75" customHeight="1">
      <c r="A270" s="9"/>
      <c r="D270" s="203"/>
      <c r="E270" s="31"/>
      <c r="I270" s="132"/>
      <c r="J270" s="132"/>
      <c r="K270" s="221"/>
      <c r="L270" s="132"/>
      <c r="N270" s="10"/>
      <c r="O270" s="223"/>
      <c r="P270" s="22"/>
      <c r="Q270" s="22"/>
      <c r="T270" s="132"/>
      <c r="W270" s="22"/>
      <c r="X270" s="224"/>
      <c r="Z270" s="50"/>
      <c r="AA270" s="57"/>
    </row>
    <row r="271" spans="1:27" ht="15.75" customHeight="1">
      <c r="A271" s="9"/>
      <c r="D271" s="203"/>
      <c r="E271" s="31"/>
      <c r="I271" s="132"/>
      <c r="J271" s="132"/>
      <c r="K271" s="221"/>
      <c r="L271" s="132"/>
      <c r="N271" s="10"/>
      <c r="O271" s="223"/>
      <c r="P271" s="22"/>
      <c r="Q271" s="22"/>
      <c r="T271" s="132"/>
      <c r="W271" s="22"/>
      <c r="X271" s="224"/>
      <c r="Z271" s="50"/>
      <c r="AA271" s="57"/>
    </row>
    <row r="272" spans="1:27" ht="15.75" customHeight="1">
      <c r="A272" s="9"/>
      <c r="D272" s="203"/>
      <c r="E272" s="31"/>
      <c r="I272" s="132"/>
      <c r="J272" s="132"/>
      <c r="K272" s="221"/>
      <c r="L272" s="132"/>
      <c r="N272" s="10"/>
      <c r="O272" s="223"/>
      <c r="P272" s="22"/>
      <c r="Q272" s="22"/>
      <c r="T272" s="132"/>
      <c r="W272" s="22"/>
      <c r="X272" s="224"/>
      <c r="Z272" s="50"/>
      <c r="AA272" s="57"/>
    </row>
    <row r="273" spans="1:27" ht="15.75" customHeight="1">
      <c r="A273" s="9"/>
      <c r="D273" s="203"/>
      <c r="E273" s="31"/>
      <c r="I273" s="132"/>
      <c r="J273" s="132"/>
      <c r="K273" s="221"/>
      <c r="L273" s="132"/>
      <c r="N273" s="10"/>
      <c r="O273" s="223"/>
      <c r="P273" s="22"/>
      <c r="Q273" s="22"/>
      <c r="T273" s="132"/>
      <c r="W273" s="22"/>
      <c r="X273" s="224"/>
      <c r="Z273" s="50"/>
      <c r="AA273" s="57"/>
    </row>
    <row r="274" spans="1:27" ht="15.75" customHeight="1">
      <c r="A274" s="9"/>
      <c r="D274" s="203"/>
      <c r="E274" s="31"/>
      <c r="I274" s="132"/>
      <c r="J274" s="132"/>
      <c r="K274" s="221"/>
      <c r="L274" s="132"/>
      <c r="N274" s="10"/>
      <c r="O274" s="223"/>
      <c r="P274" s="22"/>
      <c r="Q274" s="22"/>
      <c r="T274" s="132"/>
      <c r="W274" s="22"/>
      <c r="X274" s="224"/>
      <c r="Z274" s="50"/>
      <c r="AA274" s="57"/>
    </row>
    <row r="275" spans="1:27" ht="15.75" customHeight="1">
      <c r="A275" s="9"/>
      <c r="D275" s="203"/>
      <c r="E275" s="31"/>
      <c r="I275" s="132"/>
      <c r="J275" s="132"/>
      <c r="K275" s="221"/>
      <c r="L275" s="132"/>
      <c r="N275" s="10"/>
      <c r="O275" s="223"/>
      <c r="P275" s="22"/>
      <c r="Q275" s="22"/>
      <c r="T275" s="132"/>
      <c r="W275" s="22"/>
      <c r="X275" s="224"/>
      <c r="Z275" s="50"/>
      <c r="AA275" s="57"/>
    </row>
    <row r="276" spans="1:27" ht="15.75" customHeight="1">
      <c r="A276" s="9"/>
      <c r="D276" s="203"/>
      <c r="E276" s="31"/>
      <c r="I276" s="132"/>
      <c r="J276" s="132"/>
      <c r="K276" s="221"/>
      <c r="L276" s="132"/>
      <c r="N276" s="10"/>
      <c r="O276" s="223"/>
      <c r="P276" s="22"/>
      <c r="Q276" s="22"/>
      <c r="T276" s="132"/>
      <c r="W276" s="22"/>
      <c r="X276" s="224"/>
      <c r="Z276" s="50"/>
      <c r="AA276" s="57"/>
    </row>
    <row r="277" spans="1:27" ht="15.75" customHeight="1">
      <c r="A277" s="9"/>
      <c r="D277" s="203"/>
      <c r="E277" s="31"/>
      <c r="I277" s="132"/>
      <c r="J277" s="132"/>
      <c r="K277" s="221"/>
      <c r="L277" s="132"/>
      <c r="N277" s="10"/>
      <c r="O277" s="223"/>
      <c r="P277" s="22"/>
      <c r="Q277" s="22"/>
      <c r="T277" s="132"/>
      <c r="W277" s="22"/>
      <c r="X277" s="224"/>
      <c r="Z277" s="50"/>
      <c r="AA277" s="57"/>
    </row>
    <row r="278" spans="1:27" ht="15.75" customHeight="1">
      <c r="A278" s="9"/>
      <c r="D278" s="203"/>
      <c r="E278" s="31"/>
      <c r="I278" s="132"/>
      <c r="J278" s="132"/>
      <c r="K278" s="221"/>
      <c r="L278" s="132"/>
      <c r="N278" s="10"/>
      <c r="O278" s="223"/>
      <c r="P278" s="22"/>
      <c r="Q278" s="22"/>
      <c r="T278" s="132"/>
      <c r="W278" s="22"/>
      <c r="X278" s="224"/>
      <c r="Z278" s="50"/>
      <c r="AA278" s="57"/>
    </row>
    <row r="279" spans="1:27" ht="15.75" customHeight="1">
      <c r="A279" s="9"/>
      <c r="D279" s="203"/>
      <c r="E279" s="31"/>
      <c r="I279" s="132"/>
      <c r="J279" s="132"/>
      <c r="K279" s="221"/>
      <c r="L279" s="132"/>
      <c r="N279" s="10"/>
      <c r="O279" s="223"/>
      <c r="P279" s="22"/>
      <c r="Q279" s="22"/>
      <c r="T279" s="132"/>
      <c r="W279" s="22"/>
      <c r="X279" s="224"/>
      <c r="Z279" s="50"/>
      <c r="AA279" s="57"/>
    </row>
    <row r="280" spans="1:27" ht="15.75" customHeight="1">
      <c r="A280" s="9"/>
      <c r="D280" s="203"/>
      <c r="E280" s="31"/>
      <c r="I280" s="132"/>
      <c r="J280" s="132"/>
      <c r="K280" s="221"/>
      <c r="L280" s="132"/>
      <c r="N280" s="10"/>
      <c r="O280" s="223"/>
      <c r="P280" s="22"/>
      <c r="Q280" s="22"/>
      <c r="T280" s="132"/>
      <c r="W280" s="22"/>
      <c r="X280" s="224"/>
      <c r="Z280" s="50"/>
      <c r="AA280" s="57"/>
    </row>
    <row r="281" spans="1:27" ht="15.75" customHeight="1">
      <c r="A281" s="9"/>
      <c r="D281" s="203"/>
      <c r="E281" s="31"/>
      <c r="I281" s="132"/>
      <c r="J281" s="132"/>
      <c r="K281" s="221"/>
      <c r="L281" s="132"/>
      <c r="N281" s="10"/>
      <c r="O281" s="223"/>
      <c r="P281" s="22"/>
      <c r="Q281" s="22"/>
      <c r="T281" s="132"/>
      <c r="W281" s="22"/>
      <c r="X281" s="224"/>
      <c r="Z281" s="50"/>
      <c r="AA281" s="57"/>
    </row>
    <row r="282" spans="1:27" ht="15.75" customHeight="1">
      <c r="A282" s="9"/>
      <c r="D282" s="203"/>
      <c r="E282" s="31"/>
      <c r="I282" s="132"/>
      <c r="J282" s="132"/>
      <c r="K282" s="221"/>
      <c r="L282" s="132"/>
      <c r="N282" s="10"/>
      <c r="O282" s="223"/>
      <c r="P282" s="22"/>
      <c r="Q282" s="22"/>
      <c r="T282" s="132"/>
      <c r="W282" s="22"/>
      <c r="X282" s="224"/>
      <c r="Z282" s="50"/>
      <c r="AA282" s="57"/>
    </row>
    <row r="283" spans="1:27" ht="15.75" customHeight="1">
      <c r="A283" s="9"/>
      <c r="D283" s="203"/>
      <c r="E283" s="31"/>
      <c r="I283" s="132"/>
      <c r="J283" s="132"/>
      <c r="K283" s="221"/>
      <c r="L283" s="132"/>
      <c r="N283" s="10"/>
      <c r="O283" s="223"/>
      <c r="P283" s="22"/>
      <c r="Q283" s="22"/>
      <c r="T283" s="132"/>
      <c r="W283" s="22"/>
      <c r="X283" s="224"/>
      <c r="Z283" s="50"/>
      <c r="AA283" s="57"/>
    </row>
    <row r="284" spans="1:27" ht="15.75" customHeight="1">
      <c r="A284" s="9"/>
      <c r="D284" s="203"/>
      <c r="E284" s="31"/>
      <c r="I284" s="132"/>
      <c r="J284" s="132"/>
      <c r="K284" s="221"/>
      <c r="L284" s="132"/>
      <c r="N284" s="10"/>
      <c r="O284" s="223"/>
      <c r="P284" s="22"/>
      <c r="Q284" s="22"/>
      <c r="T284" s="132"/>
      <c r="W284" s="22"/>
      <c r="X284" s="224"/>
      <c r="Z284" s="50"/>
      <c r="AA284" s="57"/>
    </row>
    <row r="285" spans="1:27" ht="15.75" customHeight="1">
      <c r="A285" s="9"/>
      <c r="D285" s="203"/>
      <c r="E285" s="31"/>
      <c r="I285" s="132"/>
      <c r="J285" s="132"/>
      <c r="K285" s="221"/>
      <c r="L285" s="132"/>
      <c r="N285" s="10"/>
      <c r="O285" s="223"/>
      <c r="P285" s="22"/>
      <c r="Q285" s="22"/>
      <c r="T285" s="132"/>
      <c r="W285" s="22"/>
      <c r="X285" s="224"/>
      <c r="Z285" s="50"/>
      <c r="AA285" s="57"/>
    </row>
    <row r="286" spans="1:27" ht="15.75" customHeight="1">
      <c r="A286" s="9"/>
      <c r="D286" s="203"/>
      <c r="E286" s="31"/>
      <c r="I286" s="132"/>
      <c r="J286" s="132"/>
      <c r="K286" s="221"/>
      <c r="L286" s="132"/>
      <c r="N286" s="10"/>
      <c r="O286" s="223"/>
      <c r="P286" s="22"/>
      <c r="Q286" s="22"/>
      <c r="T286" s="132"/>
      <c r="W286" s="22"/>
      <c r="X286" s="224"/>
      <c r="Z286" s="50"/>
      <c r="AA286" s="57"/>
    </row>
    <row r="287" spans="1:27" ht="15.75" customHeight="1">
      <c r="A287" s="9"/>
      <c r="D287" s="203"/>
      <c r="E287" s="31"/>
      <c r="I287" s="132"/>
      <c r="J287" s="132"/>
      <c r="K287" s="221"/>
      <c r="L287" s="132"/>
      <c r="N287" s="10"/>
      <c r="O287" s="223"/>
      <c r="P287" s="22"/>
      <c r="Q287" s="22"/>
      <c r="T287" s="132"/>
      <c r="W287" s="22"/>
      <c r="X287" s="224"/>
      <c r="Z287" s="50"/>
      <c r="AA287" s="57"/>
    </row>
    <row r="288" spans="1:27" ht="15.75" customHeight="1">
      <c r="A288" s="9"/>
      <c r="D288" s="203"/>
      <c r="E288" s="31"/>
      <c r="I288" s="132"/>
      <c r="J288" s="132"/>
      <c r="K288" s="221"/>
      <c r="L288" s="132"/>
      <c r="N288" s="10"/>
      <c r="O288" s="223"/>
      <c r="P288" s="22"/>
      <c r="Q288" s="22"/>
      <c r="T288" s="132"/>
      <c r="W288" s="22"/>
      <c r="X288" s="224"/>
      <c r="Z288" s="50"/>
      <c r="AA288" s="57"/>
    </row>
    <row r="289" spans="1:27" ht="15.75" customHeight="1">
      <c r="A289" s="9"/>
      <c r="D289" s="203"/>
      <c r="E289" s="31"/>
      <c r="I289" s="132"/>
      <c r="J289" s="132"/>
      <c r="K289" s="221"/>
      <c r="L289" s="132"/>
      <c r="N289" s="10"/>
      <c r="O289" s="223"/>
      <c r="P289" s="22"/>
      <c r="Q289" s="22"/>
      <c r="T289" s="132"/>
      <c r="W289" s="22"/>
      <c r="X289" s="224"/>
      <c r="Z289" s="50"/>
      <c r="AA289" s="57"/>
    </row>
    <row r="290" spans="1:27" ht="15.75" customHeight="1">
      <c r="A290" s="9"/>
      <c r="D290" s="203"/>
      <c r="E290" s="31"/>
      <c r="I290" s="132"/>
      <c r="J290" s="132"/>
      <c r="K290" s="221"/>
      <c r="L290" s="132"/>
      <c r="N290" s="10"/>
      <c r="O290" s="223"/>
      <c r="P290" s="22"/>
      <c r="Q290" s="22"/>
      <c r="T290" s="132"/>
      <c r="W290" s="22"/>
      <c r="X290" s="224"/>
      <c r="Z290" s="50"/>
      <c r="AA290" s="57"/>
    </row>
    <row r="291" spans="1:27" ht="15.75" customHeight="1">
      <c r="A291" s="9"/>
      <c r="D291" s="203"/>
      <c r="E291" s="31"/>
      <c r="I291" s="132"/>
      <c r="J291" s="132"/>
      <c r="K291" s="221"/>
      <c r="L291" s="132"/>
      <c r="N291" s="10"/>
      <c r="O291" s="223"/>
      <c r="P291" s="22"/>
      <c r="Q291" s="22"/>
      <c r="T291" s="132"/>
      <c r="W291" s="22"/>
      <c r="X291" s="224"/>
      <c r="Z291" s="50"/>
      <c r="AA291" s="57"/>
    </row>
    <row r="292" spans="1:27" ht="15.75" customHeight="1">
      <c r="A292" s="9"/>
      <c r="D292" s="203"/>
      <c r="E292" s="31"/>
      <c r="I292" s="132"/>
      <c r="J292" s="132"/>
      <c r="K292" s="221"/>
      <c r="L292" s="132"/>
      <c r="N292" s="10"/>
      <c r="O292" s="223"/>
      <c r="P292" s="22"/>
      <c r="Q292" s="22"/>
      <c r="T292" s="132"/>
      <c r="W292" s="22"/>
      <c r="X292" s="224"/>
      <c r="Z292" s="50"/>
      <c r="AA292" s="57"/>
    </row>
    <row r="293" spans="1:27" ht="15.75" customHeight="1">
      <c r="A293" s="9"/>
      <c r="D293" s="203"/>
      <c r="E293" s="31"/>
      <c r="I293" s="132"/>
      <c r="J293" s="132"/>
      <c r="K293" s="221"/>
      <c r="L293" s="132"/>
      <c r="N293" s="10"/>
      <c r="O293" s="223"/>
      <c r="P293" s="22"/>
      <c r="Q293" s="22"/>
      <c r="T293" s="132"/>
      <c r="W293" s="22"/>
      <c r="X293" s="224"/>
      <c r="Z293" s="50"/>
      <c r="AA293" s="57"/>
    </row>
    <row r="294" spans="1:27" ht="15.75" customHeight="1">
      <c r="A294" s="9"/>
      <c r="D294" s="203"/>
      <c r="E294" s="31"/>
      <c r="I294" s="132"/>
      <c r="J294" s="132"/>
      <c r="K294" s="221"/>
      <c r="L294" s="132"/>
      <c r="N294" s="10"/>
      <c r="O294" s="223"/>
      <c r="P294" s="22"/>
      <c r="Q294" s="22"/>
      <c r="T294" s="132"/>
      <c r="W294" s="22"/>
      <c r="X294" s="224"/>
      <c r="Z294" s="50"/>
      <c r="AA294" s="57"/>
    </row>
    <row r="295" spans="1:27" ht="15.75" customHeight="1">
      <c r="A295" s="9"/>
      <c r="D295" s="203"/>
      <c r="E295" s="31"/>
      <c r="I295" s="132"/>
      <c r="J295" s="132"/>
      <c r="K295" s="221"/>
      <c r="L295" s="132"/>
      <c r="N295" s="10"/>
      <c r="O295" s="223"/>
      <c r="P295" s="22"/>
      <c r="Q295" s="22"/>
      <c r="T295" s="132"/>
      <c r="W295" s="22"/>
      <c r="X295" s="224"/>
      <c r="Z295" s="50"/>
      <c r="AA295" s="57"/>
    </row>
    <row r="296" spans="1:27" ht="15.75" customHeight="1">
      <c r="A296" s="9"/>
      <c r="D296" s="203"/>
      <c r="E296" s="31"/>
      <c r="I296" s="132"/>
      <c r="J296" s="132"/>
      <c r="K296" s="221"/>
      <c r="L296" s="132"/>
      <c r="N296" s="10"/>
      <c r="O296" s="223"/>
      <c r="P296" s="22"/>
      <c r="Q296" s="22"/>
      <c r="T296" s="132"/>
      <c r="W296" s="22"/>
      <c r="X296" s="224"/>
      <c r="Z296" s="50"/>
      <c r="AA296" s="57"/>
    </row>
    <row r="297" spans="1:27" ht="15.75" customHeight="1">
      <c r="A297" s="9"/>
      <c r="D297" s="203"/>
      <c r="E297" s="31"/>
      <c r="I297" s="132"/>
      <c r="J297" s="132"/>
      <c r="K297" s="221"/>
      <c r="L297" s="132"/>
      <c r="N297" s="10"/>
      <c r="O297" s="223"/>
      <c r="P297" s="22"/>
      <c r="Q297" s="22"/>
      <c r="T297" s="132"/>
      <c r="W297" s="22"/>
      <c r="X297" s="224"/>
      <c r="Z297" s="50"/>
      <c r="AA297" s="57"/>
    </row>
    <row r="298" spans="1:27" ht="15.75" customHeight="1">
      <c r="A298" s="9"/>
      <c r="D298" s="203"/>
      <c r="E298" s="31"/>
      <c r="I298" s="132"/>
      <c r="J298" s="132"/>
      <c r="K298" s="221"/>
      <c r="L298" s="132"/>
      <c r="N298" s="10"/>
      <c r="O298" s="223"/>
      <c r="P298" s="22"/>
      <c r="Q298" s="22"/>
      <c r="T298" s="132"/>
      <c r="W298" s="22"/>
      <c r="X298" s="224"/>
      <c r="Z298" s="50"/>
      <c r="AA298" s="57"/>
    </row>
    <row r="299" spans="1:27" ht="15.75" customHeight="1">
      <c r="A299" s="9"/>
      <c r="D299" s="203"/>
      <c r="E299" s="31"/>
      <c r="I299" s="132"/>
      <c r="J299" s="132"/>
      <c r="K299" s="221"/>
      <c r="L299" s="132"/>
      <c r="N299" s="10"/>
      <c r="O299" s="223"/>
      <c r="P299" s="22"/>
      <c r="Q299" s="22"/>
      <c r="T299" s="132"/>
      <c r="W299" s="22"/>
      <c r="X299" s="224"/>
      <c r="Z299" s="50"/>
      <c r="AA299" s="57"/>
    </row>
    <row r="300" spans="1:27" ht="15.75" customHeight="1">
      <c r="A300" s="9"/>
      <c r="D300" s="203"/>
      <c r="E300" s="31"/>
      <c r="I300" s="132"/>
      <c r="J300" s="132"/>
      <c r="K300" s="221"/>
      <c r="L300" s="132"/>
      <c r="N300" s="10"/>
      <c r="O300" s="223"/>
      <c r="P300" s="22"/>
      <c r="Q300" s="22"/>
      <c r="T300" s="132"/>
      <c r="W300" s="22"/>
      <c r="X300" s="224"/>
      <c r="Z300" s="50"/>
      <c r="AA300" s="57"/>
    </row>
    <row r="301" spans="1:27" ht="15.75" customHeight="1">
      <c r="A301" s="9"/>
      <c r="D301" s="203"/>
      <c r="E301" s="31"/>
      <c r="I301" s="132"/>
      <c r="J301" s="132"/>
      <c r="K301" s="221"/>
      <c r="L301" s="132"/>
      <c r="N301" s="10"/>
      <c r="O301" s="223"/>
      <c r="P301" s="22"/>
      <c r="Q301" s="22"/>
      <c r="T301" s="132"/>
      <c r="W301" s="22"/>
      <c r="X301" s="224"/>
      <c r="Z301" s="50"/>
      <c r="AA301" s="57"/>
    </row>
    <row r="302" spans="1:27" ht="15.75" customHeight="1">
      <c r="A302" s="9"/>
      <c r="D302" s="203"/>
      <c r="E302" s="31"/>
      <c r="I302" s="132"/>
      <c r="J302" s="132"/>
      <c r="K302" s="221"/>
      <c r="L302" s="132"/>
      <c r="N302" s="10"/>
      <c r="O302" s="223"/>
      <c r="P302" s="22"/>
      <c r="Q302" s="22"/>
      <c r="T302" s="132"/>
      <c r="W302" s="22"/>
      <c r="X302" s="224"/>
      <c r="Z302" s="50"/>
      <c r="AA302" s="57"/>
    </row>
    <row r="303" spans="1:27" ht="15.75" customHeight="1">
      <c r="A303" s="9"/>
      <c r="D303" s="203"/>
      <c r="E303" s="31"/>
      <c r="I303" s="132"/>
      <c r="J303" s="132"/>
      <c r="K303" s="221"/>
      <c r="L303" s="132"/>
      <c r="N303" s="10"/>
      <c r="O303" s="223"/>
      <c r="P303" s="22"/>
      <c r="Q303" s="22"/>
      <c r="T303" s="132"/>
      <c r="W303" s="22"/>
      <c r="X303" s="224"/>
      <c r="Z303" s="50"/>
      <c r="AA303" s="57"/>
    </row>
    <row r="304" spans="1:27" ht="15.75" customHeight="1">
      <c r="A304" s="9"/>
      <c r="D304" s="203"/>
      <c r="E304" s="31"/>
      <c r="I304" s="132"/>
      <c r="J304" s="132"/>
      <c r="K304" s="221"/>
      <c r="L304" s="132"/>
      <c r="N304" s="10"/>
      <c r="O304" s="223"/>
      <c r="P304" s="22"/>
      <c r="Q304" s="22"/>
      <c r="T304" s="132"/>
      <c r="W304" s="22"/>
      <c r="X304" s="224"/>
      <c r="Z304" s="50"/>
      <c r="AA304" s="57"/>
    </row>
    <row r="305" spans="1:27" ht="15.75" customHeight="1">
      <c r="A305" s="9"/>
      <c r="D305" s="203"/>
      <c r="E305" s="31"/>
      <c r="I305" s="132"/>
      <c r="J305" s="132"/>
      <c r="K305" s="221"/>
      <c r="L305" s="132"/>
      <c r="N305" s="10"/>
      <c r="O305" s="223"/>
      <c r="P305" s="22"/>
      <c r="Q305" s="22"/>
      <c r="T305" s="132"/>
      <c r="W305" s="22"/>
      <c r="X305" s="224"/>
      <c r="Z305" s="50"/>
      <c r="AA305" s="57"/>
    </row>
    <row r="306" spans="1:27" ht="15.75" customHeight="1">
      <c r="A306" s="9"/>
      <c r="D306" s="203"/>
      <c r="E306" s="31"/>
      <c r="I306" s="132"/>
      <c r="J306" s="132"/>
      <c r="K306" s="221"/>
      <c r="L306" s="132"/>
      <c r="N306" s="10"/>
      <c r="O306" s="223"/>
      <c r="P306" s="22"/>
      <c r="Q306" s="22"/>
      <c r="T306" s="132"/>
      <c r="W306" s="22"/>
      <c r="X306" s="224"/>
      <c r="Z306" s="50"/>
      <c r="AA306" s="57"/>
    </row>
    <row r="307" spans="1:27" ht="15.75" customHeight="1">
      <c r="A307" s="9"/>
      <c r="D307" s="203"/>
      <c r="E307" s="31"/>
      <c r="I307" s="132"/>
      <c r="J307" s="132"/>
      <c r="K307" s="221"/>
      <c r="L307" s="132"/>
      <c r="N307" s="10"/>
      <c r="O307" s="223"/>
      <c r="P307" s="22"/>
      <c r="Q307" s="22"/>
      <c r="T307" s="132"/>
      <c r="W307" s="22"/>
      <c r="X307" s="224"/>
      <c r="Z307" s="50"/>
      <c r="AA307" s="57"/>
    </row>
    <row r="308" spans="1:27" ht="15.75" customHeight="1">
      <c r="A308" s="9"/>
      <c r="D308" s="203"/>
      <c r="E308" s="31"/>
      <c r="I308" s="132"/>
      <c r="J308" s="132"/>
      <c r="K308" s="221"/>
      <c r="L308" s="132"/>
      <c r="N308" s="10"/>
      <c r="O308" s="223"/>
      <c r="P308" s="22"/>
      <c r="Q308" s="22"/>
      <c r="T308" s="132"/>
      <c r="W308" s="22"/>
      <c r="X308" s="224"/>
      <c r="Z308" s="50"/>
      <c r="AA308" s="57"/>
    </row>
    <row r="309" spans="1:27" ht="15.75" customHeight="1">
      <c r="A309" s="9"/>
      <c r="D309" s="203"/>
      <c r="E309" s="31"/>
      <c r="I309" s="132"/>
      <c r="J309" s="132"/>
      <c r="K309" s="221"/>
      <c r="L309" s="132"/>
      <c r="N309" s="10"/>
      <c r="O309" s="223"/>
      <c r="P309" s="22"/>
      <c r="Q309" s="22"/>
      <c r="T309" s="132"/>
      <c r="W309" s="22"/>
      <c r="X309" s="224"/>
      <c r="Z309" s="50"/>
      <c r="AA309" s="57"/>
    </row>
    <row r="310" spans="1:27" ht="15.75" customHeight="1">
      <c r="A310" s="9"/>
      <c r="D310" s="203"/>
      <c r="E310" s="31"/>
      <c r="I310" s="132"/>
      <c r="J310" s="132"/>
      <c r="K310" s="221"/>
      <c r="L310" s="132"/>
      <c r="N310" s="10"/>
      <c r="O310" s="223"/>
      <c r="P310" s="22"/>
      <c r="Q310" s="22"/>
      <c r="T310" s="132"/>
      <c r="W310" s="22"/>
      <c r="X310" s="224"/>
      <c r="Z310" s="50"/>
      <c r="AA310" s="57"/>
    </row>
    <row r="311" spans="1:27" ht="15.75" customHeight="1">
      <c r="A311" s="9"/>
      <c r="D311" s="203"/>
      <c r="E311" s="31"/>
      <c r="I311" s="132"/>
      <c r="J311" s="132"/>
      <c r="K311" s="221"/>
      <c r="L311" s="132"/>
      <c r="N311" s="10"/>
      <c r="O311" s="223"/>
      <c r="P311" s="22"/>
      <c r="Q311" s="22"/>
      <c r="T311" s="132"/>
      <c r="W311" s="22"/>
      <c r="X311" s="224"/>
      <c r="Z311" s="50"/>
      <c r="AA311" s="57"/>
    </row>
    <row r="312" spans="1:27" ht="15.75" customHeight="1">
      <c r="A312" s="9"/>
      <c r="D312" s="203"/>
      <c r="E312" s="31"/>
      <c r="I312" s="132"/>
      <c r="J312" s="132"/>
      <c r="K312" s="221"/>
      <c r="L312" s="132"/>
      <c r="N312" s="10"/>
      <c r="O312" s="223"/>
      <c r="P312" s="22"/>
      <c r="Q312" s="22"/>
      <c r="T312" s="132"/>
      <c r="W312" s="22"/>
      <c r="X312" s="224"/>
      <c r="Z312" s="50"/>
      <c r="AA312" s="57"/>
    </row>
    <row r="313" spans="1:27" ht="15.75" customHeight="1">
      <c r="A313" s="9"/>
      <c r="D313" s="203"/>
      <c r="E313" s="31"/>
      <c r="I313" s="132"/>
      <c r="J313" s="132"/>
      <c r="K313" s="221"/>
      <c r="L313" s="132"/>
      <c r="N313" s="10"/>
      <c r="O313" s="223"/>
      <c r="P313" s="22"/>
      <c r="Q313" s="22"/>
      <c r="T313" s="132"/>
      <c r="W313" s="22"/>
      <c r="X313" s="224"/>
      <c r="Z313" s="50"/>
      <c r="AA313" s="57"/>
    </row>
    <row r="314" spans="1:27" ht="15.75" customHeight="1">
      <c r="A314" s="9"/>
      <c r="D314" s="203"/>
      <c r="E314" s="31"/>
      <c r="I314" s="132"/>
      <c r="J314" s="132"/>
      <c r="K314" s="221"/>
      <c r="L314" s="132"/>
      <c r="N314" s="10"/>
      <c r="O314" s="223"/>
      <c r="P314" s="22"/>
      <c r="Q314" s="22"/>
      <c r="T314" s="132"/>
      <c r="W314" s="22"/>
      <c r="X314" s="224"/>
      <c r="Z314" s="50"/>
      <c r="AA314" s="57"/>
    </row>
    <row r="315" spans="1:27" ht="15.75" customHeight="1">
      <c r="A315" s="9"/>
      <c r="D315" s="203"/>
      <c r="E315" s="31"/>
      <c r="I315" s="132"/>
      <c r="J315" s="132"/>
      <c r="K315" s="221"/>
      <c r="L315" s="132"/>
      <c r="N315" s="10"/>
      <c r="O315" s="223"/>
      <c r="P315" s="22"/>
      <c r="Q315" s="22"/>
      <c r="T315" s="132"/>
      <c r="W315" s="22"/>
      <c r="X315" s="224"/>
      <c r="Z315" s="50"/>
      <c r="AA315" s="57"/>
    </row>
    <row r="316" spans="1:27" ht="15.75" customHeight="1">
      <c r="A316" s="9"/>
      <c r="D316" s="203"/>
      <c r="E316" s="31"/>
      <c r="I316" s="132"/>
      <c r="J316" s="132"/>
      <c r="K316" s="221"/>
      <c r="L316" s="132"/>
      <c r="N316" s="10"/>
      <c r="O316" s="223"/>
      <c r="P316" s="22"/>
      <c r="Q316" s="22"/>
      <c r="T316" s="132"/>
      <c r="W316" s="22"/>
      <c r="X316" s="224"/>
      <c r="Z316" s="50"/>
      <c r="AA316" s="57"/>
    </row>
    <row r="317" spans="1:27" ht="15.75" customHeight="1">
      <c r="A317" s="9"/>
      <c r="D317" s="203"/>
      <c r="E317" s="31"/>
      <c r="I317" s="132"/>
      <c r="J317" s="132"/>
      <c r="K317" s="221"/>
      <c r="L317" s="132"/>
      <c r="N317" s="10"/>
      <c r="O317" s="223"/>
      <c r="P317" s="22"/>
      <c r="Q317" s="22"/>
      <c r="T317" s="132"/>
      <c r="W317" s="22"/>
      <c r="X317" s="224"/>
      <c r="Z317" s="50"/>
      <c r="AA317" s="57"/>
    </row>
    <row r="318" spans="1:27" ht="15.75" customHeight="1">
      <c r="A318" s="9"/>
      <c r="D318" s="203"/>
      <c r="E318" s="31"/>
      <c r="I318" s="132"/>
      <c r="J318" s="132"/>
      <c r="K318" s="221"/>
      <c r="L318" s="132"/>
      <c r="N318" s="10"/>
      <c r="O318" s="223"/>
      <c r="P318" s="22"/>
      <c r="Q318" s="22"/>
      <c r="T318" s="132"/>
      <c r="W318" s="22"/>
      <c r="X318" s="224"/>
      <c r="Z318" s="50"/>
      <c r="AA318" s="57"/>
    </row>
    <row r="319" spans="1:27" ht="15.75" customHeight="1">
      <c r="A319" s="9"/>
      <c r="D319" s="203"/>
      <c r="E319" s="31"/>
      <c r="I319" s="132"/>
      <c r="J319" s="132"/>
      <c r="K319" s="221"/>
      <c r="L319" s="132"/>
      <c r="N319" s="10"/>
      <c r="O319" s="223"/>
      <c r="P319" s="22"/>
      <c r="Q319" s="22"/>
      <c r="T319" s="132"/>
      <c r="W319" s="22"/>
      <c r="X319" s="224"/>
      <c r="Z319" s="50"/>
      <c r="AA319" s="57"/>
    </row>
    <row r="320" spans="1:27" ht="15.75" customHeight="1">
      <c r="A320" s="9"/>
      <c r="D320" s="203"/>
      <c r="E320" s="31"/>
      <c r="I320" s="132"/>
      <c r="J320" s="132"/>
      <c r="K320" s="221"/>
      <c r="L320" s="132"/>
      <c r="N320" s="10"/>
      <c r="O320" s="223"/>
      <c r="P320" s="22"/>
      <c r="Q320" s="22"/>
      <c r="T320" s="132"/>
      <c r="W320" s="22"/>
      <c r="X320" s="224"/>
      <c r="Z320" s="50"/>
      <c r="AA320" s="57"/>
    </row>
    <row r="321" spans="1:27" ht="15.75" customHeight="1">
      <c r="A321" s="9"/>
      <c r="D321" s="203"/>
      <c r="E321" s="31"/>
      <c r="I321" s="132"/>
      <c r="J321" s="132"/>
      <c r="K321" s="221"/>
      <c r="L321" s="132"/>
      <c r="N321" s="10"/>
      <c r="O321" s="223"/>
      <c r="P321" s="22"/>
      <c r="Q321" s="22"/>
      <c r="T321" s="132"/>
      <c r="W321" s="22"/>
      <c r="X321" s="224"/>
      <c r="Z321" s="50"/>
      <c r="AA321" s="57"/>
    </row>
    <row r="322" spans="1:27" ht="15.75" customHeight="1">
      <c r="A322" s="9"/>
      <c r="D322" s="203"/>
      <c r="E322" s="31"/>
      <c r="I322" s="132"/>
      <c r="J322" s="132"/>
      <c r="K322" s="221"/>
      <c r="L322" s="132"/>
      <c r="N322" s="10"/>
      <c r="O322" s="223"/>
      <c r="P322" s="22"/>
      <c r="Q322" s="22"/>
      <c r="T322" s="132"/>
      <c r="W322" s="22"/>
      <c r="X322" s="224"/>
      <c r="Z322" s="50"/>
      <c r="AA322" s="57"/>
    </row>
    <row r="323" spans="1:27" ht="15.75" customHeight="1">
      <c r="A323" s="9"/>
      <c r="D323" s="203"/>
      <c r="E323" s="31"/>
      <c r="I323" s="132"/>
      <c r="J323" s="132"/>
      <c r="K323" s="221"/>
      <c r="L323" s="132"/>
      <c r="N323" s="10"/>
      <c r="O323" s="223"/>
      <c r="P323" s="22"/>
      <c r="Q323" s="22"/>
      <c r="T323" s="132"/>
      <c r="W323" s="22"/>
      <c r="X323" s="224"/>
      <c r="Z323" s="50"/>
      <c r="AA323" s="57"/>
    </row>
    <row r="324" spans="1:27" ht="15.75" customHeight="1">
      <c r="A324" s="9"/>
      <c r="D324" s="203"/>
      <c r="E324" s="31"/>
      <c r="I324" s="132"/>
      <c r="J324" s="132"/>
      <c r="K324" s="221"/>
      <c r="L324" s="132"/>
      <c r="N324" s="10"/>
      <c r="O324" s="223"/>
      <c r="P324" s="22"/>
      <c r="Q324" s="22"/>
      <c r="T324" s="132"/>
      <c r="W324" s="22"/>
      <c r="X324" s="224"/>
      <c r="Z324" s="50"/>
      <c r="AA324" s="57"/>
    </row>
    <row r="325" spans="1:27" ht="15.75" customHeight="1">
      <c r="A325" s="9"/>
      <c r="D325" s="203"/>
      <c r="E325" s="31"/>
      <c r="I325" s="132"/>
      <c r="J325" s="132"/>
      <c r="K325" s="221"/>
      <c r="L325" s="132"/>
      <c r="N325" s="10"/>
      <c r="O325" s="223"/>
      <c r="P325" s="22"/>
      <c r="Q325" s="22"/>
      <c r="T325" s="132"/>
      <c r="W325" s="22"/>
      <c r="X325" s="224"/>
      <c r="Z325" s="50"/>
      <c r="AA325" s="57"/>
    </row>
    <row r="326" spans="1:27" ht="15.75" customHeight="1">
      <c r="A326" s="9"/>
      <c r="D326" s="203"/>
      <c r="E326" s="31"/>
      <c r="I326" s="132"/>
      <c r="J326" s="132"/>
      <c r="K326" s="221"/>
      <c r="L326" s="132"/>
      <c r="N326" s="10"/>
      <c r="O326" s="223"/>
      <c r="P326" s="22"/>
      <c r="Q326" s="22"/>
      <c r="T326" s="132"/>
      <c r="W326" s="22"/>
      <c r="X326" s="224"/>
      <c r="Z326" s="50"/>
      <c r="AA326" s="57"/>
    </row>
    <row r="327" spans="1:27" ht="15.75" customHeight="1">
      <c r="A327" s="9"/>
      <c r="D327" s="203"/>
      <c r="E327" s="31"/>
      <c r="I327" s="132"/>
      <c r="J327" s="132"/>
      <c r="K327" s="221"/>
      <c r="L327" s="132"/>
      <c r="N327" s="10"/>
      <c r="O327" s="223"/>
      <c r="P327" s="22"/>
      <c r="Q327" s="22"/>
      <c r="T327" s="132"/>
      <c r="W327" s="22"/>
      <c r="X327" s="224"/>
      <c r="Z327" s="50"/>
      <c r="AA327" s="57"/>
    </row>
    <row r="328" spans="1:27" ht="15.75" customHeight="1">
      <c r="A328" s="9"/>
      <c r="D328" s="203"/>
      <c r="E328" s="31"/>
      <c r="I328" s="132"/>
      <c r="J328" s="132"/>
      <c r="K328" s="221"/>
      <c r="L328" s="132"/>
      <c r="N328" s="10"/>
      <c r="O328" s="223"/>
      <c r="P328" s="22"/>
      <c r="Q328" s="22"/>
      <c r="T328" s="132"/>
      <c r="W328" s="22"/>
      <c r="X328" s="224"/>
      <c r="Z328" s="50"/>
      <c r="AA328" s="57"/>
    </row>
    <row r="329" spans="1:27" ht="15.75" customHeight="1">
      <c r="A329" s="9"/>
      <c r="D329" s="203"/>
      <c r="E329" s="31"/>
      <c r="I329" s="132"/>
      <c r="J329" s="132"/>
      <c r="K329" s="221"/>
      <c r="L329" s="132"/>
      <c r="N329" s="10"/>
      <c r="O329" s="223"/>
      <c r="P329" s="22"/>
      <c r="Q329" s="22"/>
      <c r="T329" s="132"/>
      <c r="W329" s="22"/>
      <c r="X329" s="224"/>
      <c r="Z329" s="50"/>
      <c r="AA329" s="57"/>
    </row>
    <row r="330" spans="1:27" ht="15.75" customHeight="1">
      <c r="A330" s="9"/>
      <c r="D330" s="203"/>
      <c r="E330" s="31"/>
      <c r="I330" s="132"/>
      <c r="J330" s="132"/>
      <c r="K330" s="221"/>
      <c r="L330" s="132"/>
      <c r="N330" s="10"/>
      <c r="O330" s="223"/>
      <c r="P330" s="22"/>
      <c r="Q330" s="22"/>
      <c r="T330" s="132"/>
      <c r="W330" s="22"/>
      <c r="X330" s="224"/>
      <c r="Z330" s="50"/>
      <c r="AA330" s="57"/>
    </row>
    <row r="331" spans="1:27" ht="15.75" customHeight="1">
      <c r="A331" s="9"/>
      <c r="D331" s="203"/>
      <c r="E331" s="31"/>
      <c r="I331" s="132"/>
      <c r="J331" s="132"/>
      <c r="K331" s="221"/>
      <c r="L331" s="132"/>
      <c r="N331" s="10"/>
      <c r="O331" s="223"/>
      <c r="P331" s="22"/>
      <c r="Q331" s="22"/>
      <c r="T331" s="132"/>
      <c r="W331" s="22"/>
      <c r="X331" s="224"/>
      <c r="Z331" s="50"/>
      <c r="AA331" s="57"/>
    </row>
    <row r="332" spans="1:27" ht="15.75" customHeight="1">
      <c r="A332" s="9"/>
      <c r="D332" s="203"/>
      <c r="E332" s="31"/>
      <c r="I332" s="132"/>
      <c r="J332" s="132"/>
      <c r="K332" s="221"/>
      <c r="L332" s="132"/>
      <c r="N332" s="10"/>
      <c r="O332" s="223"/>
      <c r="P332" s="22"/>
      <c r="Q332" s="22"/>
      <c r="T332" s="132"/>
      <c r="W332" s="22"/>
      <c r="X332" s="224"/>
      <c r="Z332" s="50"/>
      <c r="AA332" s="57"/>
    </row>
    <row r="333" spans="1:27" ht="15.75" customHeight="1">
      <c r="A333" s="9"/>
      <c r="D333" s="203"/>
      <c r="E333" s="31"/>
      <c r="I333" s="132"/>
      <c r="J333" s="132"/>
      <c r="K333" s="221"/>
      <c r="L333" s="132"/>
      <c r="N333" s="10"/>
      <c r="O333" s="223"/>
      <c r="P333" s="22"/>
      <c r="Q333" s="22"/>
      <c r="T333" s="132"/>
      <c r="W333" s="22"/>
      <c r="X333" s="224"/>
      <c r="Z333" s="50"/>
      <c r="AA333" s="57"/>
    </row>
    <row r="334" spans="1:27" ht="15.75" customHeight="1">
      <c r="A334" s="9"/>
      <c r="D334" s="203"/>
      <c r="E334" s="31"/>
      <c r="I334" s="132"/>
      <c r="J334" s="132"/>
      <c r="K334" s="221"/>
      <c r="L334" s="132"/>
      <c r="N334" s="10"/>
      <c r="O334" s="223"/>
      <c r="P334" s="22"/>
      <c r="Q334" s="22"/>
      <c r="T334" s="132"/>
      <c r="W334" s="22"/>
      <c r="X334" s="224"/>
      <c r="Z334" s="50"/>
      <c r="AA334" s="57"/>
    </row>
    <row r="335" spans="1:27" ht="15.75" customHeight="1">
      <c r="A335" s="9"/>
      <c r="D335" s="203"/>
      <c r="E335" s="31"/>
      <c r="I335" s="132"/>
      <c r="J335" s="132"/>
      <c r="K335" s="221"/>
      <c r="L335" s="132"/>
      <c r="N335" s="10"/>
      <c r="O335" s="223"/>
      <c r="P335" s="22"/>
      <c r="Q335" s="22"/>
      <c r="T335" s="132"/>
      <c r="W335" s="22"/>
      <c r="X335" s="224"/>
      <c r="Z335" s="50"/>
      <c r="AA335" s="57"/>
    </row>
    <row r="336" spans="1:27" ht="15.75" customHeight="1">
      <c r="A336" s="9"/>
      <c r="D336" s="203"/>
      <c r="E336" s="31"/>
      <c r="I336" s="132"/>
      <c r="J336" s="132"/>
      <c r="K336" s="221"/>
      <c r="L336" s="132"/>
      <c r="N336" s="10"/>
      <c r="O336" s="223"/>
      <c r="P336" s="22"/>
      <c r="Q336" s="22"/>
      <c r="T336" s="132"/>
      <c r="W336" s="22"/>
      <c r="X336" s="224"/>
      <c r="Z336" s="50"/>
      <c r="AA336" s="57"/>
    </row>
    <row r="337" spans="1:27" ht="15.75" customHeight="1">
      <c r="A337" s="9"/>
      <c r="D337" s="203"/>
      <c r="E337" s="31"/>
      <c r="I337" s="132"/>
      <c r="J337" s="132"/>
      <c r="K337" s="221"/>
      <c r="L337" s="132"/>
      <c r="N337" s="10"/>
      <c r="O337" s="223"/>
      <c r="P337" s="22"/>
      <c r="Q337" s="22"/>
      <c r="T337" s="132"/>
      <c r="W337" s="22"/>
      <c r="X337" s="224"/>
      <c r="Z337" s="50"/>
      <c r="AA337" s="57"/>
    </row>
    <row r="338" spans="1:27" ht="15.75" customHeight="1">
      <c r="A338" s="9"/>
      <c r="D338" s="203"/>
      <c r="E338" s="31"/>
      <c r="I338" s="132"/>
      <c r="J338" s="132"/>
      <c r="K338" s="221"/>
      <c r="L338" s="132"/>
      <c r="N338" s="10"/>
      <c r="O338" s="223"/>
      <c r="P338" s="22"/>
      <c r="Q338" s="22"/>
      <c r="T338" s="132"/>
      <c r="W338" s="22"/>
      <c r="X338" s="224"/>
      <c r="Z338" s="50"/>
      <c r="AA338" s="57"/>
    </row>
    <row r="339" spans="1:27" ht="15.75" customHeight="1">
      <c r="A339" s="9"/>
      <c r="D339" s="203"/>
      <c r="E339" s="31"/>
      <c r="I339" s="132"/>
      <c r="J339" s="132"/>
      <c r="K339" s="221"/>
      <c r="L339" s="132"/>
      <c r="N339" s="10"/>
      <c r="O339" s="223"/>
      <c r="P339" s="22"/>
      <c r="Q339" s="22"/>
      <c r="T339" s="132"/>
      <c r="W339" s="22"/>
      <c r="X339" s="224"/>
      <c r="Z339" s="50"/>
      <c r="AA339" s="57"/>
    </row>
    <row r="340" spans="1:27" ht="15.75" customHeight="1">
      <c r="A340" s="9"/>
      <c r="D340" s="203"/>
      <c r="E340" s="31"/>
      <c r="I340" s="132"/>
      <c r="J340" s="132"/>
      <c r="K340" s="221"/>
      <c r="L340" s="132"/>
      <c r="N340" s="10"/>
      <c r="O340" s="223"/>
      <c r="P340" s="22"/>
      <c r="Q340" s="22"/>
      <c r="T340" s="132"/>
      <c r="W340" s="22"/>
      <c r="X340" s="224"/>
      <c r="Z340" s="50"/>
      <c r="AA340" s="57"/>
    </row>
    <row r="341" spans="1:27" ht="15.75" customHeight="1">
      <c r="A341" s="9"/>
      <c r="D341" s="203"/>
      <c r="E341" s="31"/>
      <c r="I341" s="132"/>
      <c r="J341" s="132"/>
      <c r="K341" s="221"/>
      <c r="L341" s="132"/>
      <c r="N341" s="10"/>
      <c r="O341" s="223"/>
      <c r="P341" s="22"/>
      <c r="Q341" s="22"/>
      <c r="T341" s="132"/>
      <c r="W341" s="22"/>
      <c r="X341" s="224"/>
      <c r="Z341" s="50"/>
      <c r="AA341" s="57"/>
    </row>
    <row r="342" spans="1:27" ht="15.75" customHeight="1">
      <c r="A342" s="9"/>
      <c r="D342" s="203"/>
      <c r="E342" s="31"/>
      <c r="I342" s="132"/>
      <c r="J342" s="132"/>
      <c r="K342" s="221"/>
      <c r="L342" s="132"/>
      <c r="N342" s="10"/>
      <c r="O342" s="223"/>
      <c r="P342" s="22"/>
      <c r="Q342" s="22"/>
      <c r="T342" s="132"/>
      <c r="W342" s="22"/>
      <c r="X342" s="224"/>
      <c r="Z342" s="50"/>
      <c r="AA342" s="57"/>
    </row>
    <row r="343" spans="1:27" ht="15.75" customHeight="1">
      <c r="A343" s="9"/>
      <c r="D343" s="203"/>
      <c r="E343" s="31"/>
      <c r="I343" s="132"/>
      <c r="J343" s="132"/>
      <c r="K343" s="221"/>
      <c r="L343" s="132"/>
      <c r="N343" s="10"/>
      <c r="O343" s="223"/>
      <c r="P343" s="22"/>
      <c r="Q343" s="22"/>
      <c r="T343" s="132"/>
      <c r="W343" s="22"/>
      <c r="X343" s="224"/>
      <c r="Z343" s="50"/>
      <c r="AA343" s="57"/>
    </row>
    <row r="344" spans="1:27" ht="15.75" customHeight="1">
      <c r="A344" s="9"/>
      <c r="D344" s="203"/>
      <c r="E344" s="31"/>
      <c r="I344" s="132"/>
      <c r="J344" s="132"/>
      <c r="K344" s="221"/>
      <c r="L344" s="132"/>
      <c r="N344" s="10"/>
      <c r="O344" s="223"/>
      <c r="P344" s="22"/>
      <c r="Q344" s="22"/>
      <c r="T344" s="132"/>
      <c r="W344" s="22"/>
      <c r="X344" s="224"/>
      <c r="Z344" s="50"/>
      <c r="AA344" s="57"/>
    </row>
    <row r="345" spans="1:27" ht="15.75" customHeight="1">
      <c r="A345" s="9"/>
      <c r="D345" s="203"/>
      <c r="E345" s="31"/>
      <c r="I345" s="132"/>
      <c r="J345" s="132"/>
      <c r="K345" s="221"/>
      <c r="L345" s="132"/>
      <c r="N345" s="10"/>
      <c r="O345" s="223"/>
      <c r="P345" s="22"/>
      <c r="Q345" s="22"/>
      <c r="T345" s="132"/>
      <c r="W345" s="22"/>
      <c r="X345" s="224"/>
      <c r="Z345" s="50"/>
      <c r="AA345" s="57"/>
    </row>
    <row r="346" spans="1:27" ht="15.75" customHeight="1">
      <c r="A346" s="9"/>
      <c r="D346" s="203"/>
      <c r="E346" s="31"/>
      <c r="I346" s="132"/>
      <c r="J346" s="132"/>
      <c r="K346" s="221"/>
      <c r="L346" s="132"/>
      <c r="N346" s="10"/>
      <c r="O346" s="223"/>
      <c r="P346" s="22"/>
      <c r="Q346" s="22"/>
      <c r="T346" s="132"/>
      <c r="W346" s="22"/>
      <c r="X346" s="224"/>
      <c r="Z346" s="50"/>
      <c r="AA346" s="57"/>
    </row>
    <row r="347" spans="1:27" ht="15.75" customHeight="1">
      <c r="A347" s="9"/>
      <c r="D347" s="203"/>
      <c r="E347" s="31"/>
      <c r="I347" s="132"/>
      <c r="J347" s="132"/>
      <c r="K347" s="221"/>
      <c r="L347" s="132"/>
      <c r="N347" s="10"/>
      <c r="O347" s="223"/>
      <c r="P347" s="22"/>
      <c r="Q347" s="22"/>
      <c r="T347" s="132"/>
      <c r="W347" s="22"/>
      <c r="X347" s="224"/>
      <c r="Z347" s="50"/>
      <c r="AA347" s="57"/>
    </row>
    <row r="348" spans="1:27" ht="15.75" customHeight="1">
      <c r="A348" s="9"/>
      <c r="D348" s="203"/>
      <c r="E348" s="31"/>
      <c r="I348" s="132"/>
      <c r="J348" s="132"/>
      <c r="K348" s="221"/>
      <c r="L348" s="132"/>
      <c r="N348" s="10"/>
      <c r="O348" s="223"/>
      <c r="P348" s="22"/>
      <c r="Q348" s="22"/>
      <c r="T348" s="132"/>
      <c r="W348" s="22"/>
      <c r="X348" s="224"/>
      <c r="Z348" s="50"/>
      <c r="AA348" s="57"/>
    </row>
    <row r="349" spans="1:27" ht="15.75" customHeight="1">
      <c r="A349" s="9"/>
      <c r="D349" s="203"/>
      <c r="E349" s="31"/>
      <c r="I349" s="132"/>
      <c r="J349" s="132"/>
      <c r="K349" s="221"/>
      <c r="L349" s="132"/>
      <c r="N349" s="10"/>
      <c r="O349" s="223"/>
      <c r="P349" s="22"/>
      <c r="Q349" s="22"/>
      <c r="T349" s="132"/>
      <c r="W349" s="22"/>
      <c r="X349" s="224"/>
      <c r="Z349" s="50"/>
      <c r="AA349" s="57"/>
    </row>
    <row r="350" spans="1:27" ht="15.75" customHeight="1">
      <c r="A350" s="9"/>
      <c r="D350" s="203"/>
      <c r="E350" s="31"/>
      <c r="I350" s="132"/>
      <c r="J350" s="132"/>
      <c r="K350" s="221"/>
      <c r="L350" s="132"/>
      <c r="N350" s="10"/>
      <c r="O350" s="223"/>
      <c r="P350" s="22"/>
      <c r="Q350" s="22"/>
      <c r="T350" s="132"/>
      <c r="W350" s="22"/>
      <c r="X350" s="224"/>
      <c r="Z350" s="50"/>
      <c r="AA350" s="57"/>
    </row>
    <row r="351" spans="1:27" ht="15.75" customHeight="1">
      <c r="A351" s="9"/>
      <c r="D351" s="203"/>
      <c r="E351" s="31"/>
      <c r="I351" s="132"/>
      <c r="J351" s="132"/>
      <c r="K351" s="221"/>
      <c r="L351" s="132"/>
      <c r="N351" s="10"/>
      <c r="O351" s="223"/>
      <c r="P351" s="22"/>
      <c r="Q351" s="22"/>
      <c r="T351" s="132"/>
      <c r="W351" s="22"/>
      <c r="X351" s="224"/>
      <c r="Z351" s="50"/>
      <c r="AA351" s="57"/>
    </row>
    <row r="352" spans="1:27" ht="15.75" customHeight="1">
      <c r="A352" s="9"/>
      <c r="D352" s="203"/>
      <c r="E352" s="31"/>
      <c r="I352" s="132"/>
      <c r="J352" s="132"/>
      <c r="K352" s="221"/>
      <c r="L352" s="132"/>
      <c r="N352" s="10"/>
      <c r="O352" s="223"/>
      <c r="P352" s="22"/>
      <c r="Q352" s="22"/>
      <c r="T352" s="132"/>
      <c r="W352" s="22"/>
      <c r="X352" s="224"/>
      <c r="Z352" s="50"/>
      <c r="AA352" s="57"/>
    </row>
    <row r="353" spans="1:27" ht="15.75" customHeight="1">
      <c r="A353" s="9"/>
      <c r="D353" s="203"/>
      <c r="E353" s="31"/>
      <c r="I353" s="132"/>
      <c r="J353" s="132"/>
      <c r="K353" s="221"/>
      <c r="L353" s="132"/>
      <c r="N353" s="10"/>
      <c r="O353" s="223"/>
      <c r="P353" s="22"/>
      <c r="Q353" s="22"/>
      <c r="T353" s="132"/>
      <c r="W353" s="22"/>
      <c r="X353" s="224"/>
      <c r="Z353" s="50"/>
      <c r="AA353" s="57"/>
    </row>
    <row r="354" spans="1:27" ht="15.75" customHeight="1">
      <c r="A354" s="9"/>
      <c r="D354" s="203"/>
      <c r="E354" s="31"/>
      <c r="I354" s="132"/>
      <c r="J354" s="132"/>
      <c r="K354" s="221"/>
      <c r="L354" s="132"/>
      <c r="N354" s="10"/>
      <c r="O354" s="223"/>
      <c r="P354" s="22"/>
      <c r="Q354" s="22"/>
      <c r="T354" s="132"/>
      <c r="W354" s="22"/>
      <c r="X354" s="224"/>
      <c r="Z354" s="50"/>
      <c r="AA354" s="57"/>
    </row>
    <row r="355" spans="1:27" ht="15.75" customHeight="1">
      <c r="A355" s="9"/>
      <c r="D355" s="203"/>
      <c r="E355" s="31"/>
      <c r="I355" s="132"/>
      <c r="J355" s="132"/>
      <c r="K355" s="221"/>
      <c r="L355" s="132"/>
      <c r="N355" s="10"/>
      <c r="O355" s="223"/>
      <c r="P355" s="22"/>
      <c r="Q355" s="22"/>
      <c r="T355" s="132"/>
      <c r="W355" s="22"/>
      <c r="X355" s="224"/>
      <c r="Z355" s="50"/>
      <c r="AA355" s="57"/>
    </row>
    <row r="356" spans="1:27" ht="15.75" customHeight="1">
      <c r="A356" s="9"/>
      <c r="D356" s="203"/>
      <c r="E356" s="31"/>
      <c r="I356" s="132"/>
      <c r="J356" s="132"/>
      <c r="K356" s="221"/>
      <c r="L356" s="132"/>
      <c r="N356" s="10"/>
      <c r="O356" s="223"/>
      <c r="P356" s="22"/>
      <c r="Q356" s="22"/>
      <c r="T356" s="132"/>
      <c r="W356" s="22"/>
      <c r="X356" s="224"/>
      <c r="Z356" s="50"/>
      <c r="AA356" s="57"/>
    </row>
    <row r="357" spans="1:27" ht="15.75" customHeight="1">
      <c r="A357" s="9"/>
      <c r="D357" s="203"/>
      <c r="E357" s="31"/>
      <c r="I357" s="132"/>
      <c r="J357" s="132"/>
      <c r="K357" s="221"/>
      <c r="L357" s="132"/>
      <c r="N357" s="10"/>
      <c r="O357" s="223"/>
      <c r="P357" s="22"/>
      <c r="Q357" s="22"/>
      <c r="T357" s="132"/>
      <c r="W357" s="22"/>
      <c r="X357" s="224"/>
      <c r="Z357" s="50"/>
      <c r="AA357" s="57"/>
    </row>
    <row r="358" spans="1:27" ht="15.75" customHeight="1">
      <c r="A358" s="9"/>
      <c r="D358" s="203"/>
      <c r="E358" s="31"/>
      <c r="I358" s="132"/>
      <c r="J358" s="132"/>
      <c r="K358" s="221"/>
      <c r="L358" s="132"/>
      <c r="N358" s="10"/>
      <c r="O358" s="223"/>
      <c r="P358" s="22"/>
      <c r="Q358" s="22"/>
      <c r="T358" s="132"/>
      <c r="W358" s="22"/>
      <c r="X358" s="224"/>
      <c r="Z358" s="50"/>
      <c r="AA358" s="57"/>
    </row>
    <row r="359" spans="1:27" ht="15.75" customHeight="1">
      <c r="A359" s="9"/>
      <c r="D359" s="203"/>
      <c r="E359" s="31"/>
      <c r="I359" s="132"/>
      <c r="J359" s="132"/>
      <c r="K359" s="221"/>
      <c r="L359" s="132"/>
      <c r="N359" s="10"/>
      <c r="O359" s="223"/>
      <c r="P359" s="22"/>
      <c r="Q359" s="22"/>
      <c r="T359" s="132"/>
      <c r="W359" s="22"/>
      <c r="X359" s="224"/>
      <c r="Z359" s="50"/>
      <c r="AA359" s="57"/>
    </row>
    <row r="360" spans="1:27" ht="15.75" customHeight="1">
      <c r="A360" s="9"/>
      <c r="D360" s="203"/>
      <c r="E360" s="31"/>
      <c r="I360" s="132"/>
      <c r="J360" s="132"/>
      <c r="K360" s="221"/>
      <c r="L360" s="132"/>
      <c r="N360" s="10"/>
      <c r="O360" s="223"/>
      <c r="P360" s="22"/>
      <c r="Q360" s="22"/>
      <c r="T360" s="132"/>
      <c r="W360" s="22"/>
      <c r="X360" s="224"/>
      <c r="Z360" s="50"/>
      <c r="AA360" s="57"/>
    </row>
    <row r="361" spans="1:27" ht="15.75" customHeight="1">
      <c r="A361" s="9"/>
      <c r="D361" s="203"/>
      <c r="E361" s="31"/>
      <c r="I361" s="132"/>
      <c r="J361" s="132"/>
      <c r="K361" s="221"/>
      <c r="L361" s="132"/>
      <c r="N361" s="10"/>
      <c r="O361" s="223"/>
      <c r="P361" s="22"/>
      <c r="Q361" s="22"/>
      <c r="T361" s="132"/>
      <c r="W361" s="22"/>
      <c r="X361" s="224"/>
      <c r="Z361" s="50"/>
      <c r="AA361" s="57"/>
    </row>
    <row r="362" spans="1:27" ht="15.75" customHeight="1">
      <c r="A362" s="9"/>
      <c r="D362" s="203"/>
      <c r="E362" s="31"/>
      <c r="I362" s="132"/>
      <c r="J362" s="132"/>
      <c r="K362" s="221"/>
      <c r="L362" s="132"/>
      <c r="N362" s="10"/>
      <c r="O362" s="223"/>
      <c r="P362" s="22"/>
      <c r="Q362" s="22"/>
      <c r="T362" s="132"/>
      <c r="W362" s="22"/>
      <c r="X362" s="224"/>
      <c r="Z362" s="50"/>
      <c r="AA362" s="57"/>
    </row>
    <row r="363" spans="1:27" ht="15.75" customHeight="1">
      <c r="A363" s="9"/>
      <c r="D363" s="203"/>
      <c r="E363" s="31"/>
      <c r="I363" s="132"/>
      <c r="J363" s="132"/>
      <c r="K363" s="221"/>
      <c r="L363" s="132"/>
      <c r="N363" s="10"/>
      <c r="O363" s="223"/>
      <c r="P363" s="22"/>
      <c r="Q363" s="22"/>
      <c r="T363" s="132"/>
      <c r="W363" s="22"/>
      <c r="X363" s="224"/>
      <c r="Z363" s="50"/>
      <c r="AA363" s="57"/>
    </row>
    <row r="364" spans="1:27" ht="15.75" customHeight="1">
      <c r="A364" s="9"/>
      <c r="D364" s="203"/>
      <c r="E364" s="31"/>
      <c r="I364" s="132"/>
      <c r="J364" s="132"/>
      <c r="K364" s="221"/>
      <c r="L364" s="132"/>
      <c r="N364" s="10"/>
      <c r="O364" s="223"/>
      <c r="P364" s="22"/>
      <c r="Q364" s="22"/>
      <c r="T364" s="132"/>
      <c r="W364" s="22"/>
      <c r="X364" s="224"/>
      <c r="Z364" s="50"/>
      <c r="AA364" s="57"/>
    </row>
    <row r="365" spans="1:27" ht="15.75" customHeight="1">
      <c r="A365" s="9"/>
      <c r="D365" s="203"/>
      <c r="E365" s="31"/>
      <c r="I365" s="132"/>
      <c r="J365" s="132"/>
      <c r="K365" s="221"/>
      <c r="L365" s="132"/>
      <c r="N365" s="10"/>
      <c r="O365" s="223"/>
      <c r="P365" s="22"/>
      <c r="Q365" s="22"/>
      <c r="T365" s="132"/>
      <c r="W365" s="22"/>
      <c r="X365" s="224"/>
      <c r="Z365" s="50"/>
      <c r="AA365" s="57"/>
    </row>
    <row r="366" spans="1:27" ht="15.75" customHeight="1">
      <c r="A366" s="9"/>
      <c r="D366" s="203"/>
      <c r="E366" s="31"/>
      <c r="I366" s="132"/>
      <c r="J366" s="132"/>
      <c r="K366" s="221"/>
      <c r="L366" s="132"/>
      <c r="N366" s="10"/>
      <c r="O366" s="223"/>
      <c r="P366" s="22"/>
      <c r="Q366" s="22"/>
      <c r="T366" s="132"/>
      <c r="W366" s="22"/>
      <c r="X366" s="224"/>
      <c r="Z366" s="50"/>
      <c r="AA366" s="57"/>
    </row>
    <row r="367" spans="1:27" ht="15.75" customHeight="1">
      <c r="A367" s="9"/>
      <c r="D367" s="203"/>
      <c r="E367" s="31"/>
      <c r="I367" s="132"/>
      <c r="J367" s="132"/>
      <c r="K367" s="221"/>
      <c r="L367" s="132"/>
      <c r="N367" s="10"/>
      <c r="O367" s="223"/>
      <c r="P367" s="22"/>
      <c r="Q367" s="22"/>
      <c r="T367" s="132"/>
      <c r="W367" s="22"/>
      <c r="X367" s="224"/>
      <c r="Z367" s="50"/>
      <c r="AA367" s="57"/>
    </row>
    <row r="368" spans="1:27" ht="15.75" customHeight="1">
      <c r="A368" s="9"/>
      <c r="D368" s="203"/>
      <c r="E368" s="31"/>
      <c r="I368" s="132"/>
      <c r="J368" s="132"/>
      <c r="K368" s="221"/>
      <c r="L368" s="132"/>
      <c r="N368" s="10"/>
      <c r="O368" s="223"/>
      <c r="P368" s="22"/>
      <c r="Q368" s="22"/>
      <c r="T368" s="132"/>
      <c r="W368" s="22"/>
      <c r="X368" s="224"/>
      <c r="Z368" s="50"/>
      <c r="AA368" s="57"/>
    </row>
    <row r="369" spans="1:27" ht="15.75" customHeight="1">
      <c r="A369" s="9"/>
      <c r="D369" s="203"/>
      <c r="E369" s="31"/>
      <c r="I369" s="132"/>
      <c r="J369" s="132"/>
      <c r="K369" s="221"/>
      <c r="L369" s="132"/>
      <c r="N369" s="10"/>
      <c r="O369" s="223"/>
      <c r="P369" s="22"/>
      <c r="Q369" s="22"/>
      <c r="T369" s="132"/>
      <c r="W369" s="22"/>
      <c r="X369" s="224"/>
      <c r="Z369" s="50"/>
      <c r="AA369" s="57"/>
    </row>
    <row r="370" spans="1:27" ht="15.75" customHeight="1">
      <c r="A370" s="9"/>
      <c r="D370" s="203"/>
      <c r="E370" s="31"/>
      <c r="I370" s="132"/>
      <c r="J370" s="132"/>
      <c r="K370" s="221"/>
      <c r="L370" s="132"/>
      <c r="N370" s="10"/>
      <c r="O370" s="223"/>
      <c r="P370" s="22"/>
      <c r="Q370" s="22"/>
      <c r="T370" s="132"/>
      <c r="W370" s="22"/>
      <c r="X370" s="224"/>
      <c r="Z370" s="50"/>
      <c r="AA370" s="57"/>
    </row>
    <row r="371" spans="1:27" ht="15.75" customHeight="1">
      <c r="A371" s="9"/>
      <c r="D371" s="203"/>
      <c r="E371" s="31"/>
      <c r="I371" s="132"/>
      <c r="J371" s="132"/>
      <c r="K371" s="221"/>
      <c r="L371" s="132"/>
      <c r="N371" s="10"/>
      <c r="O371" s="223"/>
      <c r="P371" s="22"/>
      <c r="Q371" s="22"/>
      <c r="T371" s="132"/>
      <c r="W371" s="22"/>
      <c r="X371" s="224"/>
      <c r="Z371" s="50"/>
      <c r="AA371" s="57"/>
    </row>
    <row r="372" spans="1:27" ht="15.75" customHeight="1">
      <c r="A372" s="9"/>
      <c r="D372" s="203"/>
      <c r="E372" s="31"/>
      <c r="I372" s="132"/>
      <c r="J372" s="132"/>
      <c r="K372" s="221"/>
      <c r="L372" s="132"/>
      <c r="N372" s="10"/>
      <c r="O372" s="223"/>
      <c r="P372" s="22"/>
      <c r="Q372" s="22"/>
      <c r="T372" s="132"/>
      <c r="W372" s="22"/>
      <c r="X372" s="224"/>
      <c r="Z372" s="50"/>
      <c r="AA372" s="57"/>
    </row>
    <row r="373" spans="1:27" ht="15.75" customHeight="1">
      <c r="A373" s="9"/>
      <c r="D373" s="203"/>
      <c r="E373" s="31"/>
      <c r="I373" s="132"/>
      <c r="J373" s="132"/>
      <c r="K373" s="221"/>
      <c r="L373" s="132"/>
      <c r="N373" s="10"/>
      <c r="O373" s="223"/>
      <c r="P373" s="22"/>
      <c r="Q373" s="22"/>
      <c r="T373" s="132"/>
      <c r="W373" s="22"/>
      <c r="X373" s="224"/>
      <c r="Z373" s="50"/>
      <c r="AA373" s="57"/>
    </row>
    <row r="374" spans="1:27" ht="15.75" customHeight="1">
      <c r="A374" s="9"/>
      <c r="D374" s="203"/>
      <c r="E374" s="31"/>
      <c r="I374" s="132"/>
      <c r="J374" s="132"/>
      <c r="K374" s="221"/>
      <c r="L374" s="132"/>
      <c r="N374" s="10"/>
      <c r="O374" s="223"/>
      <c r="P374" s="22"/>
      <c r="Q374" s="22"/>
      <c r="T374" s="132"/>
      <c r="W374" s="22"/>
      <c r="X374" s="224"/>
      <c r="Z374" s="50"/>
      <c r="AA374" s="57"/>
    </row>
    <row r="375" spans="1:27" ht="15.75" customHeight="1">
      <c r="A375" s="9"/>
      <c r="D375" s="203"/>
      <c r="E375" s="31"/>
      <c r="I375" s="132"/>
      <c r="J375" s="132"/>
      <c r="K375" s="221"/>
      <c r="L375" s="132"/>
      <c r="N375" s="10"/>
      <c r="O375" s="223"/>
      <c r="P375" s="22"/>
      <c r="Q375" s="22"/>
      <c r="T375" s="132"/>
      <c r="W375" s="22"/>
      <c r="X375" s="224"/>
      <c r="Z375" s="50"/>
      <c r="AA375" s="57"/>
    </row>
    <row r="376" spans="1:27" ht="15.75" customHeight="1">
      <c r="A376" s="9"/>
      <c r="D376" s="203"/>
      <c r="E376" s="31"/>
      <c r="I376" s="132"/>
      <c r="J376" s="132"/>
      <c r="K376" s="221"/>
      <c r="L376" s="132"/>
      <c r="N376" s="10"/>
      <c r="O376" s="223"/>
      <c r="P376" s="22"/>
      <c r="Q376" s="22"/>
      <c r="T376" s="132"/>
      <c r="W376" s="22"/>
      <c r="X376" s="224"/>
      <c r="Z376" s="50"/>
      <c r="AA376" s="57"/>
    </row>
    <row r="377" spans="1:27" ht="15.75" customHeight="1">
      <c r="A377" s="9"/>
      <c r="D377" s="203"/>
      <c r="E377" s="31"/>
      <c r="I377" s="132"/>
      <c r="J377" s="132"/>
      <c r="K377" s="221"/>
      <c r="L377" s="132"/>
      <c r="N377" s="10"/>
      <c r="O377" s="223"/>
      <c r="P377" s="22"/>
      <c r="Q377" s="22"/>
      <c r="T377" s="132"/>
      <c r="W377" s="22"/>
      <c r="X377" s="224"/>
      <c r="Z377" s="50"/>
      <c r="AA377" s="57"/>
    </row>
    <row r="378" spans="1:27" ht="15.75" customHeight="1">
      <c r="A378" s="9"/>
      <c r="D378" s="203"/>
      <c r="E378" s="31"/>
      <c r="I378" s="132"/>
      <c r="J378" s="132"/>
      <c r="K378" s="221"/>
      <c r="L378" s="132"/>
      <c r="N378" s="10"/>
      <c r="O378" s="223"/>
      <c r="P378" s="22"/>
      <c r="Q378" s="22"/>
      <c r="T378" s="132"/>
      <c r="W378" s="22"/>
      <c r="X378" s="224"/>
      <c r="Z378" s="50"/>
      <c r="AA378" s="57"/>
    </row>
    <row r="379" spans="1:27" ht="15.75" customHeight="1">
      <c r="A379" s="9"/>
      <c r="D379" s="203"/>
      <c r="E379" s="31"/>
      <c r="I379" s="132"/>
      <c r="J379" s="132"/>
      <c r="K379" s="221"/>
      <c r="L379" s="132"/>
      <c r="N379" s="10"/>
      <c r="O379" s="223"/>
      <c r="P379" s="22"/>
      <c r="Q379" s="22"/>
      <c r="T379" s="132"/>
      <c r="W379" s="22"/>
      <c r="X379" s="224"/>
      <c r="Z379" s="50"/>
      <c r="AA379" s="57"/>
    </row>
    <row r="380" spans="1:27" ht="15.75" customHeight="1">
      <c r="A380" s="9"/>
      <c r="D380" s="203"/>
      <c r="E380" s="31"/>
      <c r="I380" s="132"/>
      <c r="J380" s="132"/>
      <c r="K380" s="221"/>
      <c r="L380" s="132"/>
      <c r="N380" s="10"/>
      <c r="O380" s="223"/>
      <c r="P380" s="22"/>
      <c r="Q380" s="22"/>
      <c r="T380" s="132"/>
      <c r="W380" s="22"/>
      <c r="X380" s="224"/>
      <c r="Z380" s="50"/>
      <c r="AA380" s="57"/>
    </row>
    <row r="381" spans="1:27" ht="15.75" customHeight="1">
      <c r="A381" s="9"/>
      <c r="D381" s="203"/>
      <c r="E381" s="31"/>
      <c r="I381" s="132"/>
      <c r="J381" s="132"/>
      <c r="K381" s="221"/>
      <c r="L381" s="132"/>
      <c r="N381" s="10"/>
      <c r="O381" s="223"/>
      <c r="P381" s="22"/>
      <c r="Q381" s="22"/>
      <c r="T381" s="132"/>
      <c r="W381" s="22"/>
      <c r="X381" s="224"/>
      <c r="Z381" s="50"/>
      <c r="AA381" s="57"/>
    </row>
    <row r="382" spans="1:27" ht="15.75" customHeight="1">
      <c r="A382" s="9"/>
      <c r="D382" s="203"/>
      <c r="E382" s="31"/>
      <c r="I382" s="132"/>
      <c r="J382" s="132"/>
      <c r="K382" s="221"/>
      <c r="L382" s="132"/>
      <c r="N382" s="10"/>
      <c r="O382" s="223"/>
      <c r="P382" s="22"/>
      <c r="Q382" s="22"/>
      <c r="T382" s="132"/>
      <c r="W382" s="22"/>
      <c r="X382" s="224"/>
      <c r="Z382" s="50"/>
      <c r="AA382" s="57"/>
    </row>
    <row r="383" spans="1:27" ht="15.75" customHeight="1">
      <c r="A383" s="9"/>
      <c r="D383" s="203"/>
      <c r="E383" s="31"/>
      <c r="I383" s="132"/>
      <c r="J383" s="132"/>
      <c r="K383" s="221"/>
      <c r="L383" s="132"/>
      <c r="N383" s="10"/>
      <c r="O383" s="223"/>
      <c r="P383" s="22"/>
      <c r="Q383" s="22"/>
      <c r="T383" s="132"/>
      <c r="W383" s="22"/>
      <c r="X383" s="224"/>
      <c r="Z383" s="50"/>
      <c r="AA383" s="57"/>
    </row>
    <row r="384" spans="1:27" ht="15.75" customHeight="1">
      <c r="A384" s="9"/>
      <c r="D384" s="203"/>
      <c r="E384" s="31"/>
      <c r="I384" s="132"/>
      <c r="J384" s="132"/>
      <c r="K384" s="221"/>
      <c r="L384" s="132"/>
      <c r="N384" s="10"/>
      <c r="O384" s="223"/>
      <c r="P384" s="22"/>
      <c r="Q384" s="22"/>
      <c r="T384" s="132"/>
      <c r="W384" s="22"/>
      <c r="X384" s="224"/>
      <c r="Z384" s="50"/>
      <c r="AA384" s="57"/>
    </row>
    <row r="385" spans="1:27" ht="15.75" customHeight="1">
      <c r="A385" s="9"/>
      <c r="D385" s="203"/>
      <c r="E385" s="31"/>
      <c r="I385" s="132"/>
      <c r="J385" s="132"/>
      <c r="K385" s="221"/>
      <c r="L385" s="132"/>
      <c r="N385" s="10"/>
      <c r="O385" s="223"/>
      <c r="P385" s="22"/>
      <c r="Q385" s="22"/>
      <c r="T385" s="132"/>
      <c r="W385" s="22"/>
      <c r="X385" s="224"/>
      <c r="Z385" s="50"/>
      <c r="AA385" s="57"/>
    </row>
    <row r="386" spans="1:27" ht="15.75" customHeight="1">
      <c r="A386" s="9"/>
      <c r="D386" s="203"/>
      <c r="E386" s="31"/>
      <c r="I386" s="132"/>
      <c r="J386" s="132"/>
      <c r="K386" s="221"/>
      <c r="L386" s="132"/>
      <c r="N386" s="10"/>
      <c r="O386" s="223"/>
      <c r="P386" s="22"/>
      <c r="Q386" s="22"/>
      <c r="T386" s="132"/>
      <c r="W386" s="22"/>
      <c r="X386" s="224"/>
      <c r="Z386" s="50"/>
      <c r="AA386" s="57"/>
    </row>
    <row r="387" spans="1:27" ht="15.75" customHeight="1">
      <c r="A387" s="9"/>
      <c r="D387" s="203"/>
      <c r="E387" s="31"/>
      <c r="I387" s="132"/>
      <c r="J387" s="132"/>
      <c r="K387" s="221"/>
      <c r="L387" s="132"/>
      <c r="N387" s="10"/>
      <c r="O387" s="223"/>
      <c r="P387" s="22"/>
      <c r="Q387" s="22"/>
      <c r="T387" s="132"/>
      <c r="W387" s="22"/>
      <c r="X387" s="224"/>
      <c r="Z387" s="50"/>
      <c r="AA387" s="57"/>
    </row>
    <row r="388" spans="1:27" ht="15.75" customHeight="1">
      <c r="A388" s="9"/>
      <c r="D388" s="203"/>
      <c r="E388" s="31"/>
      <c r="I388" s="132"/>
      <c r="J388" s="132"/>
      <c r="K388" s="221"/>
      <c r="L388" s="132"/>
      <c r="N388" s="10"/>
      <c r="O388" s="223"/>
      <c r="P388" s="22"/>
      <c r="Q388" s="22"/>
      <c r="T388" s="132"/>
      <c r="W388" s="22"/>
      <c r="X388" s="224"/>
      <c r="Z388" s="50"/>
      <c r="AA388" s="57"/>
    </row>
    <row r="389" spans="1:27" ht="15.75" customHeight="1">
      <c r="A389" s="9"/>
      <c r="D389" s="203"/>
      <c r="E389" s="31"/>
      <c r="I389" s="132"/>
      <c r="J389" s="132"/>
      <c r="K389" s="221"/>
      <c r="L389" s="132"/>
      <c r="N389" s="10"/>
      <c r="O389" s="223"/>
      <c r="P389" s="22"/>
      <c r="Q389" s="22"/>
      <c r="T389" s="132"/>
      <c r="W389" s="22"/>
      <c r="X389" s="224"/>
      <c r="Z389" s="50"/>
      <c r="AA389" s="57"/>
    </row>
    <row r="390" spans="1:27" ht="15.75" customHeight="1">
      <c r="A390" s="9"/>
      <c r="D390" s="203"/>
      <c r="E390" s="31"/>
      <c r="I390" s="132"/>
      <c r="J390" s="132"/>
      <c r="K390" s="221"/>
      <c r="L390" s="132"/>
      <c r="N390" s="10"/>
      <c r="O390" s="223"/>
      <c r="P390" s="22"/>
      <c r="Q390" s="22"/>
      <c r="T390" s="132"/>
      <c r="W390" s="22"/>
      <c r="X390" s="224"/>
      <c r="Z390" s="50"/>
      <c r="AA390" s="57"/>
    </row>
    <row r="391" spans="1:27" ht="15.75" customHeight="1">
      <c r="A391" s="9"/>
      <c r="D391" s="203"/>
      <c r="E391" s="31"/>
      <c r="I391" s="132"/>
      <c r="J391" s="132"/>
      <c r="K391" s="221"/>
      <c r="L391" s="132"/>
      <c r="N391" s="10"/>
      <c r="O391" s="223"/>
      <c r="P391" s="22"/>
      <c r="Q391" s="22"/>
      <c r="T391" s="132"/>
      <c r="W391" s="22"/>
      <c r="X391" s="224"/>
      <c r="Z391" s="50"/>
      <c r="AA391" s="57"/>
    </row>
    <row r="392" spans="1:27" ht="15.75" customHeight="1">
      <c r="A392" s="9"/>
      <c r="D392" s="203"/>
      <c r="E392" s="31"/>
      <c r="I392" s="132"/>
      <c r="J392" s="132"/>
      <c r="K392" s="221"/>
      <c r="L392" s="132"/>
      <c r="N392" s="10"/>
      <c r="O392" s="223"/>
      <c r="P392" s="22"/>
      <c r="Q392" s="22"/>
      <c r="T392" s="132"/>
      <c r="W392" s="22"/>
      <c r="X392" s="224"/>
      <c r="Z392" s="50"/>
      <c r="AA392" s="57"/>
    </row>
    <row r="393" spans="1:27" ht="15.75" customHeight="1">
      <c r="A393" s="9"/>
      <c r="D393" s="203"/>
      <c r="E393" s="31"/>
      <c r="I393" s="132"/>
      <c r="J393" s="132"/>
      <c r="K393" s="221"/>
      <c r="L393" s="132"/>
      <c r="N393" s="10"/>
      <c r="O393" s="223"/>
      <c r="P393" s="22"/>
      <c r="Q393" s="22"/>
      <c r="T393" s="132"/>
      <c r="W393" s="22"/>
      <c r="X393" s="224"/>
      <c r="Z393" s="50"/>
      <c r="AA393" s="57"/>
    </row>
    <row r="394" spans="1:27" ht="15.75" customHeight="1">
      <c r="A394" s="9"/>
      <c r="D394" s="203"/>
      <c r="E394" s="31"/>
      <c r="I394" s="132"/>
      <c r="J394" s="132"/>
      <c r="K394" s="221"/>
      <c r="L394" s="132"/>
      <c r="N394" s="10"/>
      <c r="O394" s="223"/>
      <c r="P394" s="22"/>
      <c r="Q394" s="22"/>
      <c r="T394" s="132"/>
      <c r="W394" s="22"/>
      <c r="X394" s="224"/>
      <c r="Z394" s="50"/>
      <c r="AA394" s="57"/>
    </row>
    <row r="395" spans="1:27" ht="15.75" customHeight="1">
      <c r="A395" s="9"/>
      <c r="D395" s="203"/>
      <c r="E395" s="31"/>
      <c r="I395" s="132"/>
      <c r="J395" s="132"/>
      <c r="K395" s="221"/>
      <c r="L395" s="132"/>
      <c r="N395" s="10"/>
      <c r="O395" s="223"/>
      <c r="P395" s="22"/>
      <c r="Q395" s="22"/>
      <c r="T395" s="132"/>
      <c r="W395" s="22"/>
      <c r="X395" s="224"/>
      <c r="Z395" s="50"/>
      <c r="AA395" s="57"/>
    </row>
    <row r="396" spans="1:27" ht="15.75" customHeight="1">
      <c r="A396" s="9"/>
      <c r="D396" s="203"/>
      <c r="E396" s="31"/>
      <c r="I396" s="132"/>
      <c r="J396" s="132"/>
      <c r="K396" s="221"/>
      <c r="L396" s="132"/>
      <c r="N396" s="10"/>
      <c r="O396" s="223"/>
      <c r="P396" s="22"/>
      <c r="Q396" s="22"/>
      <c r="T396" s="132"/>
      <c r="W396" s="22"/>
      <c r="X396" s="224"/>
      <c r="Z396" s="50"/>
      <c r="AA396" s="57"/>
    </row>
    <row r="397" spans="1:27" ht="15.75" customHeight="1">
      <c r="A397" s="9"/>
      <c r="D397" s="203"/>
      <c r="E397" s="31"/>
      <c r="I397" s="132"/>
      <c r="J397" s="132"/>
      <c r="K397" s="221"/>
      <c r="L397" s="132"/>
      <c r="N397" s="10"/>
      <c r="O397" s="223"/>
      <c r="P397" s="22"/>
      <c r="Q397" s="22"/>
      <c r="T397" s="132"/>
      <c r="W397" s="22"/>
      <c r="X397" s="224"/>
      <c r="Z397" s="50"/>
      <c r="AA397" s="57"/>
    </row>
    <row r="398" spans="1:27" ht="15.75" customHeight="1">
      <c r="A398" s="9"/>
      <c r="D398" s="203"/>
      <c r="E398" s="31"/>
      <c r="I398" s="132"/>
      <c r="J398" s="132"/>
      <c r="K398" s="221"/>
      <c r="L398" s="132"/>
      <c r="N398" s="10"/>
      <c r="O398" s="223"/>
      <c r="P398" s="22"/>
      <c r="Q398" s="22"/>
      <c r="T398" s="132"/>
      <c r="W398" s="22"/>
      <c r="X398" s="224"/>
      <c r="Z398" s="50"/>
      <c r="AA398" s="57"/>
    </row>
    <row r="399" spans="1:27" ht="15.75" customHeight="1">
      <c r="A399" s="9"/>
      <c r="D399" s="203"/>
      <c r="E399" s="31"/>
      <c r="I399" s="132"/>
      <c r="J399" s="132"/>
      <c r="K399" s="221"/>
      <c r="L399" s="132"/>
      <c r="N399" s="10"/>
      <c r="O399" s="223"/>
      <c r="P399" s="22"/>
      <c r="Q399" s="22"/>
      <c r="T399" s="132"/>
      <c r="W399" s="22"/>
      <c r="X399" s="224"/>
      <c r="Z399" s="50"/>
      <c r="AA399" s="57"/>
    </row>
    <row r="400" spans="1:27" ht="15.75" customHeight="1">
      <c r="A400" s="9"/>
      <c r="D400" s="203"/>
      <c r="E400" s="31"/>
      <c r="I400" s="132"/>
      <c r="J400" s="132"/>
      <c r="K400" s="221"/>
      <c r="L400" s="132"/>
      <c r="N400" s="10"/>
      <c r="O400" s="223"/>
      <c r="P400" s="22"/>
      <c r="Q400" s="22"/>
      <c r="T400" s="132"/>
      <c r="W400" s="22"/>
      <c r="X400" s="224"/>
      <c r="Z400" s="50"/>
      <c r="AA400" s="57"/>
    </row>
    <row r="401" spans="1:27" ht="15.75" customHeight="1">
      <c r="A401" s="9"/>
      <c r="D401" s="203"/>
      <c r="E401" s="31"/>
      <c r="I401" s="132"/>
      <c r="J401" s="132"/>
      <c r="K401" s="221"/>
      <c r="L401" s="132"/>
      <c r="N401" s="10"/>
      <c r="O401" s="223"/>
      <c r="P401" s="22"/>
      <c r="Q401" s="22"/>
      <c r="T401" s="132"/>
      <c r="W401" s="22"/>
      <c r="X401" s="224"/>
      <c r="Z401" s="50"/>
      <c r="AA401" s="57"/>
    </row>
    <row r="402" spans="1:27" ht="15.75" customHeight="1">
      <c r="A402" s="9"/>
      <c r="D402" s="203"/>
      <c r="E402" s="31"/>
      <c r="I402" s="132"/>
      <c r="J402" s="132"/>
      <c r="K402" s="221"/>
      <c r="L402" s="132"/>
      <c r="N402" s="10"/>
      <c r="O402" s="223"/>
      <c r="P402" s="22"/>
      <c r="Q402" s="22"/>
      <c r="T402" s="132"/>
      <c r="W402" s="22"/>
      <c r="X402" s="224"/>
      <c r="Z402" s="50"/>
      <c r="AA402" s="57"/>
    </row>
    <row r="403" spans="1:27" ht="15.75" customHeight="1">
      <c r="A403" s="9"/>
      <c r="D403" s="203"/>
      <c r="E403" s="31"/>
      <c r="I403" s="132"/>
      <c r="J403" s="132"/>
      <c r="K403" s="221"/>
      <c r="L403" s="132"/>
      <c r="N403" s="10"/>
      <c r="O403" s="223"/>
      <c r="P403" s="22"/>
      <c r="Q403" s="22"/>
      <c r="T403" s="132"/>
      <c r="W403" s="22"/>
      <c r="X403" s="224"/>
      <c r="Z403" s="50"/>
      <c r="AA403" s="57"/>
    </row>
    <row r="404" spans="1:27" ht="15.75" customHeight="1">
      <c r="A404" s="9"/>
      <c r="D404" s="203"/>
      <c r="E404" s="31"/>
      <c r="I404" s="132"/>
      <c r="J404" s="132"/>
      <c r="K404" s="221"/>
      <c r="L404" s="132"/>
      <c r="N404" s="10"/>
      <c r="O404" s="223"/>
      <c r="P404" s="22"/>
      <c r="Q404" s="22"/>
      <c r="T404" s="132"/>
      <c r="W404" s="22"/>
      <c r="X404" s="224"/>
      <c r="Z404" s="50"/>
      <c r="AA404" s="57"/>
    </row>
    <row r="405" spans="1:27" ht="15.75" customHeight="1">
      <c r="A405" s="9"/>
      <c r="D405" s="203"/>
      <c r="E405" s="31"/>
      <c r="I405" s="132"/>
      <c r="J405" s="132"/>
      <c r="K405" s="221"/>
      <c r="L405" s="132"/>
      <c r="N405" s="10"/>
      <c r="O405" s="223"/>
      <c r="P405" s="22"/>
      <c r="Q405" s="22"/>
      <c r="T405" s="132"/>
      <c r="W405" s="22"/>
      <c r="X405" s="224"/>
      <c r="Z405" s="50"/>
      <c r="AA405" s="57"/>
    </row>
    <row r="406" spans="1:27" ht="15.75" customHeight="1">
      <c r="A406" s="9"/>
      <c r="D406" s="203"/>
      <c r="E406" s="31"/>
      <c r="I406" s="132"/>
      <c r="J406" s="132"/>
      <c r="K406" s="221"/>
      <c r="L406" s="132"/>
      <c r="N406" s="10"/>
      <c r="O406" s="223"/>
      <c r="P406" s="22"/>
      <c r="Q406" s="22"/>
      <c r="T406" s="132"/>
      <c r="W406" s="22"/>
      <c r="X406" s="224"/>
      <c r="Z406" s="50"/>
      <c r="AA406" s="57"/>
    </row>
    <row r="407" spans="1:27" ht="15.75" customHeight="1">
      <c r="A407" s="9"/>
      <c r="D407" s="203"/>
      <c r="E407" s="31"/>
      <c r="I407" s="132"/>
      <c r="J407" s="132"/>
      <c r="K407" s="221"/>
      <c r="L407" s="132"/>
      <c r="N407" s="10"/>
      <c r="O407" s="223"/>
      <c r="P407" s="22"/>
      <c r="Q407" s="22"/>
      <c r="T407" s="132"/>
      <c r="W407" s="22"/>
      <c r="X407" s="224"/>
      <c r="Z407" s="50"/>
      <c r="AA407" s="57"/>
    </row>
    <row r="408" spans="1:27" ht="15.75" customHeight="1">
      <c r="A408" s="9"/>
      <c r="D408" s="203"/>
      <c r="E408" s="31"/>
      <c r="I408" s="132"/>
      <c r="J408" s="132"/>
      <c r="K408" s="221"/>
      <c r="L408" s="132"/>
      <c r="N408" s="10"/>
      <c r="O408" s="223"/>
      <c r="P408" s="22"/>
      <c r="Q408" s="22"/>
      <c r="T408" s="132"/>
      <c r="W408" s="22"/>
      <c r="X408" s="224"/>
      <c r="Z408" s="50"/>
      <c r="AA408" s="57"/>
    </row>
    <row r="409" spans="1:27" ht="15.75" customHeight="1">
      <c r="A409" s="9"/>
      <c r="D409" s="203"/>
      <c r="E409" s="31"/>
      <c r="I409" s="132"/>
      <c r="J409" s="132"/>
      <c r="K409" s="221"/>
      <c r="L409" s="132"/>
      <c r="N409" s="10"/>
      <c r="O409" s="223"/>
      <c r="P409" s="22"/>
      <c r="Q409" s="22"/>
      <c r="T409" s="132"/>
      <c r="W409" s="22"/>
      <c r="X409" s="224"/>
      <c r="Z409" s="50"/>
      <c r="AA409" s="57"/>
    </row>
    <row r="410" spans="1:27" ht="15.75" customHeight="1">
      <c r="A410" s="9"/>
      <c r="D410" s="203"/>
      <c r="E410" s="31"/>
      <c r="I410" s="132"/>
      <c r="J410" s="132"/>
      <c r="K410" s="221"/>
      <c r="L410" s="132"/>
      <c r="N410" s="10"/>
      <c r="O410" s="223"/>
      <c r="P410" s="22"/>
      <c r="Q410" s="22"/>
      <c r="T410" s="132"/>
      <c r="W410" s="22"/>
      <c r="X410" s="224"/>
      <c r="Z410" s="50"/>
      <c r="AA410" s="57"/>
    </row>
    <row r="411" spans="1:27" ht="15.75" customHeight="1">
      <c r="A411" s="9"/>
      <c r="D411" s="203"/>
      <c r="E411" s="31"/>
      <c r="I411" s="132"/>
      <c r="J411" s="132"/>
      <c r="K411" s="221"/>
      <c r="L411" s="132"/>
      <c r="N411" s="10"/>
      <c r="O411" s="223"/>
      <c r="P411" s="22"/>
      <c r="Q411" s="22"/>
      <c r="T411" s="132"/>
      <c r="W411" s="22"/>
      <c r="X411" s="224"/>
      <c r="Z411" s="50"/>
      <c r="AA411" s="57"/>
    </row>
    <row r="412" spans="1:27" ht="15.75" customHeight="1">
      <c r="A412" s="9"/>
      <c r="D412" s="203"/>
      <c r="E412" s="31"/>
      <c r="I412" s="132"/>
      <c r="J412" s="132"/>
      <c r="K412" s="221"/>
      <c r="L412" s="132"/>
      <c r="N412" s="10"/>
      <c r="O412" s="223"/>
      <c r="P412" s="22"/>
      <c r="Q412" s="22"/>
      <c r="T412" s="132"/>
      <c r="W412" s="22"/>
      <c r="X412" s="224"/>
      <c r="Z412" s="50"/>
      <c r="AA412" s="57"/>
    </row>
    <row r="413" spans="1:27" ht="15.75" customHeight="1">
      <c r="A413" s="9"/>
      <c r="D413" s="203"/>
      <c r="E413" s="31"/>
      <c r="I413" s="132"/>
      <c r="J413" s="132"/>
      <c r="K413" s="221"/>
      <c r="L413" s="132"/>
      <c r="N413" s="10"/>
      <c r="O413" s="223"/>
      <c r="P413" s="22"/>
      <c r="Q413" s="22"/>
      <c r="T413" s="132"/>
      <c r="W413" s="22"/>
      <c r="X413" s="224"/>
      <c r="Z413" s="50"/>
      <c r="AA413" s="57"/>
    </row>
    <row r="414" spans="1:27" ht="15.75" customHeight="1">
      <c r="A414" s="9"/>
      <c r="D414" s="203"/>
      <c r="E414" s="31"/>
      <c r="I414" s="132"/>
      <c r="J414" s="132"/>
      <c r="K414" s="221"/>
      <c r="L414" s="132"/>
      <c r="N414" s="10"/>
      <c r="O414" s="223"/>
      <c r="P414" s="22"/>
      <c r="Q414" s="22"/>
      <c r="T414" s="132"/>
      <c r="W414" s="22"/>
      <c r="X414" s="224"/>
      <c r="Z414" s="50"/>
      <c r="AA414" s="57"/>
    </row>
    <row r="415" spans="1:27" ht="15.75" customHeight="1">
      <c r="A415" s="9"/>
      <c r="D415" s="203"/>
      <c r="E415" s="31"/>
      <c r="I415" s="132"/>
      <c r="J415" s="132"/>
      <c r="K415" s="221"/>
      <c r="L415" s="132"/>
      <c r="N415" s="10"/>
      <c r="O415" s="223"/>
      <c r="P415" s="22"/>
      <c r="Q415" s="22"/>
      <c r="T415" s="132"/>
      <c r="W415" s="22"/>
      <c r="X415" s="224"/>
      <c r="Z415" s="50"/>
      <c r="AA415" s="57"/>
    </row>
    <row r="416" spans="1:27" ht="15.75" customHeight="1">
      <c r="A416" s="9"/>
      <c r="D416" s="203"/>
      <c r="E416" s="31"/>
      <c r="I416" s="132"/>
      <c r="J416" s="132"/>
      <c r="K416" s="221"/>
      <c r="L416" s="132"/>
      <c r="N416" s="10"/>
      <c r="O416" s="223"/>
      <c r="P416" s="22"/>
      <c r="Q416" s="22"/>
      <c r="T416" s="132"/>
      <c r="W416" s="22"/>
      <c r="X416" s="224"/>
      <c r="Z416" s="50"/>
      <c r="AA416" s="57"/>
    </row>
    <row r="417" spans="1:27" ht="15.75" customHeight="1">
      <c r="A417" s="9"/>
      <c r="D417" s="203"/>
      <c r="E417" s="31"/>
      <c r="I417" s="132"/>
      <c r="J417" s="132"/>
      <c r="K417" s="221"/>
      <c r="L417" s="132"/>
      <c r="N417" s="10"/>
      <c r="O417" s="223"/>
      <c r="P417" s="22"/>
      <c r="Q417" s="22"/>
      <c r="T417" s="132"/>
      <c r="W417" s="22"/>
      <c r="X417" s="224"/>
      <c r="Z417" s="50"/>
      <c r="AA417" s="57"/>
    </row>
    <row r="418" spans="1:27" ht="15.75" customHeight="1">
      <c r="A418" s="9"/>
      <c r="D418" s="203"/>
      <c r="E418" s="31"/>
      <c r="I418" s="132"/>
      <c r="J418" s="132"/>
      <c r="K418" s="221"/>
      <c r="L418" s="132"/>
      <c r="N418" s="10"/>
      <c r="O418" s="223"/>
      <c r="P418" s="22"/>
      <c r="Q418" s="22"/>
      <c r="T418" s="132"/>
      <c r="W418" s="22"/>
      <c r="X418" s="224"/>
      <c r="Z418" s="50"/>
      <c r="AA418" s="57"/>
    </row>
    <row r="419" spans="1:27" ht="15.75" customHeight="1">
      <c r="A419" s="9"/>
      <c r="D419" s="203"/>
      <c r="E419" s="31"/>
      <c r="I419" s="132"/>
      <c r="J419" s="132"/>
      <c r="K419" s="221"/>
      <c r="L419" s="132"/>
      <c r="N419" s="10"/>
      <c r="O419" s="223"/>
      <c r="P419" s="22"/>
      <c r="Q419" s="22"/>
      <c r="T419" s="132"/>
      <c r="W419" s="22"/>
      <c r="X419" s="224"/>
      <c r="Z419" s="50"/>
      <c r="AA419" s="57"/>
    </row>
    <row r="420" spans="1:27" ht="15.75" customHeight="1">
      <c r="A420" s="9"/>
      <c r="D420" s="203"/>
      <c r="E420" s="31"/>
      <c r="I420" s="132"/>
      <c r="J420" s="132"/>
      <c r="K420" s="221"/>
      <c r="L420" s="132"/>
      <c r="N420" s="10"/>
      <c r="O420" s="223"/>
      <c r="P420" s="22"/>
      <c r="Q420" s="22"/>
      <c r="T420" s="132"/>
      <c r="W420" s="22"/>
      <c r="X420" s="224"/>
      <c r="Z420" s="50"/>
      <c r="AA420" s="57"/>
    </row>
    <row r="421" spans="1:27" ht="15.75" customHeight="1">
      <c r="A421" s="9"/>
      <c r="D421" s="203"/>
      <c r="E421" s="31"/>
      <c r="I421" s="132"/>
      <c r="J421" s="132"/>
      <c r="K421" s="221"/>
      <c r="L421" s="132"/>
      <c r="N421" s="10"/>
      <c r="O421" s="223"/>
      <c r="P421" s="22"/>
      <c r="Q421" s="22"/>
      <c r="T421" s="132"/>
      <c r="W421" s="22"/>
      <c r="X421" s="224"/>
      <c r="Z421" s="50"/>
      <c r="AA421" s="57"/>
    </row>
    <row r="422" spans="1:27" ht="15.75" customHeight="1">
      <c r="A422" s="9"/>
      <c r="D422" s="203"/>
      <c r="E422" s="31"/>
      <c r="I422" s="132"/>
      <c r="J422" s="132"/>
      <c r="K422" s="221"/>
      <c r="L422" s="132"/>
      <c r="N422" s="10"/>
      <c r="O422" s="223"/>
      <c r="P422" s="22"/>
      <c r="Q422" s="22"/>
      <c r="T422" s="132"/>
      <c r="W422" s="22"/>
      <c r="X422" s="224"/>
      <c r="Z422" s="50"/>
      <c r="AA422" s="57"/>
    </row>
    <row r="423" spans="1:27" ht="15.75" customHeight="1">
      <c r="A423" s="9"/>
      <c r="D423" s="203"/>
      <c r="E423" s="31"/>
      <c r="I423" s="132"/>
      <c r="J423" s="132"/>
      <c r="K423" s="221"/>
      <c r="L423" s="132"/>
      <c r="N423" s="10"/>
      <c r="O423" s="223"/>
      <c r="P423" s="22"/>
      <c r="Q423" s="22"/>
      <c r="T423" s="132"/>
      <c r="W423" s="22"/>
      <c r="X423" s="224"/>
      <c r="Z423" s="50"/>
      <c r="AA423" s="57"/>
    </row>
    <row r="424" spans="1:27" ht="15.75" customHeight="1">
      <c r="A424" s="9"/>
      <c r="D424" s="203"/>
      <c r="E424" s="31"/>
      <c r="I424" s="132"/>
      <c r="J424" s="132"/>
      <c r="K424" s="221"/>
      <c r="L424" s="132"/>
      <c r="N424" s="10"/>
      <c r="O424" s="223"/>
      <c r="P424" s="22"/>
      <c r="Q424" s="22"/>
      <c r="T424" s="132"/>
      <c r="W424" s="22"/>
      <c r="X424" s="224"/>
      <c r="Z424" s="50"/>
      <c r="AA424" s="57"/>
    </row>
    <row r="425" spans="1:27" ht="15.75" customHeight="1">
      <c r="A425" s="9"/>
      <c r="D425" s="203"/>
      <c r="E425" s="31"/>
      <c r="I425" s="132"/>
      <c r="J425" s="132"/>
      <c r="K425" s="221"/>
      <c r="L425" s="132"/>
      <c r="N425" s="10"/>
      <c r="O425" s="223"/>
      <c r="P425" s="22"/>
      <c r="Q425" s="22"/>
      <c r="T425" s="132"/>
      <c r="W425" s="22"/>
      <c r="X425" s="224"/>
      <c r="Z425" s="50"/>
      <c r="AA425" s="57"/>
    </row>
    <row r="426" spans="1:27" ht="15.75" customHeight="1">
      <c r="A426" s="9"/>
      <c r="D426" s="203"/>
      <c r="E426" s="31"/>
      <c r="I426" s="132"/>
      <c r="J426" s="132"/>
      <c r="K426" s="221"/>
      <c r="L426" s="132"/>
      <c r="N426" s="10"/>
      <c r="O426" s="223"/>
      <c r="P426" s="22"/>
      <c r="Q426" s="22"/>
      <c r="T426" s="132"/>
      <c r="W426" s="22"/>
      <c r="X426" s="224"/>
      <c r="Z426" s="50"/>
      <c r="AA426" s="57"/>
    </row>
    <row r="427" spans="1:27" ht="15.75" customHeight="1">
      <c r="A427" s="9"/>
      <c r="D427" s="203"/>
      <c r="E427" s="31"/>
      <c r="I427" s="132"/>
      <c r="J427" s="132"/>
      <c r="K427" s="221"/>
      <c r="L427" s="132"/>
      <c r="N427" s="10"/>
      <c r="O427" s="223"/>
      <c r="P427" s="22"/>
      <c r="Q427" s="22"/>
      <c r="T427" s="132"/>
      <c r="W427" s="22"/>
      <c r="X427" s="224"/>
      <c r="Z427" s="50"/>
      <c r="AA427" s="57"/>
    </row>
    <row r="428" spans="1:27" ht="15.75" customHeight="1">
      <c r="A428" s="9"/>
      <c r="D428" s="203"/>
      <c r="E428" s="31"/>
      <c r="I428" s="132"/>
      <c r="J428" s="132"/>
      <c r="K428" s="221"/>
      <c r="L428" s="132"/>
      <c r="N428" s="10"/>
      <c r="O428" s="223"/>
      <c r="P428" s="22"/>
      <c r="Q428" s="22"/>
      <c r="T428" s="132"/>
      <c r="W428" s="22"/>
      <c r="X428" s="224"/>
      <c r="Z428" s="50"/>
      <c r="AA428" s="57"/>
    </row>
    <row r="429" spans="1:27" ht="15.75" customHeight="1">
      <c r="A429" s="9"/>
      <c r="D429" s="203"/>
      <c r="E429" s="31"/>
      <c r="I429" s="132"/>
      <c r="J429" s="132"/>
      <c r="K429" s="221"/>
      <c r="L429" s="132"/>
      <c r="N429" s="10"/>
      <c r="O429" s="223"/>
      <c r="P429" s="22"/>
      <c r="Q429" s="22"/>
      <c r="T429" s="132"/>
      <c r="W429" s="22"/>
      <c r="X429" s="224"/>
      <c r="Z429" s="50"/>
      <c r="AA429" s="57"/>
    </row>
    <row r="430" spans="1:27" ht="15.75" customHeight="1">
      <c r="A430" s="9"/>
      <c r="D430" s="203"/>
      <c r="E430" s="31"/>
      <c r="I430" s="132"/>
      <c r="J430" s="132"/>
      <c r="K430" s="221"/>
      <c r="L430" s="132"/>
      <c r="N430" s="10"/>
      <c r="O430" s="223"/>
      <c r="P430" s="22"/>
      <c r="Q430" s="22"/>
      <c r="T430" s="132"/>
      <c r="W430" s="22"/>
      <c r="X430" s="224"/>
      <c r="Z430" s="50"/>
      <c r="AA430" s="57"/>
    </row>
    <row r="431" spans="1:27" ht="15.75" customHeight="1">
      <c r="A431" s="9"/>
      <c r="D431" s="203"/>
      <c r="E431" s="31"/>
      <c r="I431" s="132"/>
      <c r="J431" s="132"/>
      <c r="K431" s="221"/>
      <c r="L431" s="132"/>
      <c r="N431" s="10"/>
      <c r="O431" s="223"/>
      <c r="P431" s="22"/>
      <c r="Q431" s="22"/>
      <c r="T431" s="132"/>
      <c r="W431" s="22"/>
      <c r="X431" s="224"/>
      <c r="Z431" s="50"/>
      <c r="AA431" s="57"/>
    </row>
    <row r="432" spans="1:27" ht="15.75" customHeight="1">
      <c r="A432" s="9"/>
      <c r="D432" s="203"/>
      <c r="E432" s="31"/>
      <c r="I432" s="132"/>
      <c r="J432" s="132"/>
      <c r="K432" s="221"/>
      <c r="L432" s="132"/>
      <c r="N432" s="10"/>
      <c r="O432" s="223"/>
      <c r="P432" s="22"/>
      <c r="Q432" s="22"/>
      <c r="T432" s="132"/>
      <c r="W432" s="22"/>
      <c r="X432" s="224"/>
      <c r="Z432" s="50"/>
      <c r="AA432" s="57"/>
    </row>
    <row r="433" spans="1:27" ht="15.75" customHeight="1">
      <c r="A433" s="9"/>
      <c r="D433" s="203"/>
      <c r="E433" s="31"/>
      <c r="I433" s="132"/>
      <c r="J433" s="132"/>
      <c r="K433" s="221"/>
      <c r="L433" s="132"/>
      <c r="N433" s="10"/>
      <c r="O433" s="223"/>
      <c r="P433" s="22"/>
      <c r="Q433" s="22"/>
      <c r="T433" s="132"/>
      <c r="W433" s="22"/>
      <c r="X433" s="224"/>
      <c r="Z433" s="50"/>
      <c r="AA433" s="57"/>
    </row>
    <row r="434" spans="1:27" ht="15.75" customHeight="1">
      <c r="A434" s="9"/>
      <c r="D434" s="203"/>
      <c r="E434" s="31"/>
      <c r="I434" s="132"/>
      <c r="J434" s="132"/>
      <c r="K434" s="221"/>
      <c r="L434" s="132"/>
      <c r="N434" s="10"/>
      <c r="O434" s="223"/>
      <c r="P434" s="22"/>
      <c r="Q434" s="22"/>
      <c r="T434" s="132"/>
      <c r="W434" s="22"/>
      <c r="X434" s="224"/>
      <c r="Z434" s="50"/>
      <c r="AA434" s="57"/>
    </row>
    <row r="435" spans="1:27" ht="15.75" customHeight="1">
      <c r="A435" s="9"/>
      <c r="D435" s="203"/>
      <c r="E435" s="31"/>
      <c r="I435" s="132"/>
      <c r="J435" s="132"/>
      <c r="K435" s="221"/>
      <c r="L435" s="132"/>
      <c r="N435" s="10"/>
      <c r="O435" s="223"/>
      <c r="P435" s="22"/>
      <c r="Q435" s="22"/>
      <c r="T435" s="132"/>
      <c r="W435" s="22"/>
      <c r="X435" s="224"/>
      <c r="Z435" s="50"/>
      <c r="AA435" s="57"/>
    </row>
    <row r="436" spans="1:27" ht="15.75" customHeight="1">
      <c r="A436" s="9"/>
      <c r="D436" s="203"/>
      <c r="E436" s="31"/>
      <c r="I436" s="132"/>
      <c r="J436" s="132"/>
      <c r="K436" s="221"/>
      <c r="L436" s="132"/>
      <c r="N436" s="10"/>
      <c r="O436" s="223"/>
      <c r="P436" s="22"/>
      <c r="Q436" s="22"/>
      <c r="T436" s="132"/>
      <c r="W436" s="22"/>
      <c r="X436" s="224"/>
      <c r="Z436" s="50"/>
      <c r="AA436" s="57"/>
    </row>
    <row r="437" spans="1:27" ht="15.75" customHeight="1">
      <c r="A437" s="9"/>
      <c r="D437" s="203"/>
      <c r="E437" s="31"/>
      <c r="I437" s="132"/>
      <c r="J437" s="132"/>
      <c r="K437" s="221"/>
      <c r="L437" s="132"/>
      <c r="N437" s="10"/>
      <c r="O437" s="223"/>
      <c r="P437" s="22"/>
      <c r="Q437" s="22"/>
      <c r="T437" s="132"/>
      <c r="W437" s="22"/>
      <c r="X437" s="224"/>
      <c r="Z437" s="50"/>
      <c r="AA437" s="57"/>
    </row>
    <row r="438" spans="1:27" ht="15.75" customHeight="1">
      <c r="A438" s="9"/>
      <c r="D438" s="203"/>
      <c r="E438" s="31"/>
      <c r="I438" s="132"/>
      <c r="J438" s="132"/>
      <c r="K438" s="221"/>
      <c r="L438" s="132"/>
      <c r="N438" s="10"/>
      <c r="O438" s="223"/>
      <c r="P438" s="22"/>
      <c r="Q438" s="22"/>
      <c r="T438" s="132"/>
      <c r="W438" s="22"/>
      <c r="X438" s="224"/>
      <c r="Z438" s="50"/>
      <c r="AA438" s="57"/>
    </row>
    <row r="439" spans="1:27" ht="15.75" customHeight="1">
      <c r="A439" s="9"/>
      <c r="D439" s="203"/>
      <c r="E439" s="31"/>
      <c r="I439" s="132"/>
      <c r="J439" s="132"/>
      <c r="K439" s="221"/>
      <c r="L439" s="132"/>
      <c r="N439" s="10"/>
      <c r="O439" s="223"/>
      <c r="P439" s="22"/>
      <c r="Q439" s="22"/>
      <c r="T439" s="132"/>
      <c r="W439" s="22"/>
      <c r="X439" s="224"/>
      <c r="Z439" s="50"/>
      <c r="AA439" s="57"/>
    </row>
    <row r="440" spans="1:27" ht="15.75" customHeight="1">
      <c r="A440" s="9"/>
      <c r="D440" s="203"/>
      <c r="E440" s="31"/>
      <c r="I440" s="132"/>
      <c r="J440" s="132"/>
      <c r="K440" s="221"/>
      <c r="L440" s="132"/>
      <c r="N440" s="10"/>
      <c r="O440" s="223"/>
      <c r="P440" s="22"/>
      <c r="Q440" s="22"/>
      <c r="T440" s="132"/>
      <c r="W440" s="22"/>
      <c r="X440" s="224"/>
      <c r="Z440" s="50"/>
      <c r="AA440" s="57"/>
    </row>
    <row r="441" spans="1:27" ht="15.75" customHeight="1">
      <c r="A441" s="9"/>
      <c r="D441" s="203"/>
      <c r="E441" s="31"/>
      <c r="I441" s="132"/>
      <c r="J441" s="132"/>
      <c r="K441" s="221"/>
      <c r="L441" s="132"/>
      <c r="N441" s="10"/>
      <c r="O441" s="223"/>
      <c r="P441" s="22"/>
      <c r="Q441" s="22"/>
      <c r="T441" s="132"/>
      <c r="W441" s="22"/>
      <c r="X441" s="224"/>
      <c r="Z441" s="50"/>
      <c r="AA441" s="57"/>
    </row>
    <row r="442" spans="1:27" ht="15.75" customHeight="1">
      <c r="A442" s="9"/>
      <c r="D442" s="203"/>
      <c r="E442" s="31"/>
      <c r="I442" s="132"/>
      <c r="J442" s="132"/>
      <c r="K442" s="221"/>
      <c r="L442" s="132"/>
      <c r="N442" s="10"/>
      <c r="O442" s="223"/>
      <c r="P442" s="22"/>
      <c r="Q442" s="22"/>
      <c r="T442" s="132"/>
      <c r="W442" s="22"/>
      <c r="X442" s="224"/>
      <c r="Z442" s="50"/>
      <c r="AA442" s="57"/>
    </row>
    <row r="443" spans="1:27" ht="15.75" customHeight="1">
      <c r="A443" s="9"/>
      <c r="D443" s="203"/>
      <c r="E443" s="31"/>
      <c r="I443" s="132"/>
      <c r="J443" s="132"/>
      <c r="K443" s="221"/>
      <c r="L443" s="132"/>
      <c r="N443" s="10"/>
      <c r="O443" s="223"/>
      <c r="P443" s="22"/>
      <c r="Q443" s="22"/>
      <c r="T443" s="132"/>
      <c r="W443" s="22"/>
      <c r="X443" s="224"/>
      <c r="Z443" s="50"/>
      <c r="AA443" s="57"/>
    </row>
    <row r="444" spans="1:27" ht="15.75" customHeight="1">
      <c r="A444" s="9"/>
      <c r="D444" s="203"/>
      <c r="E444" s="31"/>
      <c r="I444" s="132"/>
      <c r="J444" s="132"/>
      <c r="K444" s="221"/>
      <c r="L444" s="132"/>
      <c r="N444" s="10"/>
      <c r="O444" s="223"/>
      <c r="P444" s="22"/>
      <c r="Q444" s="22"/>
      <c r="T444" s="132"/>
      <c r="W444" s="22"/>
      <c r="X444" s="224"/>
      <c r="Z444" s="50"/>
      <c r="AA444" s="57"/>
    </row>
    <row r="445" spans="1:27" ht="15.75" customHeight="1">
      <c r="A445" s="9"/>
      <c r="D445" s="203"/>
      <c r="E445" s="31"/>
      <c r="I445" s="132"/>
      <c r="J445" s="132"/>
      <c r="K445" s="221"/>
      <c r="L445" s="132"/>
      <c r="N445" s="10"/>
      <c r="O445" s="223"/>
      <c r="P445" s="22"/>
      <c r="Q445" s="22"/>
      <c r="T445" s="132"/>
      <c r="W445" s="22"/>
      <c r="X445" s="224"/>
      <c r="Z445" s="50"/>
      <c r="AA445" s="57"/>
    </row>
    <row r="446" spans="1:27" ht="15.75" customHeight="1">
      <c r="A446" s="9"/>
      <c r="D446" s="203"/>
      <c r="E446" s="31"/>
      <c r="I446" s="132"/>
      <c r="J446" s="132"/>
      <c r="K446" s="221"/>
      <c r="L446" s="132"/>
      <c r="N446" s="10"/>
      <c r="O446" s="223"/>
      <c r="P446" s="22"/>
      <c r="Q446" s="22"/>
      <c r="T446" s="132"/>
      <c r="W446" s="22"/>
      <c r="X446" s="224"/>
      <c r="Z446" s="50"/>
      <c r="AA446" s="57"/>
    </row>
    <row r="447" spans="1:27" ht="15.75" customHeight="1">
      <c r="A447" s="9"/>
      <c r="D447" s="203"/>
      <c r="E447" s="31"/>
      <c r="I447" s="132"/>
      <c r="J447" s="132"/>
      <c r="K447" s="221"/>
      <c r="L447" s="132"/>
      <c r="N447" s="10"/>
      <c r="O447" s="223"/>
      <c r="P447" s="22"/>
      <c r="Q447" s="22"/>
      <c r="T447" s="132"/>
      <c r="W447" s="22"/>
      <c r="X447" s="224"/>
      <c r="Z447" s="50"/>
      <c r="AA447" s="57"/>
    </row>
    <row r="448" spans="1:27" ht="15.75" customHeight="1">
      <c r="A448" s="9"/>
      <c r="D448" s="203"/>
      <c r="E448" s="31"/>
      <c r="I448" s="132"/>
      <c r="J448" s="132"/>
      <c r="K448" s="221"/>
      <c r="L448" s="132"/>
      <c r="N448" s="10"/>
      <c r="O448" s="223"/>
      <c r="P448" s="22"/>
      <c r="Q448" s="22"/>
      <c r="T448" s="132"/>
      <c r="W448" s="22"/>
      <c r="X448" s="224"/>
      <c r="Z448" s="50"/>
      <c r="AA448" s="57"/>
    </row>
    <row r="449" spans="1:27" ht="15.75" customHeight="1">
      <c r="A449" s="9"/>
      <c r="D449" s="203"/>
      <c r="E449" s="31"/>
      <c r="I449" s="132"/>
      <c r="J449" s="132"/>
      <c r="K449" s="221"/>
      <c r="L449" s="132"/>
      <c r="N449" s="10"/>
      <c r="O449" s="223"/>
      <c r="P449" s="22"/>
      <c r="Q449" s="22"/>
      <c r="T449" s="132"/>
      <c r="W449" s="22"/>
      <c r="X449" s="224"/>
      <c r="Z449" s="50"/>
      <c r="AA449" s="57"/>
    </row>
    <row r="450" spans="1:27" ht="15.75" customHeight="1">
      <c r="A450" s="9"/>
      <c r="D450" s="203"/>
      <c r="E450" s="31"/>
      <c r="I450" s="132"/>
      <c r="J450" s="132"/>
      <c r="K450" s="221"/>
      <c r="L450" s="132"/>
      <c r="N450" s="10"/>
      <c r="O450" s="223"/>
      <c r="P450" s="22"/>
      <c r="Q450" s="22"/>
      <c r="T450" s="132"/>
      <c r="W450" s="22"/>
      <c r="X450" s="224"/>
      <c r="Z450" s="50"/>
      <c r="AA450" s="57"/>
    </row>
    <row r="451" spans="1:27" ht="15.75" customHeight="1">
      <c r="A451" s="9"/>
      <c r="D451" s="203"/>
      <c r="E451" s="31"/>
      <c r="I451" s="132"/>
      <c r="J451" s="132"/>
      <c r="K451" s="221"/>
      <c r="L451" s="132"/>
      <c r="N451" s="10"/>
      <c r="O451" s="223"/>
      <c r="P451" s="22"/>
      <c r="Q451" s="22"/>
      <c r="T451" s="132"/>
      <c r="W451" s="22"/>
      <c r="X451" s="224"/>
      <c r="Z451" s="50"/>
      <c r="AA451" s="57"/>
    </row>
    <row r="452" spans="1:27" ht="15.75" customHeight="1">
      <c r="A452" s="9"/>
      <c r="D452" s="203"/>
      <c r="E452" s="31"/>
      <c r="I452" s="132"/>
      <c r="J452" s="132"/>
      <c r="K452" s="221"/>
      <c r="L452" s="132"/>
      <c r="N452" s="10"/>
      <c r="O452" s="223"/>
      <c r="P452" s="22"/>
      <c r="Q452" s="22"/>
      <c r="T452" s="132"/>
      <c r="W452" s="22"/>
      <c r="X452" s="224"/>
      <c r="Z452" s="50"/>
      <c r="AA452" s="57"/>
    </row>
    <row r="453" spans="1:27" ht="15.75" customHeight="1">
      <c r="A453" s="9"/>
      <c r="D453" s="203"/>
      <c r="E453" s="31"/>
      <c r="I453" s="132"/>
      <c r="J453" s="132"/>
      <c r="K453" s="221"/>
      <c r="L453" s="132"/>
      <c r="N453" s="10"/>
      <c r="O453" s="223"/>
      <c r="P453" s="22"/>
      <c r="Q453" s="22"/>
      <c r="T453" s="132"/>
      <c r="W453" s="22"/>
      <c r="X453" s="224"/>
      <c r="Z453" s="50"/>
      <c r="AA453" s="57"/>
    </row>
    <row r="454" spans="1:27" ht="15.75" customHeight="1">
      <c r="A454" s="9"/>
      <c r="D454" s="203"/>
      <c r="E454" s="31"/>
      <c r="I454" s="132"/>
      <c r="J454" s="132"/>
      <c r="K454" s="221"/>
      <c r="L454" s="132"/>
      <c r="N454" s="10"/>
      <c r="O454" s="223"/>
      <c r="P454" s="22"/>
      <c r="Q454" s="22"/>
      <c r="T454" s="132"/>
      <c r="W454" s="22"/>
      <c r="X454" s="224"/>
      <c r="Z454" s="50"/>
      <c r="AA454" s="57"/>
    </row>
    <row r="455" spans="1:27" ht="15.75" customHeight="1">
      <c r="A455" s="9"/>
      <c r="D455" s="203"/>
      <c r="E455" s="31"/>
      <c r="I455" s="132"/>
      <c r="J455" s="132"/>
      <c r="K455" s="221"/>
      <c r="L455" s="132"/>
      <c r="N455" s="10"/>
      <c r="O455" s="223"/>
      <c r="P455" s="22"/>
      <c r="Q455" s="22"/>
      <c r="T455" s="132"/>
      <c r="W455" s="22"/>
      <c r="X455" s="224"/>
      <c r="Z455" s="50"/>
      <c r="AA455" s="57"/>
    </row>
    <row r="456" spans="1:27" ht="15.75" customHeight="1">
      <c r="A456" s="9"/>
      <c r="D456" s="203"/>
      <c r="E456" s="31"/>
      <c r="I456" s="132"/>
      <c r="J456" s="132"/>
      <c r="K456" s="221"/>
      <c r="L456" s="132"/>
      <c r="N456" s="10"/>
      <c r="O456" s="223"/>
      <c r="P456" s="22"/>
      <c r="Q456" s="22"/>
      <c r="T456" s="132"/>
      <c r="W456" s="22"/>
      <c r="X456" s="224"/>
      <c r="Z456" s="50"/>
      <c r="AA456" s="57"/>
    </row>
    <row r="457" spans="1:27" ht="15.75" customHeight="1">
      <c r="A457" s="9"/>
      <c r="D457" s="203"/>
      <c r="E457" s="31"/>
      <c r="I457" s="132"/>
      <c r="J457" s="132"/>
      <c r="K457" s="221"/>
      <c r="L457" s="132"/>
      <c r="N457" s="10"/>
      <c r="O457" s="223"/>
      <c r="P457" s="22"/>
      <c r="Q457" s="22"/>
      <c r="T457" s="132"/>
      <c r="W457" s="22"/>
      <c r="X457" s="224"/>
      <c r="Z457" s="50"/>
      <c r="AA457" s="57"/>
    </row>
    <row r="458" spans="1:27" ht="15.75" customHeight="1">
      <c r="A458" s="9"/>
      <c r="D458" s="203"/>
      <c r="E458" s="31"/>
      <c r="I458" s="132"/>
      <c r="J458" s="132"/>
      <c r="K458" s="221"/>
      <c r="L458" s="132"/>
      <c r="N458" s="10"/>
      <c r="O458" s="223"/>
      <c r="P458" s="22"/>
      <c r="Q458" s="22"/>
      <c r="T458" s="132"/>
      <c r="W458" s="22"/>
      <c r="X458" s="224"/>
      <c r="Z458" s="50"/>
      <c r="AA458" s="57"/>
    </row>
    <row r="459" spans="1:27" ht="15.75" customHeight="1">
      <c r="A459" s="9"/>
      <c r="D459" s="203"/>
      <c r="E459" s="31"/>
      <c r="I459" s="132"/>
      <c r="J459" s="132"/>
      <c r="K459" s="221"/>
      <c r="L459" s="132"/>
      <c r="N459" s="10"/>
      <c r="O459" s="223"/>
      <c r="P459" s="22"/>
      <c r="Q459" s="22"/>
      <c r="T459" s="132"/>
      <c r="W459" s="22"/>
      <c r="X459" s="224"/>
      <c r="Z459" s="50"/>
      <c r="AA459" s="57"/>
    </row>
    <row r="460" spans="1:27" ht="15.75" customHeight="1">
      <c r="A460" s="9"/>
      <c r="D460" s="203"/>
      <c r="E460" s="31"/>
      <c r="I460" s="132"/>
      <c r="J460" s="132"/>
      <c r="K460" s="221"/>
      <c r="L460" s="132"/>
      <c r="N460" s="10"/>
      <c r="O460" s="223"/>
      <c r="P460" s="22"/>
      <c r="Q460" s="22"/>
      <c r="T460" s="132"/>
      <c r="W460" s="22"/>
      <c r="X460" s="224"/>
      <c r="Z460" s="50"/>
      <c r="AA460" s="57"/>
    </row>
    <row r="461" spans="1:27" ht="15.75" customHeight="1">
      <c r="A461" s="9"/>
      <c r="D461" s="203"/>
      <c r="E461" s="31"/>
      <c r="I461" s="132"/>
      <c r="J461" s="132"/>
      <c r="K461" s="221"/>
      <c r="L461" s="132"/>
      <c r="N461" s="10"/>
      <c r="O461" s="223"/>
      <c r="P461" s="22"/>
      <c r="Q461" s="22"/>
      <c r="T461" s="132"/>
      <c r="W461" s="22"/>
      <c r="X461" s="224"/>
      <c r="Z461" s="50"/>
      <c r="AA461" s="57"/>
    </row>
    <row r="462" spans="1:27" ht="15.75" customHeight="1">
      <c r="A462" s="9"/>
      <c r="D462" s="203"/>
      <c r="E462" s="31"/>
      <c r="I462" s="132"/>
      <c r="J462" s="132"/>
      <c r="K462" s="221"/>
      <c r="L462" s="132"/>
      <c r="N462" s="10"/>
      <c r="O462" s="223"/>
      <c r="P462" s="22"/>
      <c r="Q462" s="22"/>
      <c r="T462" s="132"/>
      <c r="W462" s="22"/>
      <c r="X462" s="224"/>
      <c r="Z462" s="50"/>
      <c r="AA462" s="57"/>
    </row>
    <row r="463" spans="1:27" ht="15.75" customHeight="1">
      <c r="A463" s="9"/>
      <c r="D463" s="203"/>
      <c r="E463" s="31"/>
      <c r="I463" s="132"/>
      <c r="J463" s="132"/>
      <c r="K463" s="221"/>
      <c r="L463" s="132"/>
      <c r="N463" s="10"/>
      <c r="O463" s="223"/>
      <c r="P463" s="22"/>
      <c r="Q463" s="22"/>
      <c r="T463" s="132"/>
      <c r="W463" s="22"/>
      <c r="X463" s="224"/>
      <c r="Z463" s="50"/>
      <c r="AA463" s="57"/>
    </row>
    <row r="464" spans="1:27" ht="15.75" customHeight="1">
      <c r="A464" s="9"/>
      <c r="D464" s="203"/>
      <c r="E464" s="31"/>
      <c r="I464" s="132"/>
      <c r="J464" s="132"/>
      <c r="K464" s="221"/>
      <c r="L464" s="132"/>
      <c r="N464" s="10"/>
      <c r="O464" s="223"/>
      <c r="P464" s="22"/>
      <c r="Q464" s="22"/>
      <c r="T464" s="132"/>
      <c r="W464" s="22"/>
      <c r="X464" s="224"/>
      <c r="Z464" s="50"/>
      <c r="AA464" s="57"/>
    </row>
    <row r="465" spans="1:27" ht="15.75" customHeight="1">
      <c r="A465" s="9"/>
      <c r="D465" s="203"/>
      <c r="E465" s="31"/>
      <c r="I465" s="132"/>
      <c r="J465" s="132"/>
      <c r="K465" s="221"/>
      <c r="L465" s="132"/>
      <c r="N465" s="10"/>
      <c r="O465" s="223"/>
      <c r="P465" s="22"/>
      <c r="Q465" s="22"/>
      <c r="T465" s="132"/>
      <c r="W465" s="22"/>
      <c r="X465" s="224"/>
      <c r="Z465" s="50"/>
      <c r="AA465" s="57"/>
    </row>
    <row r="466" spans="1:27" ht="15.75" customHeight="1">
      <c r="A466" s="9"/>
      <c r="D466" s="203"/>
      <c r="E466" s="31"/>
      <c r="I466" s="132"/>
      <c r="J466" s="132"/>
      <c r="K466" s="221"/>
      <c r="L466" s="132"/>
      <c r="N466" s="10"/>
      <c r="O466" s="223"/>
      <c r="P466" s="22"/>
      <c r="Q466" s="22"/>
      <c r="T466" s="132"/>
      <c r="W466" s="22"/>
      <c r="X466" s="224"/>
      <c r="Z466" s="50"/>
      <c r="AA466" s="57"/>
    </row>
    <row r="467" spans="1:27" ht="15.75" customHeight="1">
      <c r="A467" s="9"/>
      <c r="D467" s="203"/>
      <c r="E467" s="31"/>
      <c r="I467" s="132"/>
      <c r="J467" s="132"/>
      <c r="K467" s="221"/>
      <c r="L467" s="132"/>
      <c r="N467" s="10"/>
      <c r="O467" s="223"/>
      <c r="P467" s="22"/>
      <c r="Q467" s="22"/>
      <c r="T467" s="132"/>
      <c r="W467" s="22"/>
      <c r="X467" s="224"/>
      <c r="Z467" s="50"/>
      <c r="AA467" s="57"/>
    </row>
    <row r="468" spans="1:27" ht="15.75" customHeight="1">
      <c r="A468" s="9"/>
      <c r="D468" s="203"/>
      <c r="E468" s="31"/>
      <c r="I468" s="132"/>
      <c r="J468" s="132"/>
      <c r="K468" s="221"/>
      <c r="L468" s="132"/>
      <c r="N468" s="10"/>
      <c r="O468" s="223"/>
      <c r="P468" s="22"/>
      <c r="Q468" s="22"/>
      <c r="T468" s="132"/>
      <c r="W468" s="22"/>
      <c r="X468" s="224"/>
      <c r="Z468" s="50"/>
      <c r="AA468" s="57"/>
    </row>
    <row r="469" spans="1:27" ht="15.75" customHeight="1">
      <c r="A469" s="9"/>
      <c r="D469" s="203"/>
      <c r="E469" s="31"/>
      <c r="I469" s="132"/>
      <c r="J469" s="132"/>
      <c r="K469" s="221"/>
      <c r="L469" s="132"/>
      <c r="N469" s="10"/>
      <c r="O469" s="223"/>
      <c r="P469" s="22"/>
      <c r="Q469" s="22"/>
      <c r="T469" s="132"/>
      <c r="W469" s="22"/>
      <c r="X469" s="224"/>
      <c r="Z469" s="50"/>
      <c r="AA469" s="57"/>
    </row>
    <row r="470" spans="1:27" ht="15.75" customHeight="1">
      <c r="A470" s="9"/>
      <c r="D470" s="203"/>
      <c r="E470" s="31"/>
      <c r="I470" s="132"/>
      <c r="J470" s="132"/>
      <c r="K470" s="221"/>
      <c r="L470" s="132"/>
      <c r="N470" s="10"/>
      <c r="O470" s="223"/>
      <c r="P470" s="22"/>
      <c r="Q470" s="22"/>
      <c r="T470" s="132"/>
      <c r="W470" s="22"/>
      <c r="X470" s="224"/>
      <c r="Z470" s="50"/>
      <c r="AA470" s="57"/>
    </row>
    <row r="471" spans="1:27" ht="15.75" customHeight="1">
      <c r="A471" s="9"/>
      <c r="D471" s="203"/>
      <c r="E471" s="31"/>
      <c r="I471" s="132"/>
      <c r="J471" s="132"/>
      <c r="K471" s="221"/>
      <c r="L471" s="132"/>
      <c r="N471" s="10"/>
      <c r="O471" s="223"/>
      <c r="P471" s="22"/>
      <c r="Q471" s="22"/>
      <c r="T471" s="132"/>
      <c r="W471" s="22"/>
      <c r="X471" s="224"/>
      <c r="Z471" s="50"/>
      <c r="AA471" s="57"/>
    </row>
    <row r="472" spans="1:27" ht="15.75" customHeight="1">
      <c r="A472" s="9"/>
      <c r="D472" s="203"/>
      <c r="E472" s="31"/>
      <c r="I472" s="132"/>
      <c r="J472" s="132"/>
      <c r="K472" s="221"/>
      <c r="L472" s="132"/>
      <c r="N472" s="10"/>
      <c r="O472" s="223"/>
      <c r="P472" s="22"/>
      <c r="Q472" s="22"/>
      <c r="T472" s="132"/>
      <c r="W472" s="22"/>
      <c r="X472" s="224"/>
      <c r="Z472" s="50"/>
      <c r="AA472" s="57"/>
    </row>
    <row r="473" spans="1:27" ht="15.75" customHeight="1">
      <c r="A473" s="9"/>
      <c r="D473" s="203"/>
      <c r="E473" s="31"/>
      <c r="I473" s="132"/>
      <c r="J473" s="132"/>
      <c r="K473" s="221"/>
      <c r="L473" s="132"/>
      <c r="N473" s="10"/>
      <c r="O473" s="223"/>
      <c r="P473" s="22"/>
      <c r="Q473" s="22"/>
      <c r="T473" s="132"/>
      <c r="W473" s="22"/>
      <c r="X473" s="224"/>
      <c r="Z473" s="50"/>
      <c r="AA473" s="57"/>
    </row>
    <row r="474" spans="1:27" ht="15.75" customHeight="1">
      <c r="A474" s="9"/>
      <c r="D474" s="203"/>
      <c r="E474" s="31"/>
      <c r="I474" s="132"/>
      <c r="J474" s="132"/>
      <c r="K474" s="221"/>
      <c r="L474" s="132"/>
      <c r="N474" s="10"/>
      <c r="O474" s="223"/>
      <c r="P474" s="22"/>
      <c r="Q474" s="22"/>
      <c r="T474" s="132"/>
      <c r="W474" s="22"/>
      <c r="X474" s="224"/>
      <c r="Z474" s="50"/>
      <c r="AA474" s="57"/>
    </row>
    <row r="475" spans="1:27" ht="15.75" customHeight="1">
      <c r="A475" s="9"/>
      <c r="D475" s="203"/>
      <c r="E475" s="31"/>
      <c r="I475" s="132"/>
      <c r="J475" s="132"/>
      <c r="K475" s="221"/>
      <c r="L475" s="132"/>
      <c r="N475" s="10"/>
      <c r="O475" s="223"/>
      <c r="P475" s="22"/>
      <c r="Q475" s="22"/>
      <c r="T475" s="132"/>
      <c r="W475" s="22"/>
      <c r="X475" s="224"/>
      <c r="Z475" s="50"/>
      <c r="AA475" s="57"/>
    </row>
    <row r="476" spans="1:27" ht="15.75" customHeight="1">
      <c r="A476" s="9"/>
      <c r="D476" s="203"/>
      <c r="E476" s="31"/>
      <c r="I476" s="132"/>
      <c r="J476" s="132"/>
      <c r="K476" s="221"/>
      <c r="L476" s="132"/>
      <c r="N476" s="10"/>
      <c r="O476" s="223"/>
      <c r="P476" s="22"/>
      <c r="Q476" s="22"/>
      <c r="T476" s="132"/>
      <c r="W476" s="22"/>
      <c r="X476" s="224"/>
      <c r="Z476" s="50"/>
      <c r="AA476" s="57"/>
    </row>
    <row r="477" spans="1:27" ht="15.75" customHeight="1">
      <c r="A477" s="9"/>
      <c r="D477" s="203"/>
      <c r="E477" s="31"/>
      <c r="I477" s="132"/>
      <c r="J477" s="132"/>
      <c r="K477" s="221"/>
      <c r="L477" s="132"/>
      <c r="N477" s="10"/>
      <c r="O477" s="223"/>
      <c r="P477" s="22"/>
      <c r="Q477" s="22"/>
      <c r="T477" s="132"/>
      <c r="W477" s="22"/>
      <c r="X477" s="224"/>
      <c r="Z477" s="50"/>
      <c r="AA477" s="57"/>
    </row>
    <row r="478" spans="1:27" ht="15.75" customHeight="1">
      <c r="A478" s="9"/>
      <c r="D478" s="203"/>
      <c r="E478" s="31"/>
      <c r="I478" s="132"/>
      <c r="J478" s="132"/>
      <c r="K478" s="221"/>
      <c r="L478" s="132"/>
      <c r="N478" s="10"/>
      <c r="O478" s="223"/>
      <c r="P478" s="22"/>
      <c r="Q478" s="22"/>
      <c r="T478" s="132"/>
      <c r="W478" s="22"/>
      <c r="X478" s="224"/>
      <c r="Z478" s="50"/>
      <c r="AA478" s="57"/>
    </row>
    <row r="479" spans="1:27" ht="15.75" customHeight="1">
      <c r="A479" s="9"/>
      <c r="D479" s="203"/>
      <c r="E479" s="31"/>
      <c r="I479" s="132"/>
      <c r="J479" s="132"/>
      <c r="K479" s="221"/>
      <c r="L479" s="132"/>
      <c r="N479" s="10"/>
      <c r="O479" s="223"/>
      <c r="P479" s="22"/>
      <c r="Q479" s="22"/>
      <c r="T479" s="132"/>
      <c r="W479" s="22"/>
      <c r="X479" s="224"/>
      <c r="Z479" s="50"/>
      <c r="AA479" s="57"/>
    </row>
    <row r="480" spans="1:27" ht="15.75" customHeight="1">
      <c r="A480" s="9"/>
      <c r="D480" s="203"/>
      <c r="E480" s="31"/>
      <c r="I480" s="132"/>
      <c r="J480" s="132"/>
      <c r="K480" s="221"/>
      <c r="L480" s="132"/>
      <c r="N480" s="10"/>
      <c r="O480" s="223"/>
      <c r="P480" s="22"/>
      <c r="Q480" s="22"/>
      <c r="T480" s="132"/>
      <c r="W480" s="22"/>
      <c r="X480" s="224"/>
      <c r="Z480" s="50"/>
      <c r="AA480" s="57"/>
    </row>
    <row r="481" spans="1:27" ht="15.75" customHeight="1">
      <c r="A481" s="9"/>
      <c r="D481" s="203"/>
      <c r="E481" s="31"/>
      <c r="I481" s="132"/>
      <c r="J481" s="132"/>
      <c r="K481" s="221"/>
      <c r="L481" s="132"/>
      <c r="N481" s="10"/>
      <c r="O481" s="223"/>
      <c r="P481" s="22"/>
      <c r="Q481" s="22"/>
      <c r="T481" s="132"/>
      <c r="W481" s="22"/>
      <c r="X481" s="224"/>
      <c r="Z481" s="50"/>
      <c r="AA481" s="57"/>
    </row>
    <row r="482" spans="1:27" ht="15.75" customHeight="1">
      <c r="A482" s="9"/>
      <c r="D482" s="203"/>
      <c r="E482" s="31"/>
      <c r="I482" s="132"/>
      <c r="J482" s="132"/>
      <c r="K482" s="221"/>
      <c r="L482" s="132"/>
      <c r="N482" s="10"/>
      <c r="O482" s="223"/>
      <c r="P482" s="22"/>
      <c r="Q482" s="22"/>
      <c r="T482" s="132"/>
      <c r="W482" s="22"/>
      <c r="X482" s="224"/>
      <c r="Z482" s="50"/>
      <c r="AA482" s="57"/>
    </row>
    <row r="483" spans="1:27" ht="15.75" customHeight="1">
      <c r="A483" s="9"/>
      <c r="D483" s="203"/>
      <c r="E483" s="31"/>
      <c r="I483" s="132"/>
      <c r="J483" s="132"/>
      <c r="K483" s="221"/>
      <c r="L483" s="132"/>
      <c r="N483" s="10"/>
      <c r="O483" s="223"/>
      <c r="P483" s="22"/>
      <c r="Q483" s="22"/>
      <c r="T483" s="132"/>
      <c r="W483" s="22"/>
      <c r="X483" s="224"/>
      <c r="Z483" s="50"/>
      <c r="AA483" s="57"/>
    </row>
    <row r="484" spans="1:27" ht="15.75" customHeight="1">
      <c r="A484" s="9"/>
      <c r="D484" s="203"/>
      <c r="E484" s="31"/>
      <c r="I484" s="132"/>
      <c r="J484" s="132"/>
      <c r="K484" s="221"/>
      <c r="L484" s="132"/>
      <c r="N484" s="10"/>
      <c r="O484" s="223"/>
      <c r="P484" s="22"/>
      <c r="Q484" s="22"/>
      <c r="T484" s="132"/>
      <c r="W484" s="22"/>
      <c r="X484" s="224"/>
      <c r="Z484" s="50"/>
      <c r="AA484" s="57"/>
    </row>
    <row r="485" spans="1:27" ht="15.75" customHeight="1">
      <c r="A485" s="9"/>
      <c r="D485" s="203"/>
      <c r="E485" s="31"/>
      <c r="I485" s="132"/>
      <c r="J485" s="132"/>
      <c r="K485" s="221"/>
      <c r="L485" s="132"/>
      <c r="N485" s="10"/>
      <c r="O485" s="223"/>
      <c r="P485" s="22"/>
      <c r="Q485" s="22"/>
      <c r="T485" s="132"/>
      <c r="W485" s="22"/>
      <c r="X485" s="224"/>
      <c r="Z485" s="50"/>
      <c r="AA485" s="57"/>
    </row>
    <row r="486" spans="1:27" ht="15.75" customHeight="1">
      <c r="A486" s="9"/>
      <c r="D486" s="203"/>
      <c r="E486" s="31"/>
      <c r="I486" s="132"/>
      <c r="J486" s="132"/>
      <c r="K486" s="221"/>
      <c r="L486" s="132"/>
      <c r="N486" s="10"/>
      <c r="O486" s="223"/>
      <c r="P486" s="22"/>
      <c r="Q486" s="22"/>
      <c r="T486" s="132"/>
      <c r="W486" s="22"/>
      <c r="X486" s="224"/>
      <c r="Z486" s="50"/>
      <c r="AA486" s="57"/>
    </row>
    <row r="487" spans="1:27" ht="15.75" customHeight="1">
      <c r="A487" s="9"/>
      <c r="D487" s="203"/>
      <c r="E487" s="31"/>
      <c r="I487" s="132"/>
      <c r="J487" s="132"/>
      <c r="K487" s="221"/>
      <c r="L487" s="132"/>
      <c r="N487" s="10"/>
      <c r="O487" s="223"/>
      <c r="P487" s="22"/>
      <c r="Q487" s="22"/>
      <c r="T487" s="132"/>
      <c r="W487" s="22"/>
      <c r="X487" s="224"/>
      <c r="Z487" s="50"/>
      <c r="AA487" s="57"/>
    </row>
    <row r="488" spans="1:27" ht="15.75" customHeight="1">
      <c r="A488" s="9"/>
      <c r="D488" s="203"/>
      <c r="E488" s="31"/>
      <c r="I488" s="132"/>
      <c r="J488" s="132"/>
      <c r="K488" s="221"/>
      <c r="L488" s="132"/>
      <c r="N488" s="10"/>
      <c r="O488" s="223"/>
      <c r="P488" s="22"/>
      <c r="Q488" s="22"/>
      <c r="T488" s="132"/>
      <c r="W488" s="22"/>
      <c r="X488" s="224"/>
      <c r="Z488" s="50"/>
      <c r="AA488" s="57"/>
    </row>
    <row r="489" spans="1:27" ht="15.75" customHeight="1">
      <c r="A489" s="9"/>
      <c r="D489" s="203"/>
      <c r="E489" s="31"/>
      <c r="I489" s="132"/>
      <c r="J489" s="132"/>
      <c r="K489" s="221"/>
      <c r="L489" s="132"/>
      <c r="N489" s="10"/>
      <c r="O489" s="223"/>
      <c r="P489" s="22"/>
      <c r="Q489" s="22"/>
      <c r="T489" s="132"/>
      <c r="W489" s="22"/>
      <c r="X489" s="224"/>
      <c r="Z489" s="50"/>
      <c r="AA489" s="57"/>
    </row>
    <row r="490" spans="1:27" ht="15.75" customHeight="1">
      <c r="A490" s="9"/>
      <c r="D490" s="203"/>
      <c r="E490" s="31"/>
      <c r="I490" s="132"/>
      <c r="J490" s="132"/>
      <c r="K490" s="221"/>
      <c r="L490" s="132"/>
      <c r="N490" s="10"/>
      <c r="O490" s="223"/>
      <c r="P490" s="22"/>
      <c r="Q490" s="22"/>
      <c r="T490" s="132"/>
      <c r="W490" s="22"/>
      <c r="X490" s="224"/>
      <c r="Z490" s="50"/>
      <c r="AA490" s="57"/>
    </row>
    <row r="491" spans="1:27" ht="15.75" customHeight="1">
      <c r="A491" s="9"/>
      <c r="D491" s="203"/>
      <c r="E491" s="31"/>
      <c r="I491" s="132"/>
      <c r="J491" s="132"/>
      <c r="K491" s="221"/>
      <c r="L491" s="132"/>
      <c r="N491" s="10"/>
      <c r="O491" s="223"/>
      <c r="P491" s="22"/>
      <c r="Q491" s="22"/>
      <c r="T491" s="132"/>
      <c r="W491" s="22"/>
      <c r="X491" s="224"/>
      <c r="Z491" s="50"/>
      <c r="AA491" s="57"/>
    </row>
    <row r="492" spans="1:27" ht="15.75" customHeight="1">
      <c r="A492" s="9"/>
      <c r="D492" s="203"/>
      <c r="E492" s="31"/>
      <c r="I492" s="132"/>
      <c r="J492" s="132"/>
      <c r="K492" s="221"/>
      <c r="L492" s="132"/>
      <c r="N492" s="10"/>
      <c r="O492" s="223"/>
      <c r="P492" s="22"/>
      <c r="Q492" s="22"/>
      <c r="T492" s="132"/>
      <c r="W492" s="22"/>
      <c r="X492" s="224"/>
      <c r="Z492" s="50"/>
      <c r="AA492" s="57"/>
    </row>
    <row r="493" spans="1:27" ht="15.75" customHeight="1">
      <c r="A493" s="9"/>
      <c r="D493" s="203"/>
      <c r="E493" s="31"/>
      <c r="I493" s="132"/>
      <c r="J493" s="132"/>
      <c r="K493" s="221"/>
      <c r="L493" s="132"/>
      <c r="N493" s="10"/>
      <c r="O493" s="223"/>
      <c r="P493" s="22"/>
      <c r="Q493" s="22"/>
      <c r="T493" s="132"/>
      <c r="W493" s="22"/>
      <c r="X493" s="224"/>
      <c r="Z493" s="50"/>
      <c r="AA493" s="57"/>
    </row>
    <row r="494" spans="1:27" ht="15.75" customHeight="1">
      <c r="A494" s="9"/>
      <c r="D494" s="203"/>
      <c r="E494" s="31"/>
      <c r="I494" s="132"/>
      <c r="J494" s="132"/>
      <c r="K494" s="221"/>
      <c r="L494" s="132"/>
      <c r="N494" s="10"/>
      <c r="O494" s="223"/>
      <c r="P494" s="22"/>
      <c r="Q494" s="22"/>
      <c r="T494" s="132"/>
      <c r="W494" s="22"/>
      <c r="X494" s="224"/>
      <c r="Z494" s="50"/>
      <c r="AA494" s="57"/>
    </row>
    <row r="495" spans="1:27" ht="15.75" customHeight="1">
      <c r="A495" s="9"/>
      <c r="D495" s="203"/>
      <c r="E495" s="31"/>
      <c r="I495" s="132"/>
      <c r="J495" s="132"/>
      <c r="K495" s="221"/>
      <c r="L495" s="132"/>
      <c r="N495" s="10"/>
      <c r="O495" s="223"/>
      <c r="P495" s="22"/>
      <c r="Q495" s="22"/>
      <c r="T495" s="132"/>
      <c r="W495" s="22"/>
      <c r="X495" s="224"/>
      <c r="Z495" s="50"/>
      <c r="AA495" s="57"/>
    </row>
    <row r="496" spans="1:27" ht="15.75" customHeight="1">
      <c r="A496" s="9"/>
      <c r="D496" s="203"/>
      <c r="E496" s="31"/>
      <c r="I496" s="132"/>
      <c r="J496" s="132"/>
      <c r="K496" s="221"/>
      <c r="L496" s="132"/>
      <c r="N496" s="10"/>
      <c r="O496" s="223"/>
      <c r="P496" s="22"/>
      <c r="Q496" s="22"/>
      <c r="T496" s="132"/>
      <c r="W496" s="22"/>
      <c r="X496" s="224"/>
      <c r="Z496" s="50"/>
      <c r="AA496" s="57"/>
    </row>
    <row r="497" spans="1:27" ht="15.75" customHeight="1">
      <c r="A497" s="9"/>
      <c r="D497" s="203"/>
      <c r="E497" s="31"/>
      <c r="I497" s="132"/>
      <c r="J497" s="132"/>
      <c r="K497" s="221"/>
      <c r="L497" s="132"/>
      <c r="N497" s="10"/>
      <c r="O497" s="223"/>
      <c r="P497" s="22"/>
      <c r="Q497" s="22"/>
      <c r="T497" s="132"/>
      <c r="W497" s="22"/>
      <c r="X497" s="224"/>
      <c r="Z497" s="50"/>
      <c r="AA497" s="57"/>
    </row>
    <row r="498" spans="1:27" ht="15.75" customHeight="1">
      <c r="A498" s="9"/>
      <c r="D498" s="203"/>
      <c r="E498" s="31"/>
      <c r="I498" s="132"/>
      <c r="J498" s="132"/>
      <c r="K498" s="221"/>
      <c r="L498" s="132"/>
      <c r="N498" s="10"/>
      <c r="O498" s="223"/>
      <c r="P498" s="22"/>
      <c r="Q498" s="22"/>
      <c r="T498" s="132"/>
      <c r="W498" s="22"/>
      <c r="X498" s="224"/>
      <c r="Z498" s="50"/>
      <c r="AA498" s="57"/>
    </row>
    <row r="499" spans="1:27" ht="15.75" customHeight="1">
      <c r="A499" s="9"/>
      <c r="D499" s="203"/>
      <c r="E499" s="31"/>
      <c r="I499" s="132"/>
      <c r="J499" s="132"/>
      <c r="K499" s="221"/>
      <c r="L499" s="132"/>
      <c r="N499" s="10"/>
      <c r="O499" s="223"/>
      <c r="P499" s="22"/>
      <c r="Q499" s="22"/>
      <c r="T499" s="132"/>
      <c r="W499" s="22"/>
      <c r="X499" s="224"/>
      <c r="Z499" s="50"/>
      <c r="AA499" s="57"/>
    </row>
    <row r="500" spans="1:27" ht="15.75" customHeight="1">
      <c r="A500" s="9"/>
      <c r="D500" s="203"/>
      <c r="E500" s="31"/>
      <c r="I500" s="132"/>
      <c r="J500" s="132"/>
      <c r="K500" s="221"/>
      <c r="L500" s="132"/>
      <c r="N500" s="10"/>
      <c r="O500" s="223"/>
      <c r="P500" s="22"/>
      <c r="Q500" s="22"/>
      <c r="T500" s="132"/>
      <c r="W500" s="22"/>
      <c r="X500" s="224"/>
      <c r="Z500" s="50"/>
      <c r="AA500" s="57"/>
    </row>
    <row r="501" spans="1:27" ht="15.75" customHeight="1">
      <c r="A501" s="9"/>
      <c r="D501" s="203"/>
      <c r="E501" s="31"/>
      <c r="I501" s="132"/>
      <c r="J501" s="132"/>
      <c r="K501" s="221"/>
      <c r="L501" s="132"/>
      <c r="N501" s="10"/>
      <c r="O501" s="223"/>
      <c r="P501" s="22"/>
      <c r="Q501" s="22"/>
      <c r="T501" s="132"/>
      <c r="W501" s="22"/>
      <c r="X501" s="224"/>
      <c r="Z501" s="50"/>
      <c r="AA501" s="57"/>
    </row>
    <row r="502" spans="1:27" ht="15.75" customHeight="1">
      <c r="A502" s="9"/>
      <c r="D502" s="203"/>
      <c r="E502" s="31"/>
      <c r="I502" s="132"/>
      <c r="J502" s="132"/>
      <c r="K502" s="221"/>
      <c r="L502" s="132"/>
      <c r="N502" s="10"/>
      <c r="O502" s="223"/>
      <c r="P502" s="22"/>
      <c r="Q502" s="22"/>
      <c r="T502" s="132"/>
      <c r="W502" s="22"/>
      <c r="X502" s="224"/>
      <c r="Z502" s="50"/>
      <c r="AA502" s="57"/>
    </row>
    <row r="503" spans="1:27" ht="15.75" customHeight="1">
      <c r="A503" s="9"/>
      <c r="D503" s="203"/>
      <c r="E503" s="31"/>
      <c r="I503" s="132"/>
      <c r="J503" s="132"/>
      <c r="K503" s="221"/>
      <c r="L503" s="132"/>
      <c r="N503" s="10"/>
      <c r="O503" s="223"/>
      <c r="P503" s="22"/>
      <c r="Q503" s="22"/>
      <c r="T503" s="132"/>
      <c r="W503" s="22"/>
      <c r="X503" s="224"/>
      <c r="Z503" s="50"/>
      <c r="AA503" s="57"/>
    </row>
    <row r="504" spans="1:27" ht="15.75" customHeight="1">
      <c r="A504" s="9"/>
      <c r="D504" s="203"/>
      <c r="E504" s="31"/>
      <c r="I504" s="132"/>
      <c r="J504" s="132"/>
      <c r="K504" s="221"/>
      <c r="L504" s="132"/>
      <c r="N504" s="10"/>
      <c r="O504" s="223"/>
      <c r="P504" s="22"/>
      <c r="Q504" s="22"/>
      <c r="T504" s="132"/>
      <c r="W504" s="22"/>
      <c r="X504" s="224"/>
      <c r="Z504" s="50"/>
      <c r="AA504" s="57"/>
    </row>
    <row r="505" spans="1:27" ht="15.75" customHeight="1">
      <c r="A505" s="9"/>
      <c r="D505" s="203"/>
      <c r="E505" s="31"/>
      <c r="I505" s="132"/>
      <c r="J505" s="132"/>
      <c r="K505" s="221"/>
      <c r="L505" s="132"/>
      <c r="N505" s="10"/>
      <c r="O505" s="223"/>
      <c r="P505" s="22"/>
      <c r="Q505" s="22"/>
      <c r="T505" s="132"/>
      <c r="W505" s="22"/>
      <c r="X505" s="224"/>
      <c r="Z505" s="50"/>
      <c r="AA505" s="57"/>
    </row>
    <row r="506" spans="1:27" ht="15.75" customHeight="1">
      <c r="A506" s="9"/>
      <c r="D506" s="203"/>
      <c r="E506" s="31"/>
      <c r="I506" s="132"/>
      <c r="J506" s="132"/>
      <c r="K506" s="221"/>
      <c r="L506" s="132"/>
      <c r="N506" s="10"/>
      <c r="O506" s="223"/>
      <c r="P506" s="22"/>
      <c r="Q506" s="22"/>
      <c r="T506" s="132"/>
      <c r="W506" s="22"/>
      <c r="X506" s="224"/>
      <c r="Z506" s="50"/>
      <c r="AA506" s="57"/>
    </row>
    <row r="507" spans="1:27" ht="15.75" customHeight="1">
      <c r="A507" s="9"/>
      <c r="D507" s="203"/>
      <c r="E507" s="31"/>
      <c r="I507" s="132"/>
      <c r="J507" s="132"/>
      <c r="K507" s="221"/>
      <c r="L507" s="132"/>
      <c r="N507" s="10"/>
      <c r="O507" s="223"/>
      <c r="P507" s="22"/>
      <c r="Q507" s="22"/>
      <c r="T507" s="132"/>
      <c r="W507" s="22"/>
      <c r="X507" s="224"/>
      <c r="Z507" s="50"/>
      <c r="AA507" s="57"/>
    </row>
    <row r="508" spans="1:27" ht="15.75" customHeight="1">
      <c r="A508" s="9"/>
      <c r="D508" s="203"/>
      <c r="E508" s="31"/>
      <c r="I508" s="132"/>
      <c r="J508" s="132"/>
      <c r="K508" s="221"/>
      <c r="L508" s="132"/>
      <c r="N508" s="10"/>
      <c r="O508" s="223"/>
      <c r="P508" s="22"/>
      <c r="Q508" s="22"/>
      <c r="T508" s="132"/>
      <c r="W508" s="22"/>
      <c r="X508" s="224"/>
      <c r="Z508" s="50"/>
      <c r="AA508" s="57"/>
    </row>
    <row r="509" spans="1:27" ht="15.75" customHeight="1">
      <c r="A509" s="9"/>
      <c r="D509" s="203"/>
      <c r="E509" s="31"/>
      <c r="I509" s="132"/>
      <c r="J509" s="132"/>
      <c r="K509" s="221"/>
      <c r="L509" s="132"/>
      <c r="N509" s="10"/>
      <c r="O509" s="223"/>
      <c r="P509" s="22"/>
      <c r="Q509" s="22"/>
      <c r="T509" s="132"/>
      <c r="W509" s="22"/>
      <c r="X509" s="224"/>
      <c r="Z509" s="50"/>
      <c r="AA509" s="57"/>
    </row>
    <row r="510" spans="1:27" ht="15.75" customHeight="1">
      <c r="A510" s="9"/>
      <c r="D510" s="203"/>
      <c r="E510" s="31"/>
      <c r="I510" s="132"/>
      <c r="J510" s="132"/>
      <c r="K510" s="221"/>
      <c r="L510" s="132"/>
      <c r="N510" s="10"/>
      <c r="O510" s="223"/>
      <c r="P510" s="22"/>
      <c r="Q510" s="22"/>
      <c r="T510" s="132"/>
      <c r="W510" s="22"/>
      <c r="X510" s="224"/>
      <c r="Z510" s="50"/>
      <c r="AA510" s="57"/>
    </row>
    <row r="511" spans="1:27" ht="15.75" customHeight="1">
      <c r="A511" s="9"/>
      <c r="D511" s="203"/>
      <c r="E511" s="31"/>
      <c r="I511" s="132"/>
      <c r="J511" s="132"/>
      <c r="K511" s="221"/>
      <c r="L511" s="132"/>
      <c r="N511" s="10"/>
      <c r="O511" s="223"/>
      <c r="P511" s="22"/>
      <c r="Q511" s="22"/>
      <c r="T511" s="132"/>
      <c r="W511" s="22"/>
      <c r="X511" s="224"/>
      <c r="Z511" s="50"/>
      <c r="AA511" s="57"/>
    </row>
    <row r="512" spans="1:27" ht="15.75" customHeight="1">
      <c r="A512" s="9"/>
      <c r="D512" s="203"/>
      <c r="E512" s="31"/>
      <c r="I512" s="132"/>
      <c r="J512" s="132"/>
      <c r="K512" s="221"/>
      <c r="L512" s="132"/>
      <c r="N512" s="10"/>
      <c r="O512" s="223"/>
      <c r="P512" s="22"/>
      <c r="Q512" s="22"/>
      <c r="T512" s="132"/>
      <c r="W512" s="22"/>
      <c r="X512" s="224"/>
      <c r="Z512" s="50"/>
      <c r="AA512" s="57"/>
    </row>
    <row r="513" spans="1:27" ht="15.75" customHeight="1">
      <c r="A513" s="9"/>
      <c r="D513" s="203"/>
      <c r="E513" s="31"/>
      <c r="I513" s="132"/>
      <c r="J513" s="132"/>
      <c r="K513" s="221"/>
      <c r="L513" s="132"/>
      <c r="N513" s="10"/>
      <c r="O513" s="223"/>
      <c r="P513" s="22"/>
      <c r="Q513" s="22"/>
      <c r="T513" s="132"/>
      <c r="W513" s="22"/>
      <c r="X513" s="224"/>
      <c r="Z513" s="50"/>
      <c r="AA513" s="57"/>
    </row>
    <row r="514" spans="1:27" ht="15.75" customHeight="1">
      <c r="A514" s="9"/>
      <c r="D514" s="203"/>
      <c r="E514" s="31"/>
      <c r="I514" s="132"/>
      <c r="J514" s="132"/>
      <c r="K514" s="221"/>
      <c r="L514" s="132"/>
      <c r="N514" s="10"/>
      <c r="O514" s="223"/>
      <c r="P514" s="22"/>
      <c r="Q514" s="22"/>
      <c r="T514" s="132"/>
      <c r="W514" s="22"/>
      <c r="X514" s="224"/>
      <c r="Z514" s="50"/>
      <c r="AA514" s="57"/>
    </row>
    <row r="515" spans="1:27" ht="15.75" customHeight="1">
      <c r="A515" s="9"/>
      <c r="D515" s="203"/>
      <c r="E515" s="31"/>
      <c r="I515" s="132"/>
      <c r="J515" s="132"/>
      <c r="K515" s="221"/>
      <c r="L515" s="132"/>
      <c r="N515" s="10"/>
      <c r="O515" s="223"/>
      <c r="P515" s="22"/>
      <c r="Q515" s="22"/>
      <c r="T515" s="132"/>
      <c r="W515" s="22"/>
      <c r="X515" s="224"/>
      <c r="Z515" s="50"/>
      <c r="AA515" s="57"/>
    </row>
    <row r="516" spans="1:27" ht="15.75" customHeight="1">
      <c r="A516" s="9"/>
      <c r="D516" s="203"/>
      <c r="E516" s="31"/>
      <c r="I516" s="132"/>
      <c r="J516" s="132"/>
      <c r="K516" s="221"/>
      <c r="L516" s="132"/>
      <c r="N516" s="10"/>
      <c r="O516" s="223"/>
      <c r="P516" s="22"/>
      <c r="Q516" s="22"/>
      <c r="T516" s="132"/>
      <c r="W516" s="22"/>
      <c r="X516" s="224"/>
      <c r="Z516" s="50"/>
      <c r="AA516" s="57"/>
    </row>
    <row r="517" spans="1:27" ht="15.75" customHeight="1">
      <c r="A517" s="9"/>
      <c r="D517" s="203"/>
      <c r="E517" s="31"/>
      <c r="I517" s="132"/>
      <c r="J517" s="132"/>
      <c r="K517" s="221"/>
      <c r="L517" s="132"/>
      <c r="N517" s="10"/>
      <c r="O517" s="223"/>
      <c r="P517" s="22"/>
      <c r="Q517" s="22"/>
      <c r="T517" s="132"/>
      <c r="W517" s="22"/>
      <c r="X517" s="224"/>
      <c r="Z517" s="50"/>
      <c r="AA517" s="57"/>
    </row>
    <row r="518" spans="1:27" ht="15.75" customHeight="1">
      <c r="A518" s="9"/>
      <c r="D518" s="203"/>
      <c r="E518" s="31"/>
      <c r="I518" s="132"/>
      <c r="J518" s="132"/>
      <c r="K518" s="221"/>
      <c r="L518" s="132"/>
      <c r="N518" s="10"/>
      <c r="O518" s="223"/>
      <c r="P518" s="22"/>
      <c r="Q518" s="22"/>
      <c r="T518" s="132"/>
      <c r="W518" s="22"/>
      <c r="X518" s="224"/>
      <c r="Z518" s="50"/>
      <c r="AA518" s="57"/>
    </row>
    <row r="519" spans="1:27" ht="15.75" customHeight="1">
      <c r="A519" s="9"/>
      <c r="D519" s="203"/>
      <c r="E519" s="31"/>
      <c r="I519" s="132"/>
      <c r="J519" s="132"/>
      <c r="K519" s="221"/>
      <c r="L519" s="132"/>
      <c r="N519" s="10"/>
      <c r="O519" s="223"/>
      <c r="P519" s="22"/>
      <c r="Q519" s="22"/>
      <c r="T519" s="132"/>
      <c r="W519" s="22"/>
      <c r="X519" s="224"/>
      <c r="Z519" s="50"/>
      <c r="AA519" s="57"/>
    </row>
    <row r="520" spans="1:27" ht="15.75" customHeight="1">
      <c r="A520" s="9"/>
      <c r="D520" s="203"/>
      <c r="E520" s="31"/>
      <c r="I520" s="132"/>
      <c r="J520" s="132"/>
      <c r="K520" s="221"/>
      <c r="L520" s="132"/>
      <c r="N520" s="10"/>
      <c r="O520" s="223"/>
      <c r="P520" s="22"/>
      <c r="Q520" s="22"/>
      <c r="T520" s="132"/>
      <c r="W520" s="22"/>
      <c r="X520" s="224"/>
      <c r="Z520" s="50"/>
      <c r="AA520" s="57"/>
    </row>
    <row r="521" spans="1:27" ht="15.75" customHeight="1">
      <c r="A521" s="9"/>
      <c r="D521" s="203"/>
      <c r="E521" s="31"/>
      <c r="I521" s="132"/>
      <c r="J521" s="132"/>
      <c r="K521" s="221"/>
      <c r="L521" s="132"/>
      <c r="N521" s="10"/>
      <c r="O521" s="223"/>
      <c r="P521" s="22"/>
      <c r="Q521" s="22"/>
      <c r="T521" s="132"/>
      <c r="W521" s="22"/>
      <c r="X521" s="224"/>
      <c r="Z521" s="50"/>
      <c r="AA521" s="57"/>
    </row>
    <row r="522" spans="1:27" ht="15.75" customHeight="1">
      <c r="A522" s="9"/>
      <c r="D522" s="203"/>
      <c r="E522" s="31"/>
      <c r="I522" s="132"/>
      <c r="J522" s="132"/>
      <c r="K522" s="221"/>
      <c r="L522" s="132"/>
      <c r="N522" s="10"/>
      <c r="O522" s="223"/>
      <c r="P522" s="22"/>
      <c r="Q522" s="22"/>
      <c r="T522" s="132"/>
      <c r="W522" s="22"/>
      <c r="X522" s="224"/>
      <c r="Z522" s="50"/>
      <c r="AA522" s="57"/>
    </row>
    <row r="523" spans="1:27" ht="15.75" customHeight="1">
      <c r="A523" s="9"/>
      <c r="D523" s="203"/>
      <c r="E523" s="31"/>
      <c r="I523" s="132"/>
      <c r="J523" s="132"/>
      <c r="K523" s="221"/>
      <c r="L523" s="132"/>
      <c r="N523" s="10"/>
      <c r="O523" s="223"/>
      <c r="P523" s="22"/>
      <c r="Q523" s="22"/>
      <c r="T523" s="132"/>
      <c r="W523" s="22"/>
      <c r="X523" s="224"/>
      <c r="Z523" s="50"/>
      <c r="AA523" s="57"/>
    </row>
    <row r="524" spans="1:27" ht="15.75" customHeight="1">
      <c r="A524" s="9"/>
      <c r="D524" s="203"/>
      <c r="E524" s="31"/>
      <c r="I524" s="132"/>
      <c r="J524" s="132"/>
      <c r="K524" s="221"/>
      <c r="L524" s="132"/>
      <c r="N524" s="10"/>
      <c r="O524" s="223"/>
      <c r="P524" s="22"/>
      <c r="Q524" s="22"/>
      <c r="T524" s="132"/>
      <c r="W524" s="22"/>
      <c r="X524" s="224"/>
      <c r="Z524" s="50"/>
      <c r="AA524" s="57"/>
    </row>
    <row r="525" spans="1:27" ht="15.75" customHeight="1">
      <c r="A525" s="9"/>
      <c r="D525" s="203"/>
      <c r="E525" s="31"/>
      <c r="I525" s="132"/>
      <c r="J525" s="132"/>
      <c r="K525" s="221"/>
      <c r="L525" s="132"/>
      <c r="N525" s="10"/>
      <c r="O525" s="223"/>
      <c r="P525" s="22"/>
      <c r="Q525" s="22"/>
      <c r="T525" s="132"/>
      <c r="W525" s="22"/>
      <c r="X525" s="224"/>
      <c r="Z525" s="50"/>
      <c r="AA525" s="57"/>
    </row>
    <row r="526" spans="1:27" ht="15.75" customHeight="1">
      <c r="A526" s="9"/>
      <c r="D526" s="203"/>
      <c r="E526" s="31"/>
      <c r="I526" s="132"/>
      <c r="J526" s="132"/>
      <c r="K526" s="221"/>
      <c r="L526" s="132"/>
      <c r="N526" s="10"/>
      <c r="O526" s="223"/>
      <c r="P526" s="22"/>
      <c r="Q526" s="22"/>
      <c r="T526" s="132"/>
      <c r="W526" s="22"/>
      <c r="X526" s="224"/>
      <c r="Z526" s="50"/>
      <c r="AA526" s="57"/>
    </row>
    <row r="527" spans="1:27" ht="15.75" customHeight="1">
      <c r="A527" s="9"/>
      <c r="D527" s="203"/>
      <c r="E527" s="31"/>
      <c r="I527" s="132"/>
      <c r="J527" s="132"/>
      <c r="K527" s="221"/>
      <c r="L527" s="132"/>
      <c r="N527" s="10"/>
      <c r="O527" s="223"/>
      <c r="P527" s="22"/>
      <c r="Q527" s="22"/>
      <c r="T527" s="132"/>
      <c r="W527" s="22"/>
      <c r="X527" s="224"/>
      <c r="Z527" s="50"/>
      <c r="AA527" s="57"/>
    </row>
    <row r="528" spans="1:27" ht="15.75" customHeight="1">
      <c r="A528" s="9"/>
      <c r="D528" s="203"/>
      <c r="E528" s="31"/>
      <c r="I528" s="132"/>
      <c r="J528" s="132"/>
      <c r="K528" s="221"/>
      <c r="L528" s="132"/>
      <c r="N528" s="10"/>
      <c r="O528" s="223"/>
      <c r="P528" s="22"/>
      <c r="Q528" s="22"/>
      <c r="T528" s="132"/>
      <c r="W528" s="22"/>
      <c r="X528" s="224"/>
      <c r="Z528" s="50"/>
      <c r="AA528" s="57"/>
    </row>
    <row r="529" spans="1:27" ht="15.75" customHeight="1">
      <c r="A529" s="9"/>
      <c r="D529" s="203"/>
      <c r="E529" s="31"/>
      <c r="I529" s="132"/>
      <c r="J529" s="132"/>
      <c r="K529" s="221"/>
      <c r="L529" s="132"/>
      <c r="N529" s="10"/>
      <c r="O529" s="223"/>
      <c r="P529" s="22"/>
      <c r="Q529" s="22"/>
      <c r="T529" s="132"/>
      <c r="W529" s="22"/>
      <c r="X529" s="224"/>
      <c r="Z529" s="50"/>
      <c r="AA529" s="57"/>
    </row>
    <row r="530" spans="1:27" ht="15.75" customHeight="1">
      <c r="A530" s="9"/>
      <c r="D530" s="203"/>
      <c r="E530" s="31"/>
      <c r="I530" s="132"/>
      <c r="J530" s="132"/>
      <c r="K530" s="221"/>
      <c r="L530" s="132"/>
      <c r="N530" s="10"/>
      <c r="O530" s="223"/>
      <c r="P530" s="22"/>
      <c r="Q530" s="22"/>
      <c r="T530" s="132"/>
      <c r="W530" s="22"/>
      <c r="X530" s="224"/>
      <c r="Z530" s="50"/>
      <c r="AA530" s="57"/>
    </row>
    <row r="531" spans="1:27" ht="15.75" customHeight="1">
      <c r="A531" s="9"/>
      <c r="D531" s="203"/>
      <c r="E531" s="31"/>
      <c r="I531" s="132"/>
      <c r="J531" s="132"/>
      <c r="K531" s="221"/>
      <c r="L531" s="132"/>
      <c r="N531" s="10"/>
      <c r="O531" s="223"/>
      <c r="P531" s="22"/>
      <c r="Q531" s="22"/>
      <c r="T531" s="132"/>
      <c r="W531" s="22"/>
      <c r="X531" s="224"/>
      <c r="Z531" s="50"/>
      <c r="AA531" s="57"/>
    </row>
    <row r="532" spans="1:27" ht="15.75" customHeight="1">
      <c r="A532" s="9"/>
      <c r="D532" s="203"/>
      <c r="E532" s="31"/>
      <c r="I532" s="132"/>
      <c r="J532" s="132"/>
      <c r="K532" s="221"/>
      <c r="L532" s="132"/>
      <c r="N532" s="10"/>
      <c r="O532" s="223"/>
      <c r="P532" s="22"/>
      <c r="Q532" s="22"/>
      <c r="T532" s="132"/>
      <c r="W532" s="22"/>
      <c r="X532" s="224"/>
      <c r="Z532" s="50"/>
      <c r="AA532" s="57"/>
    </row>
    <row r="533" spans="1:27" ht="15.75" customHeight="1">
      <c r="A533" s="9"/>
      <c r="D533" s="203"/>
      <c r="E533" s="31"/>
      <c r="I533" s="132"/>
      <c r="J533" s="132"/>
      <c r="K533" s="221"/>
      <c r="L533" s="132"/>
      <c r="N533" s="10"/>
      <c r="O533" s="223"/>
      <c r="P533" s="22"/>
      <c r="Q533" s="22"/>
      <c r="T533" s="132"/>
      <c r="W533" s="22"/>
      <c r="X533" s="224"/>
      <c r="Z533" s="50"/>
      <c r="AA533" s="57"/>
    </row>
    <row r="534" spans="1:27" ht="15.75" customHeight="1">
      <c r="A534" s="9"/>
      <c r="D534" s="203"/>
      <c r="E534" s="31"/>
      <c r="I534" s="132"/>
      <c r="J534" s="132"/>
      <c r="K534" s="221"/>
      <c r="L534" s="132"/>
      <c r="N534" s="10"/>
      <c r="O534" s="223"/>
      <c r="P534" s="22"/>
      <c r="Q534" s="22"/>
      <c r="T534" s="132"/>
      <c r="W534" s="22"/>
      <c r="X534" s="224"/>
      <c r="Z534" s="50"/>
      <c r="AA534" s="57"/>
    </row>
    <row r="535" spans="1:27" ht="15.75" customHeight="1">
      <c r="A535" s="9"/>
      <c r="D535" s="203"/>
      <c r="E535" s="31"/>
      <c r="I535" s="132"/>
      <c r="J535" s="132"/>
      <c r="K535" s="221"/>
      <c r="L535" s="132"/>
      <c r="N535" s="10"/>
      <c r="O535" s="223"/>
      <c r="P535" s="22"/>
      <c r="Q535" s="22"/>
      <c r="T535" s="132"/>
      <c r="W535" s="22"/>
      <c r="X535" s="224"/>
      <c r="Z535" s="50"/>
      <c r="AA535" s="57"/>
    </row>
    <row r="536" spans="1:27" ht="15.75" customHeight="1">
      <c r="A536" s="9"/>
      <c r="D536" s="203"/>
      <c r="E536" s="31"/>
      <c r="I536" s="132"/>
      <c r="J536" s="132"/>
      <c r="K536" s="221"/>
      <c r="L536" s="132"/>
      <c r="N536" s="10"/>
      <c r="O536" s="223"/>
      <c r="P536" s="22"/>
      <c r="Q536" s="22"/>
      <c r="T536" s="132"/>
      <c r="W536" s="22"/>
      <c r="X536" s="224"/>
      <c r="Z536" s="50"/>
      <c r="AA536" s="57"/>
    </row>
    <row r="537" spans="1:27" ht="15.75" customHeight="1">
      <c r="A537" s="9"/>
      <c r="D537" s="203"/>
      <c r="E537" s="31"/>
      <c r="I537" s="132"/>
      <c r="J537" s="132"/>
      <c r="K537" s="221"/>
      <c r="L537" s="132"/>
      <c r="N537" s="10"/>
      <c r="O537" s="223"/>
      <c r="P537" s="22"/>
      <c r="Q537" s="22"/>
      <c r="T537" s="132"/>
      <c r="W537" s="22"/>
      <c r="X537" s="224"/>
      <c r="Z537" s="50"/>
      <c r="AA537" s="57"/>
    </row>
    <row r="538" spans="1:27" ht="15.75" customHeight="1">
      <c r="A538" s="9"/>
      <c r="D538" s="203"/>
      <c r="E538" s="31"/>
      <c r="I538" s="132"/>
      <c r="J538" s="132"/>
      <c r="K538" s="221"/>
      <c r="L538" s="132"/>
      <c r="N538" s="10"/>
      <c r="O538" s="223"/>
      <c r="P538" s="22"/>
      <c r="Q538" s="22"/>
      <c r="T538" s="132"/>
      <c r="W538" s="22"/>
      <c r="X538" s="224"/>
      <c r="Z538" s="50"/>
      <c r="AA538" s="57"/>
    </row>
    <row r="539" spans="1:27" ht="15.75" customHeight="1">
      <c r="A539" s="9"/>
      <c r="D539" s="203"/>
      <c r="E539" s="31"/>
      <c r="I539" s="132"/>
      <c r="J539" s="132"/>
      <c r="K539" s="221"/>
      <c r="L539" s="132"/>
      <c r="N539" s="10"/>
      <c r="O539" s="223"/>
      <c r="P539" s="22"/>
      <c r="Q539" s="22"/>
      <c r="T539" s="132"/>
      <c r="W539" s="22"/>
      <c r="X539" s="224"/>
      <c r="Z539" s="50"/>
      <c r="AA539" s="57"/>
    </row>
    <row r="540" spans="1:27" ht="15.75" customHeight="1">
      <c r="A540" s="9"/>
      <c r="D540" s="203"/>
      <c r="E540" s="31"/>
      <c r="I540" s="132"/>
      <c r="J540" s="132"/>
      <c r="K540" s="221"/>
      <c r="L540" s="132"/>
      <c r="N540" s="10"/>
      <c r="O540" s="223"/>
      <c r="P540" s="22"/>
      <c r="Q540" s="22"/>
      <c r="T540" s="132"/>
      <c r="W540" s="22"/>
      <c r="X540" s="224"/>
      <c r="Z540" s="50"/>
      <c r="AA540" s="57"/>
    </row>
    <row r="541" spans="1:27" ht="15.75" customHeight="1">
      <c r="A541" s="9"/>
      <c r="D541" s="203"/>
      <c r="E541" s="31"/>
      <c r="I541" s="132"/>
      <c r="J541" s="132"/>
      <c r="K541" s="221"/>
      <c r="L541" s="132"/>
      <c r="N541" s="10"/>
      <c r="O541" s="223"/>
      <c r="P541" s="22"/>
      <c r="Q541" s="22"/>
      <c r="T541" s="132"/>
      <c r="W541" s="22"/>
      <c r="X541" s="224"/>
      <c r="Z541" s="50"/>
      <c r="AA541" s="57"/>
    </row>
    <row r="542" spans="1:27" ht="15.75" customHeight="1">
      <c r="A542" s="9"/>
      <c r="D542" s="203"/>
      <c r="E542" s="31"/>
      <c r="I542" s="132"/>
      <c r="J542" s="132"/>
      <c r="K542" s="221"/>
      <c r="L542" s="132"/>
      <c r="N542" s="10"/>
      <c r="O542" s="223"/>
      <c r="P542" s="22"/>
      <c r="Q542" s="22"/>
      <c r="T542" s="132"/>
      <c r="W542" s="22"/>
      <c r="X542" s="224"/>
      <c r="Z542" s="50"/>
      <c r="AA542" s="57"/>
    </row>
    <row r="543" spans="1:27" ht="15.75" customHeight="1">
      <c r="A543" s="9"/>
      <c r="D543" s="203"/>
      <c r="E543" s="31"/>
      <c r="I543" s="132"/>
      <c r="J543" s="132"/>
      <c r="K543" s="221"/>
      <c r="L543" s="132"/>
      <c r="N543" s="10"/>
      <c r="O543" s="223"/>
      <c r="P543" s="22"/>
      <c r="Q543" s="22"/>
      <c r="T543" s="132"/>
      <c r="W543" s="22"/>
      <c r="X543" s="224"/>
      <c r="Z543" s="50"/>
      <c r="AA543" s="57"/>
    </row>
    <row r="544" spans="1:27" ht="15.75" customHeight="1">
      <c r="A544" s="9"/>
      <c r="D544" s="203"/>
      <c r="E544" s="31"/>
      <c r="I544" s="132"/>
      <c r="J544" s="132"/>
      <c r="K544" s="221"/>
      <c r="L544" s="132"/>
      <c r="N544" s="10"/>
      <c r="O544" s="223"/>
      <c r="P544" s="22"/>
      <c r="Q544" s="22"/>
      <c r="T544" s="132"/>
      <c r="W544" s="22"/>
      <c r="X544" s="224"/>
      <c r="Z544" s="50"/>
      <c r="AA544" s="57"/>
    </row>
    <row r="545" spans="1:27" ht="15.75" customHeight="1">
      <c r="A545" s="9"/>
      <c r="D545" s="203"/>
      <c r="E545" s="31"/>
      <c r="I545" s="132"/>
      <c r="J545" s="132"/>
      <c r="K545" s="221"/>
      <c r="L545" s="132"/>
      <c r="N545" s="10"/>
      <c r="O545" s="223"/>
      <c r="P545" s="22"/>
      <c r="Q545" s="22"/>
      <c r="T545" s="132"/>
      <c r="W545" s="22"/>
      <c r="X545" s="224"/>
      <c r="Z545" s="50"/>
      <c r="AA545" s="57"/>
    </row>
    <row r="546" spans="1:27" ht="15.75" customHeight="1">
      <c r="A546" s="9"/>
      <c r="D546" s="203"/>
      <c r="E546" s="31"/>
      <c r="I546" s="132"/>
      <c r="J546" s="132"/>
      <c r="K546" s="221"/>
      <c r="L546" s="132"/>
      <c r="N546" s="10"/>
      <c r="O546" s="223"/>
      <c r="P546" s="22"/>
      <c r="Q546" s="22"/>
      <c r="T546" s="132"/>
      <c r="W546" s="22"/>
      <c r="X546" s="224"/>
      <c r="Z546" s="50"/>
      <c r="AA546" s="57"/>
    </row>
    <row r="547" spans="1:27" ht="15.75" customHeight="1">
      <c r="A547" s="9"/>
      <c r="D547" s="203"/>
      <c r="E547" s="31"/>
      <c r="I547" s="132"/>
      <c r="J547" s="132"/>
      <c r="K547" s="221"/>
      <c r="L547" s="132"/>
      <c r="N547" s="10"/>
      <c r="O547" s="223"/>
      <c r="P547" s="22"/>
      <c r="Q547" s="22"/>
      <c r="T547" s="132"/>
      <c r="W547" s="22"/>
      <c r="X547" s="224"/>
      <c r="Z547" s="50"/>
      <c r="AA547" s="57"/>
    </row>
    <row r="548" spans="1:27" ht="15.75" customHeight="1">
      <c r="A548" s="9"/>
      <c r="D548" s="203"/>
      <c r="E548" s="31"/>
      <c r="I548" s="132"/>
      <c r="J548" s="132"/>
      <c r="K548" s="221"/>
      <c r="L548" s="132"/>
      <c r="N548" s="10"/>
      <c r="O548" s="223"/>
      <c r="P548" s="22"/>
      <c r="Q548" s="22"/>
      <c r="T548" s="132"/>
      <c r="W548" s="22"/>
      <c r="X548" s="224"/>
      <c r="Z548" s="50"/>
      <c r="AA548" s="57"/>
    </row>
    <row r="549" spans="1:27" ht="15.75" customHeight="1">
      <c r="A549" s="9"/>
      <c r="D549" s="203"/>
      <c r="E549" s="31"/>
      <c r="I549" s="132"/>
      <c r="J549" s="132"/>
      <c r="K549" s="221"/>
      <c r="L549" s="132"/>
      <c r="N549" s="10"/>
      <c r="O549" s="223"/>
      <c r="P549" s="22"/>
      <c r="Q549" s="22"/>
      <c r="T549" s="132"/>
      <c r="W549" s="22"/>
      <c r="X549" s="224"/>
      <c r="Z549" s="50"/>
      <c r="AA549" s="57"/>
    </row>
    <row r="550" spans="1:27" ht="15.75" customHeight="1">
      <c r="A550" s="9"/>
      <c r="D550" s="203"/>
      <c r="E550" s="31"/>
      <c r="I550" s="132"/>
      <c r="J550" s="132"/>
      <c r="K550" s="221"/>
      <c r="L550" s="132"/>
      <c r="N550" s="10"/>
      <c r="O550" s="223"/>
      <c r="P550" s="22"/>
      <c r="Q550" s="22"/>
      <c r="T550" s="132"/>
      <c r="W550" s="22"/>
      <c r="X550" s="224"/>
      <c r="Z550" s="50"/>
      <c r="AA550" s="57"/>
    </row>
    <row r="551" spans="1:27" ht="15.75" customHeight="1">
      <c r="A551" s="9"/>
      <c r="D551" s="203"/>
      <c r="E551" s="31"/>
      <c r="I551" s="132"/>
      <c r="J551" s="132"/>
      <c r="K551" s="221"/>
      <c r="L551" s="132"/>
      <c r="N551" s="10"/>
      <c r="O551" s="223"/>
      <c r="P551" s="22"/>
      <c r="Q551" s="22"/>
      <c r="T551" s="132"/>
      <c r="W551" s="22"/>
      <c r="X551" s="224"/>
      <c r="Z551" s="50"/>
      <c r="AA551" s="57"/>
    </row>
    <row r="552" spans="1:27" ht="15.75" customHeight="1">
      <c r="A552" s="9"/>
      <c r="D552" s="203"/>
      <c r="E552" s="31"/>
      <c r="I552" s="132"/>
      <c r="J552" s="132"/>
      <c r="K552" s="221"/>
      <c r="L552" s="132"/>
      <c r="N552" s="10"/>
      <c r="O552" s="223"/>
      <c r="P552" s="22"/>
      <c r="Q552" s="22"/>
      <c r="T552" s="132"/>
      <c r="W552" s="22"/>
      <c r="X552" s="224"/>
      <c r="Z552" s="50"/>
      <c r="AA552" s="57"/>
    </row>
    <row r="553" spans="1:27" ht="15.75" customHeight="1">
      <c r="A553" s="9"/>
      <c r="D553" s="203"/>
      <c r="E553" s="31"/>
      <c r="I553" s="132"/>
      <c r="J553" s="132"/>
      <c r="K553" s="221"/>
      <c r="L553" s="132"/>
      <c r="N553" s="10"/>
      <c r="O553" s="223"/>
      <c r="P553" s="22"/>
      <c r="Q553" s="22"/>
      <c r="T553" s="132"/>
      <c r="W553" s="22"/>
      <c r="X553" s="224"/>
      <c r="Z553" s="50"/>
      <c r="AA553" s="57"/>
    </row>
    <row r="554" spans="1:27" ht="15.75" customHeight="1">
      <c r="A554" s="9"/>
      <c r="D554" s="203"/>
      <c r="E554" s="31"/>
      <c r="I554" s="132"/>
      <c r="J554" s="132"/>
      <c r="K554" s="221"/>
      <c r="L554" s="132"/>
      <c r="N554" s="10"/>
      <c r="O554" s="223"/>
      <c r="P554" s="22"/>
      <c r="Q554" s="22"/>
      <c r="T554" s="132"/>
      <c r="W554" s="22"/>
      <c r="X554" s="224"/>
      <c r="Z554" s="50"/>
      <c r="AA554" s="57"/>
    </row>
    <row r="555" spans="1:27" ht="15.75" customHeight="1">
      <c r="A555" s="9"/>
      <c r="D555" s="203"/>
      <c r="E555" s="31"/>
      <c r="I555" s="132"/>
      <c r="J555" s="132"/>
      <c r="K555" s="221"/>
      <c r="L555" s="132"/>
      <c r="N555" s="10"/>
      <c r="O555" s="223"/>
      <c r="P555" s="22"/>
      <c r="Q555" s="22"/>
      <c r="T555" s="132"/>
      <c r="W555" s="22"/>
      <c r="X555" s="224"/>
      <c r="Z555" s="50"/>
      <c r="AA555" s="57"/>
    </row>
    <row r="556" spans="1:27" ht="15.75" customHeight="1">
      <c r="A556" s="9"/>
      <c r="D556" s="203"/>
      <c r="E556" s="31"/>
      <c r="I556" s="132"/>
      <c r="J556" s="132"/>
      <c r="K556" s="221"/>
      <c r="L556" s="132"/>
      <c r="N556" s="10"/>
      <c r="O556" s="223"/>
      <c r="P556" s="22"/>
      <c r="Q556" s="22"/>
      <c r="T556" s="132"/>
      <c r="W556" s="22"/>
      <c r="X556" s="224"/>
      <c r="Z556" s="50"/>
      <c r="AA556" s="57"/>
    </row>
    <row r="557" spans="1:27" ht="15.75" customHeight="1">
      <c r="A557" s="9"/>
      <c r="D557" s="203"/>
      <c r="E557" s="31"/>
      <c r="I557" s="132"/>
      <c r="J557" s="132"/>
      <c r="K557" s="221"/>
      <c r="L557" s="132"/>
      <c r="N557" s="10"/>
      <c r="O557" s="223"/>
      <c r="P557" s="22"/>
      <c r="Q557" s="22"/>
      <c r="T557" s="132"/>
      <c r="W557" s="22"/>
      <c r="X557" s="224"/>
      <c r="Z557" s="50"/>
      <c r="AA557" s="57"/>
    </row>
    <row r="558" spans="1:27" ht="15.75" customHeight="1">
      <c r="A558" s="9"/>
      <c r="D558" s="203"/>
      <c r="E558" s="31"/>
      <c r="I558" s="132"/>
      <c r="J558" s="132"/>
      <c r="K558" s="221"/>
      <c r="L558" s="132"/>
      <c r="N558" s="10"/>
      <c r="O558" s="223"/>
      <c r="P558" s="22"/>
      <c r="Q558" s="22"/>
      <c r="T558" s="132"/>
      <c r="W558" s="22"/>
      <c r="X558" s="224"/>
      <c r="Z558" s="50"/>
      <c r="AA558" s="57"/>
    </row>
    <row r="559" spans="1:27" ht="15.75" customHeight="1">
      <c r="A559" s="9"/>
      <c r="D559" s="203"/>
      <c r="E559" s="31"/>
      <c r="I559" s="132"/>
      <c r="J559" s="132"/>
      <c r="K559" s="221"/>
      <c r="L559" s="132"/>
      <c r="N559" s="10"/>
      <c r="O559" s="223"/>
      <c r="P559" s="22"/>
      <c r="Q559" s="22"/>
      <c r="T559" s="132"/>
      <c r="W559" s="22"/>
      <c r="X559" s="224"/>
      <c r="Z559" s="50"/>
      <c r="AA559" s="57"/>
    </row>
    <row r="560" spans="1:27" ht="15.75" customHeight="1">
      <c r="A560" s="9"/>
      <c r="D560" s="203"/>
      <c r="E560" s="31"/>
      <c r="I560" s="132"/>
      <c r="J560" s="132"/>
      <c r="K560" s="221"/>
      <c r="L560" s="132"/>
      <c r="N560" s="10"/>
      <c r="O560" s="223"/>
      <c r="P560" s="22"/>
      <c r="Q560" s="22"/>
      <c r="T560" s="132"/>
      <c r="W560" s="22"/>
      <c r="X560" s="224"/>
      <c r="Z560" s="50"/>
      <c r="AA560" s="57"/>
    </row>
    <row r="561" spans="1:27" ht="15.75" customHeight="1">
      <c r="A561" s="9"/>
      <c r="D561" s="203"/>
      <c r="E561" s="31"/>
      <c r="I561" s="132"/>
      <c r="J561" s="132"/>
      <c r="K561" s="221"/>
      <c r="L561" s="132"/>
      <c r="N561" s="10"/>
      <c r="O561" s="223"/>
      <c r="P561" s="22"/>
      <c r="Q561" s="22"/>
      <c r="T561" s="132"/>
      <c r="W561" s="22"/>
      <c r="X561" s="224"/>
      <c r="Z561" s="50"/>
      <c r="AA561" s="57"/>
    </row>
    <row r="562" spans="1:27" ht="15.75" customHeight="1">
      <c r="A562" s="9"/>
      <c r="D562" s="203"/>
      <c r="E562" s="31"/>
      <c r="I562" s="132"/>
      <c r="J562" s="132"/>
      <c r="K562" s="221"/>
      <c r="L562" s="132"/>
      <c r="N562" s="10"/>
      <c r="O562" s="223"/>
      <c r="P562" s="22"/>
      <c r="Q562" s="22"/>
      <c r="T562" s="132"/>
      <c r="W562" s="22"/>
      <c r="X562" s="224"/>
      <c r="Z562" s="50"/>
      <c r="AA562" s="57"/>
    </row>
    <row r="563" spans="1:27" ht="15.75" customHeight="1">
      <c r="A563" s="9"/>
      <c r="D563" s="203"/>
      <c r="E563" s="31"/>
      <c r="I563" s="132"/>
      <c r="J563" s="132"/>
      <c r="K563" s="221"/>
      <c r="L563" s="132"/>
      <c r="N563" s="10"/>
      <c r="O563" s="223"/>
      <c r="P563" s="22"/>
      <c r="Q563" s="22"/>
      <c r="T563" s="132"/>
      <c r="W563" s="22"/>
      <c r="X563" s="224"/>
      <c r="Z563" s="50"/>
      <c r="AA563" s="57"/>
    </row>
    <row r="564" spans="1:27" ht="15.75" customHeight="1">
      <c r="A564" s="9"/>
      <c r="D564" s="203"/>
      <c r="E564" s="31"/>
      <c r="I564" s="132"/>
      <c r="J564" s="132"/>
      <c r="K564" s="221"/>
      <c r="L564" s="132"/>
      <c r="N564" s="10"/>
      <c r="O564" s="223"/>
      <c r="P564" s="22"/>
      <c r="Q564" s="22"/>
      <c r="T564" s="132"/>
      <c r="W564" s="22"/>
      <c r="X564" s="224"/>
      <c r="Z564" s="50"/>
      <c r="AA564" s="57"/>
    </row>
    <row r="565" spans="1:27" ht="15.75" customHeight="1">
      <c r="A565" s="9"/>
      <c r="D565" s="203"/>
      <c r="E565" s="31"/>
      <c r="I565" s="132"/>
      <c r="J565" s="132"/>
      <c r="K565" s="221"/>
      <c r="L565" s="132"/>
      <c r="N565" s="10"/>
      <c r="O565" s="223"/>
      <c r="P565" s="22"/>
      <c r="Q565" s="22"/>
      <c r="T565" s="132"/>
      <c r="W565" s="22"/>
      <c r="X565" s="224"/>
      <c r="Z565" s="50"/>
      <c r="AA565" s="57"/>
    </row>
    <row r="566" spans="1:27" ht="15.75" customHeight="1">
      <c r="A566" s="9"/>
      <c r="D566" s="203"/>
      <c r="E566" s="31"/>
      <c r="I566" s="132"/>
      <c r="J566" s="132"/>
      <c r="K566" s="221"/>
      <c r="L566" s="132"/>
      <c r="N566" s="10"/>
      <c r="O566" s="223"/>
      <c r="P566" s="22"/>
      <c r="Q566" s="22"/>
      <c r="T566" s="132"/>
      <c r="W566" s="22"/>
      <c r="X566" s="224"/>
      <c r="Z566" s="50"/>
      <c r="AA566" s="57"/>
    </row>
    <row r="567" spans="1:27" ht="15.75" customHeight="1">
      <c r="A567" s="9"/>
      <c r="D567" s="203"/>
      <c r="E567" s="31"/>
      <c r="I567" s="132"/>
      <c r="J567" s="132"/>
      <c r="K567" s="221"/>
      <c r="L567" s="132"/>
      <c r="N567" s="10"/>
      <c r="O567" s="223"/>
      <c r="P567" s="22"/>
      <c r="Q567" s="22"/>
      <c r="T567" s="132"/>
      <c r="W567" s="22"/>
      <c r="X567" s="224"/>
      <c r="Z567" s="50"/>
      <c r="AA567" s="57"/>
    </row>
    <row r="568" spans="1:27" ht="15.75" customHeight="1">
      <c r="A568" s="9"/>
      <c r="D568" s="203"/>
      <c r="E568" s="31"/>
      <c r="I568" s="132"/>
      <c r="J568" s="132"/>
      <c r="K568" s="221"/>
      <c r="L568" s="132"/>
      <c r="N568" s="10"/>
      <c r="O568" s="223"/>
      <c r="P568" s="22"/>
      <c r="Q568" s="22"/>
      <c r="T568" s="132"/>
      <c r="W568" s="22"/>
      <c r="X568" s="224"/>
      <c r="Z568" s="50"/>
      <c r="AA568" s="57"/>
    </row>
    <row r="569" spans="1:27" ht="15.75" customHeight="1">
      <c r="A569" s="9"/>
      <c r="D569" s="203"/>
      <c r="E569" s="31"/>
      <c r="I569" s="132"/>
      <c r="J569" s="132"/>
      <c r="K569" s="221"/>
      <c r="L569" s="132"/>
      <c r="N569" s="10"/>
      <c r="O569" s="223"/>
      <c r="P569" s="22"/>
      <c r="Q569" s="22"/>
      <c r="T569" s="132"/>
      <c r="W569" s="22"/>
      <c r="X569" s="224"/>
      <c r="Z569" s="50"/>
      <c r="AA569" s="57"/>
    </row>
    <row r="570" spans="1:27" ht="15.75" customHeight="1">
      <c r="A570" s="9"/>
      <c r="D570" s="203"/>
      <c r="E570" s="31"/>
      <c r="I570" s="132"/>
      <c r="J570" s="132"/>
      <c r="K570" s="221"/>
      <c r="L570" s="132"/>
      <c r="N570" s="10"/>
      <c r="O570" s="223"/>
      <c r="P570" s="22"/>
      <c r="Q570" s="22"/>
      <c r="T570" s="132"/>
      <c r="W570" s="22"/>
      <c r="X570" s="224"/>
      <c r="Z570" s="50"/>
      <c r="AA570" s="57"/>
    </row>
    <row r="571" spans="1:27" ht="15.75" customHeight="1">
      <c r="A571" s="9"/>
      <c r="D571" s="203"/>
      <c r="E571" s="31"/>
      <c r="I571" s="132"/>
      <c r="J571" s="132"/>
      <c r="K571" s="221"/>
      <c r="L571" s="132"/>
      <c r="N571" s="10"/>
      <c r="O571" s="223"/>
      <c r="P571" s="22"/>
      <c r="Q571" s="22"/>
      <c r="T571" s="132"/>
      <c r="W571" s="22"/>
      <c r="X571" s="224"/>
      <c r="Z571" s="50"/>
      <c r="AA571" s="57"/>
    </row>
    <row r="572" spans="1:27" ht="15.75" customHeight="1">
      <c r="A572" s="9"/>
      <c r="D572" s="203"/>
      <c r="E572" s="31"/>
      <c r="I572" s="132"/>
      <c r="J572" s="132"/>
      <c r="K572" s="221"/>
      <c r="L572" s="132"/>
      <c r="N572" s="10"/>
      <c r="O572" s="223"/>
      <c r="P572" s="22"/>
      <c r="Q572" s="22"/>
      <c r="T572" s="132"/>
      <c r="W572" s="22"/>
      <c r="X572" s="224"/>
      <c r="Z572" s="50"/>
      <c r="AA572" s="57"/>
    </row>
    <row r="573" spans="1:27" ht="15.75" customHeight="1">
      <c r="A573" s="9"/>
      <c r="D573" s="203"/>
      <c r="E573" s="31"/>
      <c r="I573" s="132"/>
      <c r="J573" s="132"/>
      <c r="K573" s="221"/>
      <c r="L573" s="132"/>
      <c r="N573" s="10"/>
      <c r="O573" s="223"/>
      <c r="P573" s="22"/>
      <c r="Q573" s="22"/>
      <c r="T573" s="132"/>
      <c r="W573" s="22"/>
      <c r="X573" s="224"/>
      <c r="Z573" s="50"/>
      <c r="AA573" s="57"/>
    </row>
    <row r="574" spans="1:27" ht="15.75" customHeight="1">
      <c r="A574" s="9"/>
      <c r="D574" s="203"/>
      <c r="E574" s="31"/>
      <c r="I574" s="132"/>
      <c r="J574" s="132"/>
      <c r="K574" s="221"/>
      <c r="L574" s="132"/>
      <c r="N574" s="10"/>
      <c r="O574" s="223"/>
      <c r="P574" s="22"/>
      <c r="Q574" s="22"/>
      <c r="T574" s="132"/>
      <c r="W574" s="22"/>
      <c r="X574" s="224"/>
      <c r="Z574" s="50"/>
      <c r="AA574" s="57"/>
    </row>
    <row r="575" spans="1:27" ht="15.75" customHeight="1">
      <c r="A575" s="9"/>
      <c r="D575" s="203"/>
      <c r="E575" s="31"/>
      <c r="I575" s="132"/>
      <c r="J575" s="132"/>
      <c r="K575" s="221"/>
      <c r="L575" s="132"/>
      <c r="N575" s="10"/>
      <c r="O575" s="223"/>
      <c r="P575" s="22"/>
      <c r="Q575" s="22"/>
      <c r="T575" s="132"/>
      <c r="W575" s="22"/>
      <c r="X575" s="224"/>
      <c r="Z575" s="50"/>
      <c r="AA575" s="57"/>
    </row>
    <row r="576" spans="1:27" ht="15.75" customHeight="1">
      <c r="A576" s="9"/>
      <c r="D576" s="203"/>
      <c r="E576" s="31"/>
      <c r="I576" s="132"/>
      <c r="J576" s="132"/>
      <c r="K576" s="221"/>
      <c r="L576" s="132"/>
      <c r="N576" s="10"/>
      <c r="O576" s="223"/>
      <c r="P576" s="22"/>
      <c r="Q576" s="22"/>
      <c r="T576" s="132"/>
      <c r="W576" s="22"/>
      <c r="X576" s="224"/>
      <c r="Z576" s="50"/>
      <c r="AA576" s="57"/>
    </row>
    <row r="577" spans="1:27" ht="15.75" customHeight="1">
      <c r="A577" s="9"/>
      <c r="D577" s="203"/>
      <c r="E577" s="31"/>
      <c r="I577" s="132"/>
      <c r="J577" s="132"/>
      <c r="K577" s="221"/>
      <c r="L577" s="132"/>
      <c r="N577" s="10"/>
      <c r="O577" s="223"/>
      <c r="P577" s="22"/>
      <c r="Q577" s="22"/>
      <c r="T577" s="132"/>
      <c r="W577" s="22"/>
      <c r="X577" s="224"/>
      <c r="Z577" s="50"/>
      <c r="AA577" s="57"/>
    </row>
    <row r="578" spans="1:27" ht="15.75" customHeight="1">
      <c r="A578" s="9"/>
      <c r="D578" s="203"/>
      <c r="E578" s="31"/>
      <c r="I578" s="132"/>
      <c r="J578" s="132"/>
      <c r="K578" s="221"/>
      <c r="L578" s="132"/>
      <c r="N578" s="10"/>
      <c r="O578" s="223"/>
      <c r="P578" s="22"/>
      <c r="Q578" s="22"/>
      <c r="T578" s="132"/>
      <c r="W578" s="22"/>
      <c r="X578" s="224"/>
      <c r="Z578" s="50"/>
      <c r="AA578" s="57"/>
    </row>
    <row r="579" spans="1:27" ht="15.75" customHeight="1">
      <c r="A579" s="9"/>
      <c r="D579" s="203"/>
      <c r="E579" s="31"/>
      <c r="I579" s="132"/>
      <c r="J579" s="132"/>
      <c r="K579" s="221"/>
      <c r="L579" s="132"/>
      <c r="N579" s="10"/>
      <c r="O579" s="223"/>
      <c r="P579" s="22"/>
      <c r="Q579" s="22"/>
      <c r="T579" s="132"/>
      <c r="W579" s="22"/>
      <c r="X579" s="224"/>
      <c r="Z579" s="50"/>
      <c r="AA579" s="57"/>
    </row>
    <row r="580" spans="1:27" ht="15.75" customHeight="1">
      <c r="A580" s="9"/>
      <c r="D580" s="203"/>
      <c r="E580" s="31"/>
      <c r="I580" s="132"/>
      <c r="J580" s="132"/>
      <c r="K580" s="221"/>
      <c r="L580" s="132"/>
      <c r="N580" s="10"/>
      <c r="O580" s="223"/>
      <c r="P580" s="22"/>
      <c r="Q580" s="22"/>
      <c r="T580" s="132"/>
      <c r="W580" s="22"/>
      <c r="X580" s="224"/>
      <c r="Z580" s="50"/>
      <c r="AA580" s="57"/>
    </row>
    <row r="581" spans="1:27" ht="15.75" customHeight="1">
      <c r="A581" s="9"/>
      <c r="D581" s="203"/>
      <c r="E581" s="31"/>
      <c r="I581" s="132"/>
      <c r="J581" s="132"/>
      <c r="K581" s="221"/>
      <c r="L581" s="132"/>
      <c r="N581" s="10"/>
      <c r="O581" s="223"/>
      <c r="P581" s="22"/>
      <c r="Q581" s="22"/>
      <c r="T581" s="132"/>
      <c r="W581" s="22"/>
      <c r="X581" s="224"/>
      <c r="Z581" s="50"/>
      <c r="AA581" s="57"/>
    </row>
    <row r="582" spans="1:27" ht="15.75" customHeight="1">
      <c r="A582" s="9"/>
      <c r="D582" s="203"/>
      <c r="E582" s="31"/>
      <c r="I582" s="132"/>
      <c r="J582" s="132"/>
      <c r="K582" s="221"/>
      <c r="L582" s="132"/>
      <c r="N582" s="10"/>
      <c r="O582" s="223"/>
      <c r="P582" s="22"/>
      <c r="Q582" s="22"/>
      <c r="T582" s="132"/>
      <c r="W582" s="22"/>
      <c r="X582" s="224"/>
      <c r="Z582" s="50"/>
      <c r="AA582" s="57"/>
    </row>
    <row r="583" spans="1:27" ht="15.75" customHeight="1">
      <c r="A583" s="9"/>
      <c r="D583" s="203"/>
      <c r="E583" s="31"/>
      <c r="I583" s="132"/>
      <c r="J583" s="132"/>
      <c r="K583" s="221"/>
      <c r="L583" s="132"/>
      <c r="N583" s="10"/>
      <c r="O583" s="223"/>
      <c r="P583" s="22"/>
      <c r="Q583" s="22"/>
      <c r="T583" s="132"/>
      <c r="W583" s="22"/>
      <c r="X583" s="224"/>
      <c r="Z583" s="50"/>
      <c r="AA583" s="57"/>
    </row>
    <row r="584" spans="1:27" ht="15.75" customHeight="1">
      <c r="A584" s="9"/>
      <c r="D584" s="203"/>
      <c r="E584" s="31"/>
      <c r="I584" s="132"/>
      <c r="J584" s="132"/>
      <c r="K584" s="221"/>
      <c r="L584" s="132"/>
      <c r="N584" s="10"/>
      <c r="O584" s="223"/>
      <c r="P584" s="22"/>
      <c r="Q584" s="22"/>
      <c r="T584" s="132"/>
      <c r="W584" s="22"/>
      <c r="X584" s="224"/>
      <c r="Z584" s="50"/>
      <c r="AA584" s="57"/>
    </row>
    <row r="585" spans="1:27" ht="15.75" customHeight="1">
      <c r="A585" s="9"/>
      <c r="D585" s="203"/>
      <c r="E585" s="31"/>
      <c r="I585" s="132"/>
      <c r="J585" s="132"/>
      <c r="K585" s="221"/>
      <c r="L585" s="132"/>
      <c r="N585" s="10"/>
      <c r="O585" s="223"/>
      <c r="P585" s="22"/>
      <c r="Q585" s="22"/>
      <c r="T585" s="132"/>
      <c r="W585" s="22"/>
      <c r="X585" s="224"/>
      <c r="Z585" s="50"/>
      <c r="AA585" s="57"/>
    </row>
    <row r="586" spans="1:27" ht="15.75" customHeight="1">
      <c r="A586" s="9"/>
      <c r="D586" s="203"/>
      <c r="E586" s="31"/>
      <c r="I586" s="132"/>
      <c r="J586" s="132"/>
      <c r="K586" s="221"/>
      <c r="L586" s="132"/>
      <c r="N586" s="10"/>
      <c r="O586" s="223"/>
      <c r="P586" s="22"/>
      <c r="Q586" s="22"/>
      <c r="T586" s="132"/>
      <c r="W586" s="22"/>
      <c r="X586" s="224"/>
      <c r="Z586" s="50"/>
      <c r="AA586" s="57"/>
    </row>
    <row r="587" spans="1:27" ht="15.75" customHeight="1">
      <c r="A587" s="9"/>
      <c r="D587" s="203"/>
      <c r="E587" s="31"/>
      <c r="I587" s="132"/>
      <c r="J587" s="132"/>
      <c r="K587" s="221"/>
      <c r="L587" s="132"/>
      <c r="N587" s="10"/>
      <c r="O587" s="223"/>
      <c r="P587" s="22"/>
      <c r="Q587" s="22"/>
      <c r="T587" s="132"/>
      <c r="W587" s="22"/>
      <c r="X587" s="224"/>
      <c r="Z587" s="50"/>
      <c r="AA587" s="57"/>
    </row>
    <row r="588" spans="1:27" ht="15.75" customHeight="1">
      <c r="A588" s="9"/>
      <c r="D588" s="203"/>
      <c r="E588" s="31"/>
      <c r="I588" s="132"/>
      <c r="J588" s="132"/>
      <c r="K588" s="221"/>
      <c r="L588" s="132"/>
      <c r="N588" s="10"/>
      <c r="O588" s="223"/>
      <c r="P588" s="22"/>
      <c r="Q588" s="22"/>
      <c r="T588" s="132"/>
      <c r="W588" s="22"/>
      <c r="X588" s="224"/>
      <c r="Z588" s="50"/>
      <c r="AA588" s="57"/>
    </row>
    <row r="589" spans="1:27" ht="15.75" customHeight="1">
      <c r="A589" s="9"/>
      <c r="D589" s="203"/>
      <c r="E589" s="31"/>
      <c r="I589" s="132"/>
      <c r="J589" s="132"/>
      <c r="K589" s="221"/>
      <c r="L589" s="132"/>
      <c r="N589" s="10"/>
      <c r="O589" s="223"/>
      <c r="P589" s="22"/>
      <c r="Q589" s="22"/>
      <c r="T589" s="132"/>
      <c r="W589" s="22"/>
      <c r="X589" s="224"/>
      <c r="Z589" s="50"/>
      <c r="AA589" s="57"/>
    </row>
    <row r="590" spans="1:27" ht="15.75" customHeight="1">
      <c r="A590" s="9"/>
      <c r="D590" s="203"/>
      <c r="E590" s="31"/>
      <c r="I590" s="132"/>
      <c r="J590" s="132"/>
      <c r="K590" s="221"/>
      <c r="L590" s="132"/>
      <c r="N590" s="10"/>
      <c r="O590" s="223"/>
      <c r="P590" s="22"/>
      <c r="Q590" s="22"/>
      <c r="T590" s="132"/>
      <c r="W590" s="22"/>
      <c r="X590" s="224"/>
      <c r="Z590" s="50"/>
      <c r="AA590" s="57"/>
    </row>
    <row r="591" spans="1:27" ht="15.75" customHeight="1">
      <c r="A591" s="9"/>
      <c r="D591" s="203"/>
      <c r="E591" s="31"/>
      <c r="I591" s="132"/>
      <c r="J591" s="132"/>
      <c r="K591" s="221"/>
      <c r="L591" s="132"/>
      <c r="N591" s="10"/>
      <c r="O591" s="223"/>
      <c r="P591" s="22"/>
      <c r="Q591" s="22"/>
      <c r="T591" s="132"/>
      <c r="W591" s="22"/>
      <c r="X591" s="224"/>
      <c r="Z591" s="50"/>
      <c r="AA591" s="57"/>
    </row>
    <row r="592" spans="1:27" ht="15.75" customHeight="1">
      <c r="A592" s="9"/>
      <c r="D592" s="203"/>
      <c r="E592" s="31"/>
      <c r="I592" s="132"/>
      <c r="J592" s="132"/>
      <c r="K592" s="221"/>
      <c r="L592" s="132"/>
      <c r="N592" s="10"/>
      <c r="O592" s="223"/>
      <c r="P592" s="22"/>
      <c r="Q592" s="22"/>
      <c r="T592" s="132"/>
      <c r="W592" s="22"/>
      <c r="X592" s="224"/>
      <c r="Z592" s="50"/>
      <c r="AA592" s="57"/>
    </row>
    <row r="593" spans="1:27" ht="15.75" customHeight="1">
      <c r="A593" s="9"/>
      <c r="D593" s="203"/>
      <c r="E593" s="31"/>
      <c r="I593" s="132"/>
      <c r="J593" s="132"/>
      <c r="K593" s="221"/>
      <c r="L593" s="132"/>
      <c r="N593" s="10"/>
      <c r="O593" s="223"/>
      <c r="P593" s="22"/>
      <c r="Q593" s="22"/>
      <c r="T593" s="132"/>
      <c r="W593" s="22"/>
      <c r="X593" s="224"/>
      <c r="Z593" s="50"/>
      <c r="AA593" s="57"/>
    </row>
    <row r="594" spans="1:27" ht="15.75" customHeight="1">
      <c r="A594" s="9"/>
      <c r="D594" s="203"/>
      <c r="E594" s="31"/>
      <c r="I594" s="132"/>
      <c r="J594" s="132"/>
      <c r="K594" s="221"/>
      <c r="L594" s="132"/>
      <c r="N594" s="10"/>
      <c r="O594" s="223"/>
      <c r="P594" s="22"/>
      <c r="Q594" s="22"/>
      <c r="T594" s="132"/>
      <c r="W594" s="22"/>
      <c r="X594" s="224"/>
      <c r="Z594" s="50"/>
      <c r="AA594" s="57"/>
    </row>
    <row r="595" spans="1:27" ht="15.75" customHeight="1">
      <c r="A595" s="9"/>
      <c r="D595" s="203"/>
      <c r="E595" s="31"/>
      <c r="I595" s="132"/>
      <c r="J595" s="132"/>
      <c r="K595" s="221"/>
      <c r="L595" s="132"/>
      <c r="N595" s="10"/>
      <c r="O595" s="223"/>
      <c r="P595" s="22"/>
      <c r="Q595" s="22"/>
      <c r="T595" s="132"/>
      <c r="W595" s="22"/>
      <c r="X595" s="224"/>
      <c r="Z595" s="50"/>
      <c r="AA595" s="57"/>
    </row>
    <row r="596" spans="1:27" ht="15.75" customHeight="1">
      <c r="A596" s="9"/>
      <c r="D596" s="203"/>
      <c r="E596" s="31"/>
      <c r="I596" s="132"/>
      <c r="J596" s="132"/>
      <c r="K596" s="221"/>
      <c r="L596" s="132"/>
      <c r="N596" s="10"/>
      <c r="O596" s="223"/>
      <c r="P596" s="22"/>
      <c r="Q596" s="22"/>
      <c r="T596" s="132"/>
      <c r="W596" s="22"/>
      <c r="X596" s="224"/>
      <c r="Z596" s="50"/>
      <c r="AA596" s="57"/>
    </row>
    <row r="597" spans="1:27" ht="15.75" customHeight="1">
      <c r="A597" s="9"/>
      <c r="D597" s="203"/>
      <c r="E597" s="31"/>
      <c r="I597" s="132"/>
      <c r="J597" s="132"/>
      <c r="K597" s="221"/>
      <c r="L597" s="132"/>
      <c r="N597" s="10"/>
      <c r="O597" s="223"/>
      <c r="P597" s="22"/>
      <c r="Q597" s="22"/>
      <c r="T597" s="132"/>
      <c r="W597" s="22"/>
      <c r="X597" s="224"/>
      <c r="Z597" s="50"/>
      <c r="AA597" s="57"/>
    </row>
    <row r="598" spans="1:27" ht="15.75" customHeight="1">
      <c r="A598" s="9"/>
      <c r="D598" s="203"/>
      <c r="E598" s="31"/>
      <c r="I598" s="132"/>
      <c r="J598" s="132"/>
      <c r="K598" s="221"/>
      <c r="L598" s="132"/>
      <c r="N598" s="10"/>
      <c r="O598" s="223"/>
      <c r="P598" s="22"/>
      <c r="Q598" s="22"/>
      <c r="T598" s="132"/>
      <c r="W598" s="22"/>
      <c r="X598" s="224"/>
      <c r="Z598" s="50"/>
      <c r="AA598" s="57"/>
    </row>
    <row r="599" spans="1:27" ht="15.75" customHeight="1">
      <c r="A599" s="9"/>
      <c r="D599" s="203"/>
      <c r="E599" s="31"/>
      <c r="I599" s="132"/>
      <c r="J599" s="132"/>
      <c r="K599" s="221"/>
      <c r="L599" s="132"/>
      <c r="N599" s="10"/>
      <c r="O599" s="223"/>
      <c r="P599" s="22"/>
      <c r="Q599" s="22"/>
      <c r="T599" s="132"/>
      <c r="W599" s="22"/>
      <c r="X599" s="224"/>
      <c r="Z599" s="50"/>
      <c r="AA599" s="57"/>
    </row>
    <row r="600" spans="1:27" ht="15.75" customHeight="1">
      <c r="A600" s="9"/>
      <c r="D600" s="203"/>
      <c r="E600" s="31"/>
      <c r="I600" s="132"/>
      <c r="J600" s="132"/>
      <c r="K600" s="221"/>
      <c r="L600" s="132"/>
      <c r="N600" s="10"/>
      <c r="O600" s="223"/>
      <c r="P600" s="22"/>
      <c r="Q600" s="22"/>
      <c r="T600" s="132"/>
      <c r="W600" s="22"/>
      <c r="X600" s="224"/>
      <c r="Z600" s="50"/>
      <c r="AA600" s="57"/>
    </row>
    <row r="601" spans="1:27" ht="15.75" customHeight="1">
      <c r="A601" s="9"/>
      <c r="D601" s="203"/>
      <c r="E601" s="31"/>
      <c r="I601" s="132"/>
      <c r="J601" s="132"/>
      <c r="K601" s="221"/>
      <c r="L601" s="132"/>
      <c r="N601" s="10"/>
      <c r="O601" s="223"/>
      <c r="P601" s="22"/>
      <c r="Q601" s="22"/>
      <c r="T601" s="132"/>
      <c r="W601" s="22"/>
      <c r="X601" s="224"/>
      <c r="Z601" s="50"/>
      <c r="AA601" s="57"/>
    </row>
    <row r="602" spans="1:27" ht="15.75" customHeight="1">
      <c r="A602" s="9"/>
      <c r="D602" s="203"/>
      <c r="E602" s="31"/>
      <c r="I602" s="132"/>
      <c r="J602" s="132"/>
      <c r="K602" s="221"/>
      <c r="L602" s="132"/>
      <c r="N602" s="10"/>
      <c r="O602" s="223"/>
      <c r="P602" s="22"/>
      <c r="Q602" s="22"/>
      <c r="T602" s="132"/>
      <c r="W602" s="22"/>
      <c r="X602" s="224"/>
      <c r="Z602" s="50"/>
      <c r="AA602" s="57"/>
    </row>
    <row r="603" spans="1:27" ht="15.75" customHeight="1">
      <c r="A603" s="9"/>
      <c r="D603" s="203"/>
      <c r="E603" s="31"/>
      <c r="I603" s="132"/>
      <c r="J603" s="132"/>
      <c r="K603" s="221"/>
      <c r="L603" s="132"/>
      <c r="N603" s="10"/>
      <c r="O603" s="223"/>
      <c r="P603" s="22"/>
      <c r="Q603" s="22"/>
      <c r="T603" s="132"/>
      <c r="W603" s="22"/>
      <c r="X603" s="224"/>
      <c r="Z603" s="50"/>
      <c r="AA603" s="57"/>
    </row>
    <row r="604" spans="1:27" ht="15.75" customHeight="1">
      <c r="A604" s="9"/>
      <c r="D604" s="203"/>
      <c r="E604" s="31"/>
      <c r="I604" s="132"/>
      <c r="J604" s="132"/>
      <c r="K604" s="221"/>
      <c r="L604" s="132"/>
      <c r="N604" s="10"/>
      <c r="O604" s="223"/>
      <c r="P604" s="22"/>
      <c r="Q604" s="22"/>
      <c r="T604" s="132"/>
      <c r="W604" s="22"/>
      <c r="X604" s="224"/>
      <c r="Z604" s="50"/>
      <c r="AA604" s="57"/>
    </row>
    <row r="605" spans="1:27" ht="15.75" customHeight="1">
      <c r="A605" s="9"/>
      <c r="D605" s="203"/>
      <c r="E605" s="31"/>
      <c r="I605" s="132"/>
      <c r="J605" s="132"/>
      <c r="K605" s="221"/>
      <c r="L605" s="132"/>
      <c r="N605" s="10"/>
      <c r="O605" s="223"/>
      <c r="P605" s="22"/>
      <c r="Q605" s="22"/>
      <c r="T605" s="132"/>
      <c r="W605" s="22"/>
      <c r="X605" s="224"/>
      <c r="Z605" s="50"/>
      <c r="AA605" s="57"/>
    </row>
    <row r="606" spans="1:27" ht="15.75" customHeight="1">
      <c r="A606" s="9"/>
      <c r="D606" s="203"/>
      <c r="E606" s="31"/>
      <c r="I606" s="132"/>
      <c r="J606" s="132"/>
      <c r="K606" s="221"/>
      <c r="L606" s="132"/>
      <c r="N606" s="10"/>
      <c r="O606" s="223"/>
      <c r="P606" s="22"/>
      <c r="Q606" s="22"/>
      <c r="T606" s="132"/>
      <c r="W606" s="22"/>
      <c r="X606" s="224"/>
      <c r="Z606" s="50"/>
      <c r="AA606" s="57"/>
    </row>
    <row r="607" spans="1:27" ht="15.75" customHeight="1">
      <c r="A607" s="9"/>
      <c r="D607" s="203"/>
      <c r="E607" s="31"/>
      <c r="I607" s="132"/>
      <c r="J607" s="132"/>
      <c r="K607" s="221"/>
      <c r="L607" s="132"/>
      <c r="N607" s="10"/>
      <c r="O607" s="223"/>
      <c r="P607" s="22"/>
      <c r="Q607" s="22"/>
      <c r="T607" s="132"/>
      <c r="W607" s="22"/>
      <c r="X607" s="224"/>
      <c r="Z607" s="50"/>
      <c r="AA607" s="57"/>
    </row>
    <row r="608" spans="1:27" ht="15.75" customHeight="1">
      <c r="A608" s="9"/>
      <c r="D608" s="203"/>
      <c r="E608" s="31"/>
      <c r="I608" s="132"/>
      <c r="J608" s="132"/>
      <c r="K608" s="221"/>
      <c r="L608" s="132"/>
      <c r="N608" s="10"/>
      <c r="O608" s="223"/>
      <c r="P608" s="22"/>
      <c r="Q608" s="22"/>
      <c r="T608" s="132"/>
      <c r="W608" s="22"/>
      <c r="X608" s="224"/>
      <c r="Z608" s="50"/>
      <c r="AA608" s="57"/>
    </row>
    <row r="609" spans="1:27" ht="15.75" customHeight="1">
      <c r="A609" s="9"/>
      <c r="D609" s="203"/>
      <c r="E609" s="31"/>
      <c r="I609" s="132"/>
      <c r="J609" s="132"/>
      <c r="K609" s="221"/>
      <c r="L609" s="132"/>
      <c r="N609" s="10"/>
      <c r="O609" s="223"/>
      <c r="P609" s="22"/>
      <c r="Q609" s="22"/>
      <c r="T609" s="132"/>
      <c r="W609" s="22"/>
      <c r="X609" s="224"/>
      <c r="Z609" s="50"/>
      <c r="AA609" s="57"/>
    </row>
    <row r="610" spans="1:27" ht="15.75" customHeight="1">
      <c r="A610" s="9"/>
      <c r="D610" s="203"/>
      <c r="E610" s="31"/>
      <c r="I610" s="132"/>
      <c r="J610" s="132"/>
      <c r="K610" s="221"/>
      <c r="L610" s="132"/>
      <c r="N610" s="10"/>
      <c r="O610" s="223"/>
      <c r="P610" s="22"/>
      <c r="Q610" s="22"/>
      <c r="T610" s="132"/>
      <c r="W610" s="22"/>
      <c r="X610" s="224"/>
      <c r="Z610" s="50"/>
      <c r="AA610" s="57"/>
    </row>
    <row r="611" spans="1:27" ht="15.75" customHeight="1">
      <c r="A611" s="9"/>
      <c r="D611" s="203"/>
      <c r="E611" s="31"/>
      <c r="I611" s="132"/>
      <c r="J611" s="132"/>
      <c r="K611" s="221"/>
      <c r="L611" s="132"/>
      <c r="N611" s="10"/>
      <c r="O611" s="223"/>
      <c r="P611" s="22"/>
      <c r="Q611" s="22"/>
      <c r="T611" s="132"/>
      <c r="W611" s="22"/>
      <c r="X611" s="224"/>
      <c r="Z611" s="50"/>
      <c r="AA611" s="57"/>
    </row>
    <row r="612" spans="1:27" ht="15.75" customHeight="1">
      <c r="A612" s="9"/>
      <c r="D612" s="203"/>
      <c r="E612" s="31"/>
      <c r="I612" s="132"/>
      <c r="J612" s="132"/>
      <c r="K612" s="221"/>
      <c r="L612" s="132"/>
      <c r="N612" s="10"/>
      <c r="O612" s="223"/>
      <c r="P612" s="22"/>
      <c r="Q612" s="22"/>
      <c r="T612" s="132"/>
      <c r="W612" s="22"/>
      <c r="X612" s="224"/>
      <c r="Z612" s="50"/>
      <c r="AA612" s="57"/>
    </row>
    <row r="613" spans="1:27" ht="15.75" customHeight="1">
      <c r="A613" s="9"/>
      <c r="D613" s="203"/>
      <c r="E613" s="31"/>
      <c r="I613" s="132"/>
      <c r="J613" s="132"/>
      <c r="K613" s="221"/>
      <c r="L613" s="132"/>
      <c r="N613" s="10"/>
      <c r="O613" s="223"/>
      <c r="P613" s="22"/>
      <c r="Q613" s="22"/>
      <c r="T613" s="132"/>
      <c r="W613" s="22"/>
      <c r="X613" s="224"/>
      <c r="Z613" s="50"/>
      <c r="AA613" s="57"/>
    </row>
    <row r="614" spans="1:27" ht="15.75" customHeight="1">
      <c r="A614" s="9"/>
      <c r="D614" s="203"/>
      <c r="E614" s="31"/>
      <c r="I614" s="132"/>
      <c r="J614" s="132"/>
      <c r="K614" s="221"/>
      <c r="L614" s="132"/>
      <c r="N614" s="10"/>
      <c r="O614" s="223"/>
      <c r="P614" s="22"/>
      <c r="Q614" s="22"/>
      <c r="T614" s="132"/>
      <c r="W614" s="22"/>
      <c r="X614" s="224"/>
      <c r="Z614" s="50"/>
      <c r="AA614" s="57"/>
    </row>
    <row r="615" spans="1:27" ht="15.75" customHeight="1">
      <c r="A615" s="9"/>
      <c r="D615" s="203"/>
      <c r="E615" s="31"/>
      <c r="I615" s="132"/>
      <c r="J615" s="132"/>
      <c r="K615" s="221"/>
      <c r="L615" s="132"/>
      <c r="N615" s="10"/>
      <c r="O615" s="223"/>
      <c r="P615" s="22"/>
      <c r="Q615" s="22"/>
      <c r="T615" s="132"/>
      <c r="W615" s="22"/>
      <c r="X615" s="224"/>
      <c r="Z615" s="50"/>
      <c r="AA615" s="57"/>
    </row>
    <row r="616" spans="1:27" ht="15.75" customHeight="1">
      <c r="A616" s="9"/>
      <c r="D616" s="203"/>
      <c r="E616" s="31"/>
      <c r="I616" s="132"/>
      <c r="J616" s="132"/>
      <c r="K616" s="221"/>
      <c r="L616" s="132"/>
      <c r="N616" s="10"/>
      <c r="O616" s="223"/>
      <c r="P616" s="22"/>
      <c r="Q616" s="22"/>
      <c r="T616" s="132"/>
      <c r="W616" s="22"/>
      <c r="X616" s="224"/>
      <c r="Z616" s="50"/>
      <c r="AA616" s="57"/>
    </row>
    <row r="617" spans="1:27" ht="15.75" customHeight="1">
      <c r="A617" s="9"/>
      <c r="D617" s="203"/>
      <c r="E617" s="31"/>
      <c r="I617" s="132"/>
      <c r="J617" s="132"/>
      <c r="K617" s="221"/>
      <c r="L617" s="132"/>
      <c r="N617" s="10"/>
      <c r="O617" s="223"/>
      <c r="P617" s="22"/>
      <c r="Q617" s="22"/>
      <c r="T617" s="132"/>
      <c r="W617" s="22"/>
      <c r="X617" s="224"/>
      <c r="Z617" s="50"/>
      <c r="AA617" s="57"/>
    </row>
    <row r="618" spans="1:27" ht="15.75" customHeight="1">
      <c r="A618" s="9"/>
      <c r="D618" s="203"/>
      <c r="E618" s="31"/>
      <c r="I618" s="132"/>
      <c r="J618" s="132"/>
      <c r="K618" s="221"/>
      <c r="L618" s="132"/>
      <c r="N618" s="10"/>
      <c r="O618" s="223"/>
      <c r="P618" s="22"/>
      <c r="Q618" s="22"/>
      <c r="T618" s="132"/>
      <c r="W618" s="22"/>
      <c r="X618" s="224"/>
      <c r="Z618" s="50"/>
      <c r="AA618" s="57"/>
    </row>
    <row r="619" spans="1:27" ht="15.75" customHeight="1">
      <c r="A619" s="9"/>
      <c r="D619" s="203"/>
      <c r="E619" s="31"/>
      <c r="I619" s="132"/>
      <c r="J619" s="132"/>
      <c r="K619" s="221"/>
      <c r="L619" s="132"/>
      <c r="N619" s="10"/>
      <c r="O619" s="223"/>
      <c r="P619" s="22"/>
      <c r="Q619" s="22"/>
      <c r="T619" s="132"/>
      <c r="W619" s="22"/>
      <c r="X619" s="224"/>
      <c r="Z619" s="50"/>
      <c r="AA619" s="57"/>
    </row>
    <row r="620" spans="1:27" ht="15.75" customHeight="1">
      <c r="A620" s="9"/>
      <c r="D620" s="203"/>
      <c r="E620" s="31"/>
      <c r="I620" s="132"/>
      <c r="J620" s="132"/>
      <c r="K620" s="221"/>
      <c r="L620" s="132"/>
      <c r="N620" s="10"/>
      <c r="O620" s="223"/>
      <c r="P620" s="22"/>
      <c r="Q620" s="22"/>
      <c r="T620" s="132"/>
      <c r="W620" s="22"/>
      <c r="X620" s="224"/>
      <c r="Z620" s="50"/>
      <c r="AA620" s="57"/>
    </row>
    <row r="621" spans="1:27" ht="15.75" customHeight="1">
      <c r="A621" s="9"/>
      <c r="D621" s="203"/>
      <c r="E621" s="31"/>
      <c r="I621" s="132"/>
      <c r="J621" s="132"/>
      <c r="K621" s="221"/>
      <c r="L621" s="132"/>
      <c r="N621" s="10"/>
      <c r="O621" s="223"/>
      <c r="P621" s="22"/>
      <c r="Q621" s="22"/>
      <c r="T621" s="132"/>
      <c r="W621" s="22"/>
      <c r="X621" s="224"/>
      <c r="Z621" s="50"/>
      <c r="AA621" s="57"/>
    </row>
    <row r="622" spans="1:27" ht="15.75" customHeight="1">
      <c r="A622" s="9"/>
      <c r="D622" s="203"/>
      <c r="E622" s="31"/>
      <c r="I622" s="132"/>
      <c r="J622" s="132"/>
      <c r="K622" s="221"/>
      <c r="L622" s="132"/>
      <c r="N622" s="10"/>
      <c r="O622" s="223"/>
      <c r="P622" s="22"/>
      <c r="Q622" s="22"/>
      <c r="T622" s="132"/>
      <c r="W622" s="22"/>
      <c r="X622" s="224"/>
      <c r="Z622" s="50"/>
      <c r="AA622" s="57"/>
    </row>
    <row r="623" spans="1:27" ht="15.75" customHeight="1">
      <c r="A623" s="9"/>
      <c r="D623" s="203"/>
      <c r="E623" s="31"/>
      <c r="I623" s="132"/>
      <c r="J623" s="132"/>
      <c r="K623" s="221"/>
      <c r="L623" s="132"/>
      <c r="N623" s="10"/>
      <c r="O623" s="223"/>
      <c r="P623" s="22"/>
      <c r="Q623" s="22"/>
      <c r="T623" s="132"/>
      <c r="W623" s="22"/>
      <c r="X623" s="224"/>
      <c r="Z623" s="50"/>
      <c r="AA623" s="57"/>
    </row>
    <row r="624" spans="1:27" ht="15.75" customHeight="1">
      <c r="A624" s="9"/>
      <c r="D624" s="203"/>
      <c r="E624" s="31"/>
      <c r="I624" s="132"/>
      <c r="J624" s="132"/>
      <c r="K624" s="221"/>
      <c r="L624" s="132"/>
      <c r="N624" s="10"/>
      <c r="O624" s="223"/>
      <c r="P624" s="22"/>
      <c r="Q624" s="22"/>
      <c r="T624" s="132"/>
      <c r="W624" s="22"/>
      <c r="X624" s="224"/>
      <c r="Z624" s="50"/>
      <c r="AA624" s="57"/>
    </row>
    <row r="625" spans="1:27" ht="15.75" customHeight="1">
      <c r="A625" s="9"/>
      <c r="D625" s="203"/>
      <c r="E625" s="31"/>
      <c r="I625" s="132"/>
      <c r="J625" s="132"/>
      <c r="K625" s="221"/>
      <c r="L625" s="132"/>
      <c r="N625" s="10"/>
      <c r="O625" s="223"/>
      <c r="P625" s="22"/>
      <c r="Q625" s="22"/>
      <c r="T625" s="132"/>
      <c r="W625" s="22"/>
      <c r="X625" s="224"/>
      <c r="Z625" s="50"/>
      <c r="AA625" s="57"/>
    </row>
    <row r="626" spans="1:27" ht="15.75" customHeight="1">
      <c r="A626" s="9"/>
      <c r="D626" s="203"/>
      <c r="E626" s="31"/>
      <c r="I626" s="132"/>
      <c r="J626" s="132"/>
      <c r="K626" s="221"/>
      <c r="L626" s="132"/>
      <c r="N626" s="10"/>
      <c r="O626" s="223"/>
      <c r="P626" s="22"/>
      <c r="Q626" s="22"/>
      <c r="T626" s="132"/>
      <c r="W626" s="22"/>
      <c r="X626" s="224"/>
      <c r="Z626" s="50"/>
      <c r="AA626" s="57"/>
    </row>
    <row r="627" spans="1:27" ht="15.75" customHeight="1">
      <c r="A627" s="9"/>
      <c r="D627" s="203"/>
      <c r="E627" s="31"/>
      <c r="I627" s="132"/>
      <c r="J627" s="132"/>
      <c r="K627" s="221"/>
      <c r="L627" s="132"/>
      <c r="N627" s="10"/>
      <c r="O627" s="223"/>
      <c r="P627" s="22"/>
      <c r="Q627" s="22"/>
      <c r="T627" s="132"/>
      <c r="W627" s="22"/>
      <c r="X627" s="224"/>
      <c r="Z627" s="50"/>
      <c r="AA627" s="57"/>
    </row>
    <row r="628" spans="1:27" ht="15.75" customHeight="1">
      <c r="A628" s="9"/>
      <c r="D628" s="203"/>
      <c r="E628" s="31"/>
      <c r="I628" s="132"/>
      <c r="J628" s="132"/>
      <c r="K628" s="221"/>
      <c r="L628" s="132"/>
      <c r="N628" s="10"/>
      <c r="O628" s="223"/>
      <c r="P628" s="22"/>
      <c r="Q628" s="22"/>
      <c r="T628" s="132"/>
      <c r="W628" s="22"/>
      <c r="X628" s="224"/>
      <c r="Z628" s="50"/>
      <c r="AA628" s="57"/>
    </row>
    <row r="629" spans="1:27" ht="15.75" customHeight="1">
      <c r="A629" s="9"/>
      <c r="D629" s="203"/>
      <c r="E629" s="31"/>
      <c r="I629" s="132"/>
      <c r="J629" s="132"/>
      <c r="K629" s="221"/>
      <c r="L629" s="132"/>
      <c r="N629" s="10"/>
      <c r="O629" s="223"/>
      <c r="P629" s="22"/>
      <c r="Q629" s="22"/>
      <c r="T629" s="132"/>
      <c r="W629" s="22"/>
      <c r="X629" s="224"/>
      <c r="Z629" s="50"/>
      <c r="AA629" s="57"/>
    </row>
    <row r="630" spans="1:27" ht="15.75" customHeight="1">
      <c r="A630" s="9"/>
      <c r="D630" s="203"/>
      <c r="E630" s="31"/>
      <c r="I630" s="132"/>
      <c r="J630" s="132"/>
      <c r="K630" s="221"/>
      <c r="L630" s="132"/>
      <c r="N630" s="10"/>
      <c r="O630" s="223"/>
      <c r="P630" s="22"/>
      <c r="Q630" s="22"/>
      <c r="T630" s="132"/>
      <c r="W630" s="22"/>
      <c r="X630" s="224"/>
      <c r="Z630" s="50"/>
      <c r="AA630" s="57"/>
    </row>
    <row r="631" spans="1:27" ht="15.75" customHeight="1">
      <c r="A631" s="9"/>
      <c r="D631" s="203"/>
      <c r="E631" s="31"/>
      <c r="I631" s="132"/>
      <c r="J631" s="132"/>
      <c r="K631" s="221"/>
      <c r="L631" s="132"/>
      <c r="N631" s="10"/>
      <c r="O631" s="223"/>
      <c r="P631" s="22"/>
      <c r="Q631" s="22"/>
      <c r="T631" s="132"/>
      <c r="W631" s="22"/>
      <c r="X631" s="224"/>
      <c r="Z631" s="50"/>
      <c r="AA631" s="57"/>
    </row>
    <row r="632" spans="1:27" ht="15.75" customHeight="1">
      <c r="A632" s="9"/>
      <c r="D632" s="203"/>
      <c r="E632" s="31"/>
      <c r="I632" s="132"/>
      <c r="J632" s="132"/>
      <c r="K632" s="221"/>
      <c r="L632" s="132"/>
      <c r="N632" s="10"/>
      <c r="O632" s="223"/>
      <c r="P632" s="22"/>
      <c r="Q632" s="22"/>
      <c r="T632" s="132"/>
      <c r="W632" s="22"/>
      <c r="X632" s="224"/>
      <c r="Z632" s="50"/>
      <c r="AA632" s="57"/>
    </row>
    <row r="633" spans="1:27" ht="15.75" customHeight="1">
      <c r="A633" s="9"/>
      <c r="D633" s="203"/>
      <c r="E633" s="31"/>
      <c r="I633" s="132"/>
      <c r="J633" s="132"/>
      <c r="K633" s="221"/>
      <c r="L633" s="132"/>
      <c r="N633" s="10"/>
      <c r="O633" s="223"/>
      <c r="P633" s="22"/>
      <c r="Q633" s="22"/>
      <c r="T633" s="132"/>
      <c r="W633" s="22"/>
      <c r="X633" s="224"/>
      <c r="Z633" s="50"/>
      <c r="AA633" s="57"/>
    </row>
    <row r="634" spans="1:27" ht="15.75" customHeight="1">
      <c r="A634" s="9"/>
      <c r="D634" s="203"/>
      <c r="E634" s="31"/>
      <c r="I634" s="132"/>
      <c r="J634" s="132"/>
      <c r="K634" s="221"/>
      <c r="L634" s="132"/>
      <c r="N634" s="10"/>
      <c r="O634" s="223"/>
      <c r="P634" s="22"/>
      <c r="Q634" s="22"/>
      <c r="T634" s="132"/>
      <c r="W634" s="22"/>
      <c r="X634" s="224"/>
      <c r="Z634" s="50"/>
      <c r="AA634" s="57"/>
    </row>
    <row r="635" spans="1:27" ht="15.75" customHeight="1">
      <c r="A635" s="9"/>
      <c r="D635" s="203"/>
      <c r="E635" s="31"/>
      <c r="I635" s="132"/>
      <c r="J635" s="132"/>
      <c r="K635" s="221"/>
      <c r="L635" s="132"/>
      <c r="N635" s="10"/>
      <c r="O635" s="223"/>
      <c r="P635" s="22"/>
      <c r="Q635" s="22"/>
      <c r="T635" s="132"/>
      <c r="W635" s="22"/>
      <c r="X635" s="224"/>
      <c r="Z635" s="50"/>
      <c r="AA635" s="57"/>
    </row>
    <row r="636" spans="1:27" ht="15.75" customHeight="1">
      <c r="A636" s="9"/>
      <c r="D636" s="203"/>
      <c r="E636" s="31"/>
      <c r="I636" s="132"/>
      <c r="J636" s="132"/>
      <c r="K636" s="221"/>
      <c r="L636" s="132"/>
      <c r="N636" s="10"/>
      <c r="O636" s="223"/>
      <c r="P636" s="22"/>
      <c r="Q636" s="22"/>
      <c r="T636" s="132"/>
      <c r="W636" s="22"/>
      <c r="X636" s="224"/>
      <c r="Z636" s="50"/>
      <c r="AA636" s="57"/>
    </row>
    <row r="637" spans="1:27" ht="15.75" customHeight="1">
      <c r="A637" s="9"/>
      <c r="D637" s="203"/>
      <c r="E637" s="31"/>
      <c r="I637" s="132"/>
      <c r="J637" s="132"/>
      <c r="K637" s="221"/>
      <c r="L637" s="132"/>
      <c r="N637" s="10"/>
      <c r="O637" s="223"/>
      <c r="P637" s="22"/>
      <c r="Q637" s="22"/>
      <c r="T637" s="132"/>
      <c r="W637" s="22"/>
      <c r="X637" s="224"/>
      <c r="Z637" s="50"/>
      <c r="AA637" s="57"/>
    </row>
    <row r="638" spans="1:27" ht="15.75" customHeight="1">
      <c r="A638" s="9"/>
      <c r="D638" s="203"/>
      <c r="E638" s="31"/>
      <c r="I638" s="132"/>
      <c r="J638" s="132"/>
      <c r="K638" s="221"/>
      <c r="L638" s="132"/>
      <c r="N638" s="10"/>
      <c r="O638" s="223"/>
      <c r="P638" s="22"/>
      <c r="Q638" s="22"/>
      <c r="T638" s="132"/>
      <c r="W638" s="22"/>
      <c r="X638" s="224"/>
      <c r="Z638" s="50"/>
      <c r="AA638" s="57"/>
    </row>
    <row r="639" spans="1:27" ht="15.75" customHeight="1">
      <c r="A639" s="9"/>
      <c r="D639" s="203"/>
      <c r="E639" s="31"/>
      <c r="I639" s="132"/>
      <c r="J639" s="132"/>
      <c r="K639" s="221"/>
      <c r="L639" s="132"/>
      <c r="N639" s="10"/>
      <c r="O639" s="223"/>
      <c r="P639" s="22"/>
      <c r="Q639" s="22"/>
      <c r="T639" s="132"/>
      <c r="W639" s="22"/>
      <c r="X639" s="224"/>
      <c r="Z639" s="50"/>
      <c r="AA639" s="57"/>
    </row>
    <row r="640" spans="1:27" ht="15.75" customHeight="1">
      <c r="A640" s="9"/>
      <c r="D640" s="203"/>
      <c r="E640" s="31"/>
      <c r="I640" s="132"/>
      <c r="J640" s="132"/>
      <c r="K640" s="221"/>
      <c r="L640" s="132"/>
      <c r="N640" s="10"/>
      <c r="O640" s="223"/>
      <c r="P640" s="22"/>
      <c r="Q640" s="22"/>
      <c r="T640" s="132"/>
      <c r="W640" s="22"/>
      <c r="X640" s="224"/>
      <c r="Z640" s="50"/>
      <c r="AA640" s="57"/>
    </row>
    <row r="641" spans="1:27" ht="15.75" customHeight="1">
      <c r="A641" s="9"/>
      <c r="D641" s="203"/>
      <c r="E641" s="31"/>
      <c r="I641" s="132"/>
      <c r="J641" s="132"/>
      <c r="K641" s="221"/>
      <c r="L641" s="132"/>
      <c r="N641" s="10"/>
      <c r="O641" s="223"/>
      <c r="P641" s="22"/>
      <c r="Q641" s="22"/>
      <c r="T641" s="132"/>
      <c r="W641" s="22"/>
      <c r="X641" s="224"/>
      <c r="Z641" s="50"/>
      <c r="AA641" s="57"/>
    </row>
    <row r="642" spans="1:27" ht="15.75" customHeight="1">
      <c r="A642" s="9"/>
      <c r="D642" s="203"/>
      <c r="E642" s="31"/>
      <c r="I642" s="132"/>
      <c r="J642" s="132"/>
      <c r="K642" s="221"/>
      <c r="L642" s="132"/>
      <c r="N642" s="10"/>
      <c r="O642" s="223"/>
      <c r="P642" s="22"/>
      <c r="Q642" s="22"/>
      <c r="T642" s="132"/>
      <c r="W642" s="22"/>
      <c r="X642" s="224"/>
      <c r="Z642" s="50"/>
      <c r="AA642" s="57"/>
    </row>
    <row r="643" spans="1:27" ht="15.75" customHeight="1">
      <c r="A643" s="9"/>
      <c r="D643" s="203"/>
      <c r="E643" s="31"/>
      <c r="I643" s="132"/>
      <c r="J643" s="132"/>
      <c r="K643" s="221"/>
      <c r="L643" s="132"/>
      <c r="N643" s="10"/>
      <c r="O643" s="223"/>
      <c r="P643" s="22"/>
      <c r="Q643" s="22"/>
      <c r="T643" s="132"/>
      <c r="W643" s="22"/>
      <c r="X643" s="224"/>
      <c r="Z643" s="50"/>
      <c r="AA643" s="57"/>
    </row>
    <row r="644" spans="1:27" ht="15.75" customHeight="1">
      <c r="A644" s="9"/>
      <c r="D644" s="203"/>
      <c r="E644" s="31"/>
      <c r="I644" s="132"/>
      <c r="J644" s="132"/>
      <c r="K644" s="221"/>
      <c r="L644" s="132"/>
      <c r="N644" s="10"/>
      <c r="O644" s="223"/>
      <c r="P644" s="22"/>
      <c r="Q644" s="22"/>
      <c r="T644" s="132"/>
      <c r="W644" s="22"/>
      <c r="X644" s="224"/>
      <c r="Z644" s="50"/>
      <c r="AA644" s="57"/>
    </row>
    <row r="645" spans="1:27" ht="15.75" customHeight="1">
      <c r="A645" s="9"/>
      <c r="D645" s="203"/>
      <c r="E645" s="31"/>
      <c r="I645" s="132"/>
      <c r="J645" s="132"/>
      <c r="K645" s="221"/>
      <c r="L645" s="132"/>
      <c r="N645" s="10"/>
      <c r="O645" s="223"/>
      <c r="P645" s="22"/>
      <c r="Q645" s="22"/>
      <c r="T645" s="132"/>
      <c r="W645" s="22"/>
      <c r="X645" s="224"/>
      <c r="Z645" s="50"/>
      <c r="AA645" s="57"/>
    </row>
    <row r="646" spans="1:27" ht="15.75" customHeight="1">
      <c r="A646" s="9"/>
      <c r="D646" s="203"/>
      <c r="E646" s="31"/>
      <c r="I646" s="132"/>
      <c r="J646" s="132"/>
      <c r="K646" s="221"/>
      <c r="L646" s="132"/>
      <c r="N646" s="10"/>
      <c r="O646" s="223"/>
      <c r="P646" s="22"/>
      <c r="Q646" s="22"/>
      <c r="T646" s="132"/>
      <c r="W646" s="22"/>
      <c r="X646" s="224"/>
      <c r="Z646" s="50"/>
      <c r="AA646" s="57"/>
    </row>
    <row r="647" spans="1:27" ht="15.75" customHeight="1">
      <c r="A647" s="9"/>
      <c r="D647" s="203"/>
      <c r="E647" s="31"/>
      <c r="I647" s="132"/>
      <c r="J647" s="132"/>
      <c r="K647" s="221"/>
      <c r="L647" s="132"/>
      <c r="N647" s="10"/>
      <c r="O647" s="223"/>
      <c r="P647" s="22"/>
      <c r="Q647" s="22"/>
      <c r="T647" s="132"/>
      <c r="W647" s="22"/>
      <c r="X647" s="224"/>
      <c r="Z647" s="50"/>
      <c r="AA647" s="57"/>
    </row>
    <row r="648" spans="1:27" ht="15.75" customHeight="1">
      <c r="A648" s="9"/>
      <c r="D648" s="203"/>
      <c r="E648" s="31"/>
      <c r="I648" s="132"/>
      <c r="J648" s="132"/>
      <c r="K648" s="221"/>
      <c r="L648" s="132"/>
      <c r="N648" s="10"/>
      <c r="O648" s="223"/>
      <c r="P648" s="22"/>
      <c r="Q648" s="22"/>
      <c r="T648" s="132"/>
      <c r="W648" s="22"/>
      <c r="X648" s="224"/>
      <c r="Z648" s="50"/>
      <c r="AA648" s="57"/>
    </row>
    <row r="649" spans="1:27" ht="15.75" customHeight="1">
      <c r="A649" s="9"/>
      <c r="D649" s="203"/>
      <c r="E649" s="31"/>
      <c r="I649" s="132"/>
      <c r="J649" s="132"/>
      <c r="K649" s="221"/>
      <c r="L649" s="132"/>
      <c r="N649" s="10"/>
      <c r="O649" s="223"/>
      <c r="P649" s="22"/>
      <c r="Q649" s="22"/>
      <c r="T649" s="132"/>
      <c r="W649" s="22"/>
      <c r="X649" s="224"/>
      <c r="Z649" s="50"/>
      <c r="AA649" s="57"/>
    </row>
    <row r="650" spans="1:27" ht="15.75" customHeight="1">
      <c r="A650" s="9"/>
      <c r="D650" s="203"/>
      <c r="E650" s="31"/>
      <c r="I650" s="132"/>
      <c r="J650" s="132"/>
      <c r="K650" s="221"/>
      <c r="L650" s="132"/>
      <c r="N650" s="10"/>
      <c r="O650" s="223"/>
      <c r="P650" s="22"/>
      <c r="Q650" s="22"/>
      <c r="T650" s="132"/>
      <c r="W650" s="22"/>
      <c r="X650" s="224"/>
      <c r="Z650" s="50"/>
      <c r="AA650" s="57"/>
    </row>
    <row r="651" spans="1:27" ht="15.75" customHeight="1">
      <c r="A651" s="9"/>
      <c r="D651" s="203"/>
      <c r="E651" s="31"/>
      <c r="I651" s="132"/>
      <c r="J651" s="132"/>
      <c r="K651" s="221"/>
      <c r="L651" s="132"/>
      <c r="N651" s="10"/>
      <c r="O651" s="223"/>
      <c r="P651" s="22"/>
      <c r="Q651" s="22"/>
      <c r="T651" s="132"/>
      <c r="W651" s="22"/>
      <c r="X651" s="224"/>
      <c r="Z651" s="50"/>
      <c r="AA651" s="57"/>
    </row>
    <row r="652" spans="1:27" ht="15.75" customHeight="1">
      <c r="A652" s="9"/>
      <c r="D652" s="203"/>
      <c r="E652" s="31"/>
      <c r="I652" s="132"/>
      <c r="J652" s="132"/>
      <c r="K652" s="221"/>
      <c r="L652" s="132"/>
      <c r="N652" s="10"/>
      <c r="O652" s="223"/>
      <c r="P652" s="22"/>
      <c r="Q652" s="22"/>
      <c r="T652" s="132"/>
      <c r="W652" s="22"/>
      <c r="X652" s="224"/>
      <c r="Z652" s="50"/>
      <c r="AA652" s="57"/>
    </row>
    <row r="653" spans="1:27" ht="15.75" customHeight="1">
      <c r="A653" s="9"/>
      <c r="D653" s="203"/>
      <c r="E653" s="31"/>
      <c r="I653" s="132"/>
      <c r="J653" s="132"/>
      <c r="K653" s="221"/>
      <c r="L653" s="132"/>
      <c r="N653" s="10"/>
      <c r="O653" s="223"/>
      <c r="P653" s="22"/>
      <c r="Q653" s="22"/>
      <c r="T653" s="132"/>
      <c r="W653" s="22"/>
      <c r="X653" s="224"/>
      <c r="Z653" s="50"/>
      <c r="AA653" s="57"/>
    </row>
    <row r="654" spans="1:27" ht="15.75" customHeight="1">
      <c r="A654" s="9"/>
      <c r="D654" s="203"/>
      <c r="E654" s="31"/>
      <c r="I654" s="132"/>
      <c r="J654" s="132"/>
      <c r="K654" s="221"/>
      <c r="L654" s="132"/>
      <c r="N654" s="10"/>
      <c r="O654" s="223"/>
      <c r="P654" s="22"/>
      <c r="Q654" s="22"/>
      <c r="T654" s="132"/>
      <c r="W654" s="22"/>
      <c r="X654" s="224"/>
      <c r="Z654" s="50"/>
      <c r="AA654" s="57"/>
    </row>
    <row r="655" spans="1:27" ht="15.75" customHeight="1">
      <c r="A655" s="9"/>
      <c r="D655" s="203"/>
      <c r="E655" s="31"/>
      <c r="I655" s="132"/>
      <c r="J655" s="132"/>
      <c r="K655" s="221"/>
      <c r="L655" s="132"/>
      <c r="N655" s="10"/>
      <c r="O655" s="223"/>
      <c r="P655" s="22"/>
      <c r="Q655" s="22"/>
      <c r="T655" s="132"/>
      <c r="W655" s="22"/>
      <c r="X655" s="224"/>
      <c r="Z655" s="50"/>
      <c r="AA655" s="57"/>
    </row>
    <row r="656" spans="1:27" ht="15.75" customHeight="1">
      <c r="A656" s="9"/>
      <c r="D656" s="203"/>
      <c r="E656" s="31"/>
      <c r="I656" s="132"/>
      <c r="J656" s="132"/>
      <c r="K656" s="221"/>
      <c r="L656" s="132"/>
      <c r="N656" s="10"/>
      <c r="O656" s="223"/>
      <c r="P656" s="22"/>
      <c r="Q656" s="22"/>
      <c r="T656" s="132"/>
      <c r="W656" s="22"/>
      <c r="X656" s="224"/>
      <c r="Z656" s="50"/>
      <c r="AA656" s="57"/>
    </row>
    <row r="657" spans="1:27" ht="15.75" customHeight="1">
      <c r="A657" s="9"/>
      <c r="D657" s="203"/>
      <c r="E657" s="31"/>
      <c r="I657" s="132"/>
      <c r="J657" s="132"/>
      <c r="K657" s="221"/>
      <c r="L657" s="132"/>
      <c r="N657" s="10"/>
      <c r="O657" s="223"/>
      <c r="P657" s="22"/>
      <c r="Q657" s="22"/>
      <c r="T657" s="132"/>
      <c r="W657" s="22"/>
      <c r="X657" s="224"/>
      <c r="Z657" s="50"/>
      <c r="AA657" s="57"/>
    </row>
    <row r="658" spans="1:27" ht="15.75" customHeight="1">
      <c r="A658" s="9"/>
      <c r="D658" s="203"/>
      <c r="E658" s="31"/>
      <c r="I658" s="132"/>
      <c r="J658" s="132"/>
      <c r="K658" s="221"/>
      <c r="L658" s="132"/>
      <c r="N658" s="10"/>
      <c r="O658" s="223"/>
      <c r="P658" s="22"/>
      <c r="Q658" s="22"/>
      <c r="T658" s="132"/>
      <c r="W658" s="22"/>
      <c r="X658" s="224"/>
      <c r="Z658" s="50"/>
      <c r="AA658" s="57"/>
    </row>
    <row r="659" spans="1:27" ht="15.75" customHeight="1">
      <c r="A659" s="9"/>
      <c r="D659" s="203"/>
      <c r="E659" s="31"/>
      <c r="I659" s="132"/>
      <c r="J659" s="132"/>
      <c r="K659" s="221"/>
      <c r="L659" s="132"/>
      <c r="N659" s="10"/>
      <c r="O659" s="223"/>
      <c r="P659" s="22"/>
      <c r="Q659" s="22"/>
      <c r="T659" s="132"/>
      <c r="W659" s="22"/>
      <c r="X659" s="224"/>
      <c r="Z659" s="50"/>
      <c r="AA659" s="57"/>
    </row>
    <row r="660" spans="1:27" ht="15.75" customHeight="1">
      <c r="A660" s="9"/>
      <c r="D660" s="203"/>
      <c r="E660" s="31"/>
      <c r="I660" s="132"/>
      <c r="J660" s="132"/>
      <c r="K660" s="221"/>
      <c r="L660" s="132"/>
      <c r="N660" s="10"/>
      <c r="O660" s="223"/>
      <c r="P660" s="22"/>
      <c r="Q660" s="22"/>
      <c r="T660" s="132"/>
      <c r="W660" s="22"/>
      <c r="X660" s="224"/>
      <c r="Z660" s="50"/>
      <c r="AA660" s="57"/>
    </row>
    <row r="661" spans="1:27" ht="15.75" customHeight="1">
      <c r="A661" s="9"/>
      <c r="D661" s="203"/>
      <c r="E661" s="31"/>
      <c r="I661" s="132"/>
      <c r="J661" s="132"/>
      <c r="K661" s="221"/>
      <c r="L661" s="132"/>
      <c r="N661" s="10"/>
      <c r="O661" s="223"/>
      <c r="P661" s="22"/>
      <c r="Q661" s="22"/>
      <c r="T661" s="132"/>
      <c r="W661" s="22"/>
      <c r="X661" s="224"/>
      <c r="Z661" s="50"/>
      <c r="AA661" s="57"/>
    </row>
    <row r="662" spans="1:27" ht="15.75" customHeight="1">
      <c r="A662" s="9"/>
      <c r="D662" s="203"/>
      <c r="E662" s="31"/>
      <c r="I662" s="132"/>
      <c r="J662" s="132"/>
      <c r="K662" s="221"/>
      <c r="L662" s="132"/>
      <c r="N662" s="10"/>
      <c r="O662" s="223"/>
      <c r="P662" s="22"/>
      <c r="Q662" s="22"/>
      <c r="T662" s="132"/>
      <c r="W662" s="22"/>
      <c r="X662" s="224"/>
      <c r="Z662" s="50"/>
      <c r="AA662" s="57"/>
    </row>
    <row r="663" spans="1:27" ht="15.75" customHeight="1">
      <c r="A663" s="9"/>
      <c r="D663" s="203"/>
      <c r="E663" s="31"/>
      <c r="I663" s="132"/>
      <c r="J663" s="132"/>
      <c r="K663" s="221"/>
      <c r="L663" s="132"/>
      <c r="N663" s="10"/>
      <c r="O663" s="223"/>
      <c r="P663" s="22"/>
      <c r="Q663" s="22"/>
      <c r="T663" s="132"/>
      <c r="W663" s="22"/>
      <c r="X663" s="224"/>
      <c r="Z663" s="50"/>
      <c r="AA663" s="57"/>
    </row>
    <row r="664" spans="1:27" ht="15.75" customHeight="1">
      <c r="A664" s="9"/>
      <c r="D664" s="203"/>
      <c r="E664" s="31"/>
      <c r="I664" s="132"/>
      <c r="J664" s="132"/>
      <c r="K664" s="221"/>
      <c r="L664" s="132"/>
      <c r="N664" s="10"/>
      <c r="O664" s="223"/>
      <c r="P664" s="22"/>
      <c r="Q664" s="22"/>
      <c r="T664" s="132"/>
      <c r="W664" s="22"/>
      <c r="X664" s="224"/>
      <c r="Z664" s="50"/>
      <c r="AA664" s="57"/>
    </row>
    <row r="665" spans="1:27" ht="15.75" customHeight="1">
      <c r="A665" s="9"/>
      <c r="D665" s="203"/>
      <c r="E665" s="31"/>
      <c r="I665" s="132"/>
      <c r="J665" s="132"/>
      <c r="K665" s="221"/>
      <c r="L665" s="132"/>
      <c r="N665" s="10"/>
      <c r="O665" s="223"/>
      <c r="P665" s="22"/>
      <c r="Q665" s="22"/>
      <c r="T665" s="132"/>
      <c r="W665" s="22"/>
      <c r="X665" s="224"/>
      <c r="Z665" s="50"/>
      <c r="AA665" s="57"/>
    </row>
    <row r="666" spans="1:27" ht="15.75" customHeight="1">
      <c r="A666" s="9"/>
      <c r="D666" s="203"/>
      <c r="E666" s="31"/>
      <c r="I666" s="132"/>
      <c r="J666" s="132"/>
      <c r="K666" s="221"/>
      <c r="L666" s="132"/>
      <c r="N666" s="10"/>
      <c r="O666" s="223"/>
      <c r="P666" s="22"/>
      <c r="Q666" s="22"/>
      <c r="T666" s="132"/>
      <c r="W666" s="22"/>
      <c r="X666" s="224"/>
      <c r="Z666" s="50"/>
      <c r="AA666" s="57"/>
    </row>
    <row r="667" spans="1:27" ht="15.75" customHeight="1">
      <c r="A667" s="9"/>
      <c r="D667" s="203"/>
      <c r="E667" s="31"/>
      <c r="I667" s="132"/>
      <c r="J667" s="132"/>
      <c r="K667" s="221"/>
      <c r="L667" s="132"/>
      <c r="N667" s="10"/>
      <c r="O667" s="223"/>
      <c r="P667" s="22"/>
      <c r="Q667" s="22"/>
      <c r="T667" s="132"/>
      <c r="W667" s="22"/>
      <c r="X667" s="224"/>
      <c r="Z667" s="50"/>
      <c r="AA667" s="57"/>
    </row>
    <row r="668" spans="1:27" ht="15.75" customHeight="1">
      <c r="A668" s="9"/>
      <c r="D668" s="203"/>
      <c r="E668" s="31"/>
      <c r="I668" s="132"/>
      <c r="J668" s="132"/>
      <c r="K668" s="221"/>
      <c r="L668" s="132"/>
      <c r="N668" s="10"/>
      <c r="O668" s="223"/>
      <c r="P668" s="22"/>
      <c r="Q668" s="22"/>
      <c r="T668" s="132"/>
      <c r="W668" s="22"/>
      <c r="X668" s="224"/>
      <c r="Z668" s="50"/>
      <c r="AA668" s="57"/>
    </row>
    <row r="669" spans="1:27" ht="15.75" customHeight="1">
      <c r="A669" s="9"/>
      <c r="D669" s="203"/>
      <c r="E669" s="31"/>
      <c r="I669" s="132"/>
      <c r="J669" s="132"/>
      <c r="K669" s="221"/>
      <c r="L669" s="132"/>
      <c r="N669" s="10"/>
      <c r="O669" s="223"/>
      <c r="P669" s="22"/>
      <c r="Q669" s="22"/>
      <c r="T669" s="132"/>
      <c r="W669" s="22"/>
      <c r="X669" s="224"/>
      <c r="Z669" s="50"/>
      <c r="AA669" s="57"/>
    </row>
    <row r="670" spans="1:27" ht="15.75" customHeight="1">
      <c r="A670" s="9"/>
      <c r="D670" s="203"/>
      <c r="E670" s="31"/>
      <c r="I670" s="132"/>
      <c r="J670" s="132"/>
      <c r="K670" s="221"/>
      <c r="L670" s="132"/>
      <c r="N670" s="10"/>
      <c r="O670" s="223"/>
      <c r="P670" s="22"/>
      <c r="Q670" s="22"/>
      <c r="T670" s="132"/>
      <c r="W670" s="22"/>
      <c r="X670" s="224"/>
      <c r="Z670" s="50"/>
      <c r="AA670" s="57"/>
    </row>
    <row r="671" spans="1:27" ht="15.75" customHeight="1">
      <c r="A671" s="9"/>
      <c r="D671" s="203"/>
      <c r="E671" s="31"/>
      <c r="I671" s="132"/>
      <c r="J671" s="132"/>
      <c r="K671" s="221"/>
      <c r="L671" s="132"/>
      <c r="N671" s="10"/>
      <c r="O671" s="223"/>
      <c r="P671" s="22"/>
      <c r="Q671" s="22"/>
      <c r="T671" s="132"/>
      <c r="W671" s="22"/>
      <c r="X671" s="224"/>
      <c r="Z671" s="50"/>
      <c r="AA671" s="57"/>
    </row>
    <row r="672" spans="1:27" ht="15.75" customHeight="1">
      <c r="A672" s="9"/>
      <c r="D672" s="203"/>
      <c r="E672" s="31"/>
      <c r="I672" s="132"/>
      <c r="J672" s="132"/>
      <c r="K672" s="221"/>
      <c r="L672" s="132"/>
      <c r="N672" s="10"/>
      <c r="O672" s="223"/>
      <c r="P672" s="22"/>
      <c r="Q672" s="22"/>
      <c r="T672" s="132"/>
      <c r="W672" s="22"/>
      <c r="X672" s="224"/>
      <c r="Z672" s="50"/>
      <c r="AA672" s="57"/>
    </row>
    <row r="673" spans="1:27" ht="15.75" customHeight="1">
      <c r="A673" s="9"/>
      <c r="D673" s="203"/>
      <c r="E673" s="31"/>
      <c r="I673" s="132"/>
      <c r="J673" s="132"/>
      <c r="K673" s="221"/>
      <c r="L673" s="132"/>
      <c r="N673" s="10"/>
      <c r="O673" s="223"/>
      <c r="P673" s="22"/>
      <c r="Q673" s="22"/>
      <c r="T673" s="132"/>
      <c r="W673" s="22"/>
      <c r="X673" s="224"/>
      <c r="Z673" s="50"/>
      <c r="AA673" s="57"/>
    </row>
    <row r="674" spans="1:27" ht="15.75" customHeight="1">
      <c r="A674" s="9"/>
      <c r="D674" s="203"/>
      <c r="E674" s="31"/>
      <c r="I674" s="132"/>
      <c r="J674" s="132"/>
      <c r="K674" s="221"/>
      <c r="L674" s="132"/>
      <c r="N674" s="10"/>
      <c r="O674" s="223"/>
      <c r="P674" s="22"/>
      <c r="Q674" s="22"/>
      <c r="T674" s="132"/>
      <c r="W674" s="22"/>
      <c r="X674" s="224"/>
      <c r="Z674" s="50"/>
      <c r="AA674" s="57"/>
    </row>
    <row r="675" spans="1:27" ht="15.75" customHeight="1">
      <c r="A675" s="9"/>
      <c r="D675" s="203"/>
      <c r="E675" s="31"/>
      <c r="I675" s="132"/>
      <c r="J675" s="132"/>
      <c r="K675" s="221"/>
      <c r="L675" s="132"/>
      <c r="N675" s="10"/>
      <c r="O675" s="223"/>
      <c r="P675" s="22"/>
      <c r="Q675" s="22"/>
      <c r="T675" s="132"/>
      <c r="W675" s="22"/>
      <c r="X675" s="224"/>
      <c r="Z675" s="50"/>
      <c r="AA675" s="57"/>
    </row>
    <row r="676" spans="1:27" ht="15.75" customHeight="1">
      <c r="A676" s="9"/>
      <c r="D676" s="203"/>
      <c r="E676" s="31"/>
      <c r="I676" s="132"/>
      <c r="J676" s="132"/>
      <c r="K676" s="221"/>
      <c r="L676" s="132"/>
      <c r="N676" s="10"/>
      <c r="O676" s="223"/>
      <c r="P676" s="22"/>
      <c r="Q676" s="22"/>
      <c r="T676" s="132"/>
      <c r="W676" s="22"/>
      <c r="X676" s="224"/>
      <c r="Z676" s="50"/>
      <c r="AA676" s="57"/>
    </row>
    <row r="677" spans="1:27" ht="15.75" customHeight="1">
      <c r="A677" s="9"/>
      <c r="D677" s="203"/>
      <c r="E677" s="31"/>
      <c r="I677" s="132"/>
      <c r="J677" s="132"/>
      <c r="K677" s="221"/>
      <c r="L677" s="132"/>
      <c r="N677" s="10"/>
      <c r="O677" s="223"/>
      <c r="P677" s="22"/>
      <c r="Q677" s="22"/>
      <c r="T677" s="132"/>
      <c r="W677" s="22"/>
      <c r="X677" s="224"/>
      <c r="Z677" s="50"/>
      <c r="AA677" s="57"/>
    </row>
    <row r="678" spans="1:27" ht="15.75" customHeight="1">
      <c r="A678" s="9"/>
      <c r="D678" s="203"/>
      <c r="E678" s="31"/>
      <c r="I678" s="132"/>
      <c r="J678" s="132"/>
      <c r="K678" s="221"/>
      <c r="L678" s="132"/>
      <c r="N678" s="10"/>
      <c r="O678" s="223"/>
      <c r="P678" s="22"/>
      <c r="Q678" s="22"/>
      <c r="T678" s="132"/>
      <c r="W678" s="22"/>
      <c r="X678" s="224"/>
      <c r="Z678" s="50"/>
      <c r="AA678" s="57"/>
    </row>
    <row r="679" spans="1:27" ht="15.75" customHeight="1">
      <c r="A679" s="9"/>
      <c r="D679" s="203"/>
      <c r="E679" s="31"/>
      <c r="I679" s="132"/>
      <c r="J679" s="132"/>
      <c r="K679" s="221"/>
      <c r="L679" s="132"/>
      <c r="N679" s="10"/>
      <c r="O679" s="223"/>
      <c r="P679" s="22"/>
      <c r="Q679" s="22"/>
      <c r="T679" s="132"/>
      <c r="W679" s="22"/>
      <c r="X679" s="224"/>
      <c r="Z679" s="50"/>
      <c r="AA679" s="57"/>
    </row>
    <row r="680" spans="1:27" ht="15.75" customHeight="1">
      <c r="A680" s="9"/>
      <c r="D680" s="203"/>
      <c r="E680" s="31"/>
      <c r="I680" s="132"/>
      <c r="J680" s="132"/>
      <c r="K680" s="221"/>
      <c r="L680" s="132"/>
      <c r="N680" s="10"/>
      <c r="O680" s="223"/>
      <c r="P680" s="22"/>
      <c r="Q680" s="22"/>
      <c r="T680" s="132"/>
      <c r="W680" s="22"/>
      <c r="X680" s="224"/>
      <c r="Z680" s="50"/>
      <c r="AA680" s="57"/>
    </row>
    <row r="681" spans="1:27" ht="15.75" customHeight="1">
      <c r="A681" s="9"/>
      <c r="D681" s="203"/>
      <c r="E681" s="31"/>
      <c r="I681" s="132"/>
      <c r="J681" s="132"/>
      <c r="K681" s="221"/>
      <c r="L681" s="132"/>
      <c r="N681" s="10"/>
      <c r="O681" s="223"/>
      <c r="P681" s="22"/>
      <c r="Q681" s="22"/>
      <c r="T681" s="132"/>
      <c r="W681" s="22"/>
      <c r="X681" s="224"/>
      <c r="Z681" s="50"/>
      <c r="AA681" s="57"/>
    </row>
    <row r="682" spans="1:27" ht="15.75" customHeight="1">
      <c r="A682" s="9"/>
      <c r="D682" s="203"/>
      <c r="E682" s="31"/>
      <c r="I682" s="132"/>
      <c r="J682" s="132"/>
      <c r="K682" s="221"/>
      <c r="L682" s="132"/>
      <c r="N682" s="10"/>
      <c r="O682" s="223"/>
      <c r="P682" s="22"/>
      <c r="Q682" s="22"/>
      <c r="T682" s="132"/>
      <c r="W682" s="22"/>
      <c r="X682" s="224"/>
      <c r="Z682" s="50"/>
      <c r="AA682" s="57"/>
    </row>
    <row r="683" spans="1:27" ht="15.75" customHeight="1">
      <c r="A683" s="9"/>
      <c r="D683" s="203"/>
      <c r="E683" s="31"/>
      <c r="I683" s="132"/>
      <c r="J683" s="132"/>
      <c r="K683" s="221"/>
      <c r="L683" s="132"/>
      <c r="N683" s="10"/>
      <c r="O683" s="223"/>
      <c r="P683" s="22"/>
      <c r="Q683" s="22"/>
      <c r="T683" s="132"/>
      <c r="W683" s="22"/>
      <c r="X683" s="224"/>
      <c r="Z683" s="50"/>
      <c r="AA683" s="57"/>
    </row>
    <row r="684" spans="1:27" ht="15.75" customHeight="1">
      <c r="A684" s="9"/>
      <c r="D684" s="203"/>
      <c r="E684" s="31"/>
      <c r="I684" s="132"/>
      <c r="J684" s="132"/>
      <c r="K684" s="221"/>
      <c r="L684" s="132"/>
      <c r="N684" s="10"/>
      <c r="O684" s="223"/>
      <c r="P684" s="22"/>
      <c r="Q684" s="22"/>
      <c r="T684" s="132"/>
      <c r="W684" s="22"/>
      <c r="X684" s="224"/>
      <c r="Z684" s="50"/>
      <c r="AA684" s="57"/>
    </row>
    <row r="685" spans="1:27" ht="15.75" customHeight="1">
      <c r="A685" s="9"/>
      <c r="D685" s="203"/>
      <c r="E685" s="31"/>
      <c r="I685" s="132"/>
      <c r="J685" s="132"/>
      <c r="K685" s="221"/>
      <c r="L685" s="132"/>
      <c r="N685" s="10"/>
      <c r="O685" s="223"/>
      <c r="P685" s="22"/>
      <c r="Q685" s="22"/>
      <c r="T685" s="132"/>
      <c r="W685" s="22"/>
      <c r="X685" s="224"/>
      <c r="Z685" s="50"/>
      <c r="AA685" s="57"/>
    </row>
    <row r="686" spans="1:27" ht="15.75" customHeight="1">
      <c r="A686" s="9"/>
      <c r="D686" s="203"/>
      <c r="E686" s="31"/>
      <c r="I686" s="132"/>
      <c r="J686" s="132"/>
      <c r="K686" s="221"/>
      <c r="L686" s="132"/>
      <c r="N686" s="10"/>
      <c r="O686" s="223"/>
      <c r="P686" s="22"/>
      <c r="Q686" s="22"/>
      <c r="T686" s="132"/>
      <c r="W686" s="22"/>
      <c r="X686" s="224"/>
      <c r="Z686" s="50"/>
      <c r="AA686" s="57"/>
    </row>
    <row r="687" spans="1:27" ht="15.75" customHeight="1">
      <c r="A687" s="9"/>
      <c r="D687" s="203"/>
      <c r="E687" s="31"/>
      <c r="I687" s="132"/>
      <c r="J687" s="132"/>
      <c r="K687" s="221"/>
      <c r="L687" s="132"/>
      <c r="N687" s="10"/>
      <c r="O687" s="223"/>
      <c r="P687" s="22"/>
      <c r="Q687" s="22"/>
      <c r="T687" s="132"/>
      <c r="W687" s="22"/>
      <c r="X687" s="224"/>
      <c r="Z687" s="50"/>
      <c r="AA687" s="57"/>
    </row>
    <row r="688" spans="1:27" ht="15.75" customHeight="1">
      <c r="A688" s="9"/>
      <c r="D688" s="203"/>
      <c r="E688" s="31"/>
      <c r="I688" s="132"/>
      <c r="J688" s="132"/>
      <c r="K688" s="221"/>
      <c r="L688" s="132"/>
      <c r="N688" s="10"/>
      <c r="O688" s="223"/>
      <c r="P688" s="22"/>
      <c r="Q688" s="22"/>
      <c r="T688" s="132"/>
      <c r="W688" s="22"/>
      <c r="X688" s="224"/>
      <c r="Z688" s="50"/>
      <c r="AA688" s="57"/>
    </row>
    <row r="689" spans="1:27" ht="15.75" customHeight="1">
      <c r="A689" s="9"/>
      <c r="D689" s="203"/>
      <c r="E689" s="31"/>
      <c r="I689" s="132"/>
      <c r="J689" s="132"/>
      <c r="K689" s="221"/>
      <c r="L689" s="132"/>
      <c r="N689" s="10"/>
      <c r="O689" s="223"/>
      <c r="P689" s="22"/>
      <c r="Q689" s="22"/>
      <c r="T689" s="132"/>
      <c r="W689" s="22"/>
      <c r="X689" s="224"/>
      <c r="Z689" s="50"/>
      <c r="AA689" s="57"/>
    </row>
    <row r="690" spans="1:27" ht="15.75" customHeight="1">
      <c r="A690" s="9"/>
      <c r="D690" s="203"/>
      <c r="E690" s="31"/>
      <c r="I690" s="132"/>
      <c r="J690" s="132"/>
      <c r="K690" s="221"/>
      <c r="L690" s="132"/>
      <c r="N690" s="10"/>
      <c r="O690" s="223"/>
      <c r="P690" s="22"/>
      <c r="Q690" s="22"/>
      <c r="T690" s="132"/>
      <c r="W690" s="22"/>
      <c r="X690" s="224"/>
      <c r="Z690" s="50"/>
      <c r="AA690" s="57"/>
    </row>
    <row r="691" spans="1:27" ht="15.75" customHeight="1">
      <c r="A691" s="9"/>
      <c r="D691" s="203"/>
      <c r="E691" s="31"/>
      <c r="I691" s="132"/>
      <c r="J691" s="132"/>
      <c r="K691" s="221"/>
      <c r="L691" s="132"/>
      <c r="N691" s="10"/>
      <c r="O691" s="223"/>
      <c r="P691" s="22"/>
      <c r="Q691" s="22"/>
      <c r="T691" s="132"/>
      <c r="W691" s="22"/>
      <c r="X691" s="224"/>
      <c r="Z691" s="50"/>
      <c r="AA691" s="57"/>
    </row>
    <row r="692" spans="1:27" ht="15.75" customHeight="1">
      <c r="A692" s="9"/>
      <c r="D692" s="203"/>
      <c r="E692" s="31"/>
      <c r="I692" s="132"/>
      <c r="J692" s="132"/>
      <c r="K692" s="221"/>
      <c r="L692" s="132"/>
      <c r="N692" s="10"/>
      <c r="O692" s="223"/>
      <c r="P692" s="22"/>
      <c r="Q692" s="22"/>
      <c r="T692" s="132"/>
      <c r="W692" s="22"/>
      <c r="X692" s="224"/>
      <c r="Z692" s="50"/>
      <c r="AA692" s="57"/>
    </row>
    <row r="693" spans="1:27" ht="15.75" customHeight="1">
      <c r="A693" s="9"/>
      <c r="D693" s="203"/>
      <c r="E693" s="31"/>
      <c r="I693" s="132"/>
      <c r="J693" s="132"/>
      <c r="K693" s="221"/>
      <c r="L693" s="132"/>
      <c r="N693" s="10"/>
      <c r="O693" s="223"/>
      <c r="P693" s="22"/>
      <c r="Q693" s="22"/>
      <c r="T693" s="132"/>
      <c r="W693" s="22"/>
      <c r="X693" s="224"/>
      <c r="Z693" s="50"/>
      <c r="AA693" s="57"/>
    </row>
    <row r="694" spans="1:27" ht="15.75" customHeight="1">
      <c r="A694" s="9"/>
      <c r="D694" s="203"/>
      <c r="E694" s="31"/>
      <c r="I694" s="132"/>
      <c r="J694" s="132"/>
      <c r="K694" s="221"/>
      <c r="L694" s="132"/>
      <c r="N694" s="10"/>
      <c r="O694" s="223"/>
      <c r="P694" s="22"/>
      <c r="Q694" s="22"/>
      <c r="T694" s="132"/>
      <c r="W694" s="22"/>
      <c r="X694" s="224"/>
      <c r="Z694" s="50"/>
      <c r="AA694" s="57"/>
    </row>
    <row r="695" spans="1:27" ht="15.75" customHeight="1">
      <c r="A695" s="9"/>
      <c r="D695" s="203"/>
      <c r="E695" s="31"/>
      <c r="I695" s="132"/>
      <c r="J695" s="132"/>
      <c r="K695" s="221"/>
      <c r="L695" s="132"/>
      <c r="N695" s="10"/>
      <c r="O695" s="223"/>
      <c r="P695" s="22"/>
      <c r="Q695" s="22"/>
      <c r="T695" s="132"/>
      <c r="W695" s="22"/>
      <c r="X695" s="224"/>
      <c r="Z695" s="50"/>
      <c r="AA695" s="57"/>
    </row>
    <row r="696" spans="1:27" ht="15.75" customHeight="1">
      <c r="A696" s="9"/>
      <c r="D696" s="203"/>
      <c r="E696" s="31"/>
      <c r="I696" s="132"/>
      <c r="J696" s="132"/>
      <c r="K696" s="221"/>
      <c r="L696" s="132"/>
      <c r="N696" s="10"/>
      <c r="O696" s="223"/>
      <c r="P696" s="22"/>
      <c r="Q696" s="22"/>
      <c r="T696" s="132"/>
      <c r="W696" s="22"/>
      <c r="X696" s="224"/>
      <c r="Z696" s="50"/>
      <c r="AA696" s="57"/>
    </row>
    <row r="697" spans="1:27" ht="15.75" customHeight="1">
      <c r="A697" s="9"/>
      <c r="D697" s="203"/>
      <c r="E697" s="31"/>
      <c r="I697" s="132"/>
      <c r="J697" s="132"/>
      <c r="K697" s="221"/>
      <c r="L697" s="132"/>
      <c r="N697" s="10"/>
      <c r="O697" s="223"/>
      <c r="P697" s="22"/>
      <c r="Q697" s="22"/>
      <c r="T697" s="132"/>
      <c r="W697" s="22"/>
      <c r="X697" s="224"/>
      <c r="Z697" s="50"/>
      <c r="AA697" s="57"/>
    </row>
    <row r="698" spans="1:27" ht="15.75" customHeight="1">
      <c r="A698" s="9"/>
      <c r="D698" s="203"/>
      <c r="E698" s="31"/>
      <c r="I698" s="132"/>
      <c r="J698" s="132"/>
      <c r="K698" s="221"/>
      <c r="L698" s="132"/>
      <c r="N698" s="10"/>
      <c r="O698" s="223"/>
      <c r="P698" s="22"/>
      <c r="Q698" s="22"/>
      <c r="T698" s="132"/>
      <c r="W698" s="22"/>
      <c r="X698" s="224"/>
      <c r="Z698" s="50"/>
      <c r="AA698" s="57"/>
    </row>
    <row r="699" spans="1:27" ht="15.75" customHeight="1">
      <c r="A699" s="9"/>
      <c r="D699" s="203"/>
      <c r="E699" s="31"/>
      <c r="I699" s="132"/>
      <c r="J699" s="132"/>
      <c r="K699" s="221"/>
      <c r="L699" s="132"/>
      <c r="N699" s="10"/>
      <c r="O699" s="223"/>
      <c r="P699" s="22"/>
      <c r="Q699" s="22"/>
      <c r="T699" s="132"/>
      <c r="W699" s="22"/>
      <c r="X699" s="224"/>
      <c r="Z699" s="50"/>
      <c r="AA699" s="57"/>
    </row>
    <row r="700" spans="1:27" ht="15.75" customHeight="1">
      <c r="A700" s="9"/>
      <c r="D700" s="203"/>
      <c r="E700" s="31"/>
      <c r="I700" s="132"/>
      <c r="J700" s="132"/>
      <c r="K700" s="221"/>
      <c r="L700" s="132"/>
      <c r="N700" s="10"/>
      <c r="O700" s="223"/>
      <c r="P700" s="22"/>
      <c r="Q700" s="22"/>
      <c r="T700" s="132"/>
      <c r="W700" s="22"/>
      <c r="X700" s="224"/>
      <c r="Z700" s="50"/>
      <c r="AA700" s="57"/>
    </row>
    <row r="701" spans="1:27" ht="15.75" customHeight="1">
      <c r="A701" s="9"/>
      <c r="D701" s="203"/>
      <c r="E701" s="31"/>
      <c r="I701" s="132"/>
      <c r="J701" s="132"/>
      <c r="K701" s="221"/>
      <c r="L701" s="132"/>
      <c r="N701" s="10"/>
      <c r="O701" s="223"/>
      <c r="P701" s="22"/>
      <c r="Q701" s="22"/>
      <c r="T701" s="132"/>
      <c r="W701" s="22"/>
      <c r="X701" s="224"/>
      <c r="Z701" s="50"/>
      <c r="AA701" s="57"/>
    </row>
    <row r="702" spans="1:27" ht="15.75" customHeight="1">
      <c r="A702" s="9"/>
      <c r="D702" s="203"/>
      <c r="E702" s="31"/>
      <c r="I702" s="132"/>
      <c r="J702" s="132"/>
      <c r="K702" s="221"/>
      <c r="L702" s="132"/>
      <c r="N702" s="10"/>
      <c r="O702" s="223"/>
      <c r="P702" s="22"/>
      <c r="Q702" s="22"/>
      <c r="T702" s="132"/>
      <c r="W702" s="22"/>
      <c r="X702" s="224"/>
      <c r="Z702" s="50"/>
      <c r="AA702" s="57"/>
    </row>
    <row r="703" spans="1:27" ht="15.75" customHeight="1">
      <c r="A703" s="9"/>
      <c r="D703" s="203"/>
      <c r="E703" s="31"/>
      <c r="I703" s="132"/>
      <c r="J703" s="132"/>
      <c r="K703" s="221"/>
      <c r="L703" s="132"/>
      <c r="N703" s="10"/>
      <c r="O703" s="223"/>
      <c r="P703" s="22"/>
      <c r="Q703" s="22"/>
      <c r="T703" s="132"/>
      <c r="W703" s="22"/>
      <c r="X703" s="224"/>
      <c r="Z703" s="50"/>
      <c r="AA703" s="57"/>
    </row>
    <row r="704" spans="1:27" ht="15.75" customHeight="1">
      <c r="A704" s="9"/>
      <c r="D704" s="203"/>
      <c r="E704" s="31"/>
      <c r="I704" s="132"/>
      <c r="J704" s="132"/>
      <c r="K704" s="221"/>
      <c r="L704" s="132"/>
      <c r="N704" s="10"/>
      <c r="O704" s="223"/>
      <c r="P704" s="22"/>
      <c r="Q704" s="22"/>
      <c r="T704" s="132"/>
      <c r="W704" s="22"/>
      <c r="X704" s="224"/>
      <c r="Z704" s="50"/>
      <c r="AA704" s="57"/>
    </row>
    <row r="705" spans="1:27" ht="15.75" customHeight="1">
      <c r="A705" s="9"/>
      <c r="D705" s="203"/>
      <c r="E705" s="31"/>
      <c r="I705" s="132"/>
      <c r="J705" s="132"/>
      <c r="K705" s="221"/>
      <c r="L705" s="132"/>
      <c r="N705" s="10"/>
      <c r="O705" s="223"/>
      <c r="P705" s="22"/>
      <c r="Q705" s="22"/>
      <c r="T705" s="132"/>
      <c r="W705" s="22"/>
      <c r="X705" s="224"/>
      <c r="Z705" s="50"/>
      <c r="AA705" s="57"/>
    </row>
    <row r="706" spans="1:27" ht="15.75" customHeight="1">
      <c r="A706" s="9"/>
      <c r="D706" s="203"/>
      <c r="E706" s="31"/>
      <c r="I706" s="132"/>
      <c r="J706" s="132"/>
      <c r="K706" s="221"/>
      <c r="L706" s="132"/>
      <c r="N706" s="10"/>
      <c r="O706" s="223"/>
      <c r="P706" s="22"/>
      <c r="Q706" s="22"/>
      <c r="T706" s="132"/>
      <c r="W706" s="22"/>
      <c r="X706" s="224"/>
      <c r="Z706" s="50"/>
      <c r="AA706" s="57"/>
    </row>
    <row r="707" spans="1:27" ht="15.75" customHeight="1">
      <c r="A707" s="9"/>
      <c r="D707" s="203"/>
      <c r="E707" s="31"/>
      <c r="I707" s="132"/>
      <c r="J707" s="132"/>
      <c r="K707" s="221"/>
      <c r="L707" s="132"/>
      <c r="N707" s="10"/>
      <c r="O707" s="223"/>
      <c r="P707" s="22"/>
      <c r="Q707" s="22"/>
      <c r="T707" s="132"/>
      <c r="W707" s="22"/>
      <c r="X707" s="224"/>
      <c r="Z707" s="50"/>
      <c r="AA707" s="57"/>
    </row>
    <row r="708" spans="1:27" ht="15.75" customHeight="1">
      <c r="A708" s="9"/>
      <c r="D708" s="203"/>
      <c r="E708" s="31"/>
      <c r="I708" s="132"/>
      <c r="J708" s="132"/>
      <c r="K708" s="221"/>
      <c r="L708" s="132"/>
      <c r="N708" s="10"/>
      <c r="O708" s="223"/>
      <c r="P708" s="22"/>
      <c r="Q708" s="22"/>
      <c r="T708" s="132"/>
      <c r="W708" s="22"/>
      <c r="X708" s="224"/>
      <c r="Z708" s="50"/>
      <c r="AA708" s="57"/>
    </row>
    <row r="709" spans="1:27" ht="15.75" customHeight="1">
      <c r="A709" s="9"/>
      <c r="D709" s="203"/>
      <c r="E709" s="31"/>
      <c r="I709" s="132"/>
      <c r="J709" s="132"/>
      <c r="K709" s="221"/>
      <c r="L709" s="132"/>
      <c r="N709" s="10"/>
      <c r="O709" s="223"/>
      <c r="P709" s="22"/>
      <c r="Q709" s="22"/>
      <c r="T709" s="132"/>
      <c r="W709" s="22"/>
      <c r="X709" s="224"/>
      <c r="Z709" s="50"/>
      <c r="AA709" s="57"/>
    </row>
    <row r="710" spans="1:27" ht="15.75" customHeight="1">
      <c r="A710" s="9"/>
      <c r="D710" s="203"/>
      <c r="E710" s="31"/>
      <c r="I710" s="132"/>
      <c r="J710" s="132"/>
      <c r="K710" s="221"/>
      <c r="L710" s="132"/>
      <c r="N710" s="10"/>
      <c r="O710" s="223"/>
      <c r="P710" s="22"/>
      <c r="Q710" s="22"/>
      <c r="T710" s="132"/>
      <c r="W710" s="22"/>
      <c r="X710" s="224"/>
      <c r="Z710" s="50"/>
      <c r="AA710" s="57"/>
    </row>
    <row r="711" spans="1:27" ht="15.75" customHeight="1">
      <c r="A711" s="9"/>
      <c r="D711" s="203"/>
      <c r="E711" s="31"/>
      <c r="I711" s="132"/>
      <c r="J711" s="132"/>
      <c r="K711" s="221"/>
      <c r="L711" s="132"/>
      <c r="N711" s="10"/>
      <c r="O711" s="223"/>
      <c r="P711" s="22"/>
      <c r="Q711" s="22"/>
      <c r="T711" s="132"/>
      <c r="W711" s="22"/>
      <c r="X711" s="224"/>
      <c r="Z711" s="50"/>
      <c r="AA711" s="57"/>
    </row>
    <row r="712" spans="1:27" ht="15.75" customHeight="1">
      <c r="A712" s="9"/>
      <c r="D712" s="203"/>
      <c r="E712" s="31"/>
      <c r="I712" s="132"/>
      <c r="J712" s="132"/>
      <c r="K712" s="221"/>
      <c r="L712" s="132"/>
      <c r="N712" s="10"/>
      <c r="O712" s="223"/>
      <c r="P712" s="22"/>
      <c r="Q712" s="22"/>
      <c r="T712" s="132"/>
      <c r="W712" s="22"/>
      <c r="X712" s="224"/>
      <c r="Z712" s="50"/>
      <c r="AA712" s="57"/>
    </row>
    <row r="713" spans="1:27" ht="15.75" customHeight="1">
      <c r="A713" s="9"/>
      <c r="D713" s="203"/>
      <c r="E713" s="31"/>
      <c r="I713" s="132"/>
      <c r="J713" s="132"/>
      <c r="K713" s="221"/>
      <c r="L713" s="132"/>
      <c r="N713" s="10"/>
      <c r="O713" s="223"/>
      <c r="P713" s="22"/>
      <c r="Q713" s="22"/>
      <c r="T713" s="132"/>
      <c r="W713" s="22"/>
      <c r="X713" s="224"/>
      <c r="Z713" s="50"/>
      <c r="AA713" s="57"/>
    </row>
    <row r="714" spans="1:27" ht="15.75" customHeight="1">
      <c r="A714" s="9"/>
      <c r="D714" s="203"/>
      <c r="E714" s="31"/>
      <c r="I714" s="132"/>
      <c r="J714" s="132"/>
      <c r="K714" s="221"/>
      <c r="L714" s="132"/>
      <c r="N714" s="10"/>
      <c r="O714" s="223"/>
      <c r="P714" s="22"/>
      <c r="Q714" s="22"/>
      <c r="T714" s="132"/>
      <c r="W714" s="22"/>
      <c r="X714" s="224"/>
      <c r="Z714" s="50"/>
      <c r="AA714" s="57"/>
    </row>
    <row r="715" spans="1:27" ht="15.75" customHeight="1">
      <c r="A715" s="9"/>
      <c r="D715" s="203"/>
      <c r="E715" s="31"/>
      <c r="I715" s="132"/>
      <c r="J715" s="132"/>
      <c r="K715" s="221"/>
      <c r="L715" s="132"/>
      <c r="N715" s="10"/>
      <c r="O715" s="223"/>
      <c r="P715" s="22"/>
      <c r="Q715" s="22"/>
      <c r="T715" s="132"/>
      <c r="W715" s="22"/>
      <c r="X715" s="224"/>
      <c r="Z715" s="50"/>
      <c r="AA715" s="57"/>
    </row>
    <row r="716" spans="1:27" ht="15.75" customHeight="1">
      <c r="A716" s="9"/>
      <c r="D716" s="203"/>
      <c r="E716" s="31"/>
      <c r="I716" s="132"/>
      <c r="J716" s="132"/>
      <c r="K716" s="221"/>
      <c r="L716" s="132"/>
      <c r="N716" s="10"/>
      <c r="O716" s="223"/>
      <c r="P716" s="22"/>
      <c r="Q716" s="22"/>
      <c r="T716" s="132"/>
      <c r="W716" s="22"/>
      <c r="X716" s="224"/>
      <c r="Z716" s="50"/>
      <c r="AA716" s="57"/>
    </row>
    <row r="717" spans="1:27" ht="15.75" customHeight="1">
      <c r="A717" s="9"/>
      <c r="D717" s="203"/>
      <c r="E717" s="31"/>
      <c r="I717" s="132"/>
      <c r="J717" s="132"/>
      <c r="K717" s="221"/>
      <c r="L717" s="132"/>
      <c r="N717" s="10"/>
      <c r="O717" s="223"/>
      <c r="P717" s="22"/>
      <c r="Q717" s="22"/>
      <c r="T717" s="132"/>
      <c r="W717" s="22"/>
      <c r="X717" s="224"/>
      <c r="Z717" s="50"/>
      <c r="AA717" s="57"/>
    </row>
    <row r="718" spans="1:27" ht="15.75" customHeight="1">
      <c r="A718" s="9"/>
      <c r="D718" s="203"/>
      <c r="E718" s="31"/>
      <c r="I718" s="132"/>
      <c r="J718" s="132"/>
      <c r="K718" s="221"/>
      <c r="L718" s="132"/>
      <c r="N718" s="10"/>
      <c r="O718" s="223"/>
      <c r="P718" s="22"/>
      <c r="Q718" s="22"/>
      <c r="T718" s="132"/>
      <c r="W718" s="22"/>
      <c r="X718" s="224"/>
      <c r="Z718" s="50"/>
      <c r="AA718" s="57"/>
    </row>
    <row r="719" spans="1:27" ht="15.75" customHeight="1">
      <c r="A719" s="9"/>
      <c r="D719" s="203"/>
      <c r="E719" s="31"/>
      <c r="I719" s="132"/>
      <c r="J719" s="132"/>
      <c r="K719" s="221"/>
      <c r="L719" s="132"/>
      <c r="N719" s="10"/>
      <c r="O719" s="223"/>
      <c r="P719" s="22"/>
      <c r="Q719" s="22"/>
      <c r="T719" s="132"/>
      <c r="W719" s="22"/>
      <c r="X719" s="224"/>
      <c r="Z719" s="50"/>
      <c r="AA719" s="57"/>
    </row>
    <row r="720" spans="1:27" ht="15.75" customHeight="1">
      <c r="A720" s="9"/>
      <c r="D720" s="203"/>
      <c r="E720" s="31"/>
      <c r="I720" s="132"/>
      <c r="J720" s="132"/>
      <c r="K720" s="221"/>
      <c r="L720" s="132"/>
      <c r="N720" s="10"/>
      <c r="O720" s="223"/>
      <c r="P720" s="22"/>
      <c r="Q720" s="22"/>
      <c r="T720" s="132"/>
      <c r="W720" s="22"/>
      <c r="X720" s="224"/>
      <c r="Z720" s="50"/>
      <c r="AA720" s="57"/>
    </row>
    <row r="721" spans="1:27" ht="15.75" customHeight="1">
      <c r="A721" s="9"/>
      <c r="D721" s="203"/>
      <c r="E721" s="31"/>
      <c r="I721" s="132"/>
      <c r="J721" s="132"/>
      <c r="K721" s="221"/>
      <c r="L721" s="132"/>
      <c r="N721" s="10"/>
      <c r="O721" s="223"/>
      <c r="P721" s="22"/>
      <c r="Q721" s="22"/>
      <c r="T721" s="132"/>
      <c r="W721" s="22"/>
      <c r="X721" s="224"/>
      <c r="Z721" s="50"/>
      <c r="AA721" s="57"/>
    </row>
    <row r="722" spans="1:27" ht="15.75" customHeight="1">
      <c r="A722" s="9"/>
      <c r="D722" s="203"/>
      <c r="E722" s="31"/>
      <c r="I722" s="132"/>
      <c r="J722" s="132"/>
      <c r="K722" s="221"/>
      <c r="L722" s="132"/>
      <c r="N722" s="10"/>
      <c r="O722" s="223"/>
      <c r="P722" s="22"/>
      <c r="Q722" s="22"/>
      <c r="T722" s="132"/>
      <c r="W722" s="22"/>
      <c r="X722" s="224"/>
      <c r="Z722" s="50"/>
      <c r="AA722" s="57"/>
    </row>
    <row r="723" spans="1:27" ht="15.75" customHeight="1">
      <c r="A723" s="9"/>
      <c r="D723" s="203"/>
      <c r="E723" s="31"/>
      <c r="I723" s="132"/>
      <c r="J723" s="132"/>
      <c r="K723" s="221"/>
      <c r="L723" s="132"/>
      <c r="N723" s="10"/>
      <c r="O723" s="223"/>
      <c r="P723" s="22"/>
      <c r="Q723" s="22"/>
      <c r="T723" s="132"/>
      <c r="W723" s="22"/>
      <c r="X723" s="224"/>
      <c r="Z723" s="50"/>
      <c r="AA723" s="57"/>
    </row>
    <row r="724" spans="1:27" ht="15.75" customHeight="1">
      <c r="A724" s="9"/>
      <c r="D724" s="203"/>
      <c r="E724" s="31"/>
      <c r="I724" s="132"/>
      <c r="J724" s="132"/>
      <c r="K724" s="221"/>
      <c r="L724" s="132"/>
      <c r="N724" s="10"/>
      <c r="O724" s="223"/>
      <c r="P724" s="22"/>
      <c r="Q724" s="22"/>
      <c r="T724" s="132"/>
      <c r="W724" s="22"/>
      <c r="X724" s="224"/>
      <c r="Z724" s="50"/>
      <c r="AA724" s="57"/>
    </row>
    <row r="725" spans="1:27" ht="15.75" customHeight="1">
      <c r="A725" s="9"/>
      <c r="D725" s="203"/>
      <c r="E725" s="31"/>
      <c r="I725" s="132"/>
      <c r="J725" s="132"/>
      <c r="K725" s="221"/>
      <c r="L725" s="132"/>
      <c r="N725" s="10"/>
      <c r="O725" s="223"/>
      <c r="P725" s="22"/>
      <c r="Q725" s="22"/>
      <c r="T725" s="132"/>
      <c r="W725" s="22"/>
      <c r="X725" s="224"/>
      <c r="Z725" s="50"/>
      <c r="AA725" s="57"/>
    </row>
    <row r="726" spans="1:27" ht="15.75" customHeight="1">
      <c r="A726" s="9"/>
      <c r="D726" s="203"/>
      <c r="E726" s="31"/>
      <c r="I726" s="132"/>
      <c r="J726" s="132"/>
      <c r="K726" s="221"/>
      <c r="L726" s="132"/>
      <c r="N726" s="10"/>
      <c r="O726" s="223"/>
      <c r="P726" s="22"/>
      <c r="Q726" s="22"/>
      <c r="T726" s="132"/>
      <c r="W726" s="22"/>
      <c r="X726" s="224"/>
      <c r="Z726" s="50"/>
      <c r="AA726" s="57"/>
    </row>
    <row r="727" spans="1:27" ht="15.75" customHeight="1">
      <c r="A727" s="9"/>
      <c r="D727" s="203"/>
      <c r="E727" s="31"/>
      <c r="I727" s="132"/>
      <c r="J727" s="132"/>
      <c r="K727" s="221"/>
      <c r="L727" s="132"/>
      <c r="N727" s="10"/>
      <c r="O727" s="223"/>
      <c r="P727" s="22"/>
      <c r="Q727" s="22"/>
      <c r="T727" s="132"/>
      <c r="W727" s="22"/>
      <c r="X727" s="224"/>
      <c r="Z727" s="50"/>
      <c r="AA727" s="57"/>
    </row>
    <row r="728" spans="1:27" ht="15.75" customHeight="1">
      <c r="A728" s="9"/>
      <c r="D728" s="203"/>
      <c r="E728" s="31"/>
      <c r="I728" s="132"/>
      <c r="J728" s="132"/>
      <c r="K728" s="221"/>
      <c r="L728" s="132"/>
      <c r="N728" s="10"/>
      <c r="O728" s="223"/>
      <c r="P728" s="22"/>
      <c r="Q728" s="22"/>
      <c r="T728" s="132"/>
      <c r="W728" s="22"/>
      <c r="X728" s="224"/>
      <c r="Z728" s="50"/>
      <c r="AA728" s="57"/>
    </row>
    <row r="729" spans="1:27" ht="15.75" customHeight="1">
      <c r="A729" s="9"/>
      <c r="D729" s="203"/>
      <c r="E729" s="31"/>
      <c r="I729" s="132"/>
      <c r="J729" s="132"/>
      <c r="K729" s="221"/>
      <c r="L729" s="132"/>
      <c r="N729" s="10"/>
      <c r="O729" s="223"/>
      <c r="P729" s="22"/>
      <c r="Q729" s="22"/>
      <c r="T729" s="132"/>
      <c r="W729" s="22"/>
      <c r="X729" s="224"/>
      <c r="Z729" s="50"/>
      <c r="AA729" s="57"/>
    </row>
    <row r="730" spans="1:27" ht="15.75" customHeight="1">
      <c r="A730" s="9"/>
      <c r="D730" s="203"/>
      <c r="E730" s="31"/>
      <c r="I730" s="132"/>
      <c r="J730" s="132"/>
      <c r="K730" s="221"/>
      <c r="L730" s="132"/>
      <c r="N730" s="10"/>
      <c r="O730" s="223"/>
      <c r="P730" s="22"/>
      <c r="Q730" s="22"/>
      <c r="T730" s="132"/>
      <c r="W730" s="22"/>
      <c r="X730" s="224"/>
      <c r="Z730" s="50"/>
      <c r="AA730" s="57"/>
    </row>
    <row r="731" spans="1:27" ht="15.75" customHeight="1">
      <c r="A731" s="9"/>
      <c r="D731" s="203"/>
      <c r="E731" s="31"/>
      <c r="I731" s="132"/>
      <c r="J731" s="132"/>
      <c r="K731" s="221"/>
      <c r="L731" s="132"/>
      <c r="N731" s="10"/>
      <c r="O731" s="223"/>
      <c r="P731" s="22"/>
      <c r="Q731" s="22"/>
      <c r="T731" s="132"/>
      <c r="W731" s="22"/>
      <c r="X731" s="224"/>
      <c r="Z731" s="50"/>
      <c r="AA731" s="57"/>
    </row>
    <row r="732" spans="1:27" ht="15.75" customHeight="1">
      <c r="A732" s="9"/>
      <c r="D732" s="203"/>
      <c r="E732" s="31"/>
      <c r="I732" s="132"/>
      <c r="J732" s="132"/>
      <c r="K732" s="221"/>
      <c r="L732" s="132"/>
      <c r="N732" s="10"/>
      <c r="O732" s="223"/>
      <c r="P732" s="22"/>
      <c r="Q732" s="22"/>
      <c r="T732" s="132"/>
      <c r="W732" s="22"/>
      <c r="X732" s="224"/>
      <c r="Z732" s="50"/>
      <c r="AA732" s="57"/>
    </row>
    <row r="733" spans="1:27" ht="15.75" customHeight="1">
      <c r="A733" s="9"/>
      <c r="D733" s="203"/>
      <c r="E733" s="31"/>
      <c r="I733" s="132"/>
      <c r="J733" s="132"/>
      <c r="K733" s="221"/>
      <c r="L733" s="132"/>
      <c r="N733" s="10"/>
      <c r="O733" s="223"/>
      <c r="P733" s="22"/>
      <c r="Q733" s="22"/>
      <c r="T733" s="132"/>
      <c r="W733" s="22"/>
      <c r="X733" s="224"/>
      <c r="Z733" s="50"/>
      <c r="AA733" s="57"/>
    </row>
    <row r="734" spans="1:27" ht="15.75" customHeight="1">
      <c r="A734" s="9"/>
      <c r="D734" s="203"/>
      <c r="E734" s="31"/>
      <c r="I734" s="132"/>
      <c r="J734" s="132"/>
      <c r="K734" s="221"/>
      <c r="L734" s="132"/>
      <c r="N734" s="10"/>
      <c r="O734" s="223"/>
      <c r="P734" s="22"/>
      <c r="Q734" s="22"/>
      <c r="T734" s="132"/>
      <c r="W734" s="22"/>
      <c r="X734" s="224"/>
      <c r="Z734" s="50"/>
      <c r="AA734" s="57"/>
    </row>
    <row r="735" spans="1:27" ht="15.75" customHeight="1">
      <c r="A735" s="9"/>
      <c r="D735" s="203"/>
      <c r="E735" s="31"/>
      <c r="I735" s="132"/>
      <c r="J735" s="132"/>
      <c r="K735" s="221"/>
      <c r="L735" s="132"/>
      <c r="N735" s="10"/>
      <c r="O735" s="223"/>
      <c r="P735" s="22"/>
      <c r="Q735" s="22"/>
      <c r="T735" s="132"/>
      <c r="W735" s="22"/>
      <c r="X735" s="224"/>
      <c r="Z735" s="50"/>
      <c r="AA735" s="57"/>
    </row>
    <row r="736" spans="1:27" ht="15.75" customHeight="1">
      <c r="A736" s="9"/>
      <c r="D736" s="203"/>
      <c r="E736" s="31"/>
      <c r="I736" s="132"/>
      <c r="J736" s="132"/>
      <c r="K736" s="221"/>
      <c r="L736" s="132"/>
      <c r="N736" s="10"/>
      <c r="O736" s="223"/>
      <c r="P736" s="22"/>
      <c r="Q736" s="22"/>
      <c r="T736" s="132"/>
      <c r="W736" s="22"/>
      <c r="X736" s="224"/>
      <c r="Z736" s="50"/>
      <c r="AA736" s="57"/>
    </row>
    <row r="737" spans="1:27" ht="15.75" customHeight="1">
      <c r="A737" s="9"/>
      <c r="D737" s="203"/>
      <c r="E737" s="31"/>
      <c r="I737" s="132"/>
      <c r="J737" s="132"/>
      <c r="K737" s="221"/>
      <c r="L737" s="132"/>
      <c r="N737" s="10"/>
      <c r="O737" s="223"/>
      <c r="P737" s="22"/>
      <c r="Q737" s="22"/>
      <c r="T737" s="132"/>
      <c r="W737" s="22"/>
      <c r="X737" s="224"/>
      <c r="Z737" s="50"/>
      <c r="AA737" s="57"/>
    </row>
    <row r="738" spans="1:27" ht="15.75" customHeight="1">
      <c r="A738" s="9"/>
      <c r="D738" s="203"/>
      <c r="E738" s="31"/>
      <c r="I738" s="132"/>
      <c r="J738" s="132"/>
      <c r="K738" s="221"/>
      <c r="L738" s="132"/>
      <c r="N738" s="10"/>
      <c r="O738" s="223"/>
      <c r="P738" s="22"/>
      <c r="Q738" s="22"/>
      <c r="T738" s="132"/>
      <c r="W738" s="22"/>
      <c r="X738" s="224"/>
      <c r="Z738" s="50"/>
      <c r="AA738" s="57"/>
    </row>
    <row r="739" spans="1:27" ht="15.75" customHeight="1">
      <c r="A739" s="9"/>
      <c r="D739" s="203"/>
      <c r="E739" s="31"/>
      <c r="I739" s="132"/>
      <c r="J739" s="132"/>
      <c r="K739" s="221"/>
      <c r="L739" s="132"/>
      <c r="N739" s="10"/>
      <c r="O739" s="223"/>
      <c r="P739" s="22"/>
      <c r="Q739" s="22"/>
      <c r="T739" s="132"/>
      <c r="W739" s="22"/>
      <c r="X739" s="224"/>
      <c r="Z739" s="50"/>
      <c r="AA739" s="57"/>
    </row>
    <row r="740" spans="1:27" ht="15.75" customHeight="1">
      <c r="A740" s="9"/>
      <c r="D740" s="203"/>
      <c r="E740" s="31"/>
      <c r="I740" s="132"/>
      <c r="J740" s="132"/>
      <c r="K740" s="221"/>
      <c r="L740" s="132"/>
      <c r="N740" s="10"/>
      <c r="O740" s="223"/>
      <c r="P740" s="22"/>
      <c r="Q740" s="22"/>
      <c r="T740" s="132"/>
      <c r="W740" s="22"/>
      <c r="X740" s="224"/>
      <c r="Z740" s="50"/>
      <c r="AA740" s="57"/>
    </row>
    <row r="741" spans="1:27" ht="15.75" customHeight="1">
      <c r="A741" s="9"/>
      <c r="D741" s="203"/>
      <c r="E741" s="31"/>
      <c r="I741" s="132"/>
      <c r="J741" s="132"/>
      <c r="K741" s="221"/>
      <c r="L741" s="132"/>
      <c r="N741" s="10"/>
      <c r="O741" s="223"/>
      <c r="P741" s="22"/>
      <c r="Q741" s="22"/>
      <c r="T741" s="132"/>
      <c r="W741" s="22"/>
      <c r="X741" s="224"/>
      <c r="Z741" s="50"/>
      <c r="AA741" s="57"/>
    </row>
    <row r="742" spans="1:27" ht="15.75" customHeight="1">
      <c r="A742" s="9"/>
      <c r="D742" s="203"/>
      <c r="E742" s="31"/>
      <c r="I742" s="132"/>
      <c r="J742" s="132"/>
      <c r="K742" s="221"/>
      <c r="L742" s="132"/>
      <c r="N742" s="10"/>
      <c r="O742" s="223"/>
      <c r="P742" s="22"/>
      <c r="Q742" s="22"/>
      <c r="T742" s="132"/>
      <c r="W742" s="22"/>
      <c r="X742" s="224"/>
      <c r="Z742" s="50"/>
      <c r="AA742" s="57"/>
    </row>
    <row r="743" spans="1:27" ht="15.75" customHeight="1">
      <c r="A743" s="9"/>
      <c r="D743" s="203"/>
      <c r="E743" s="31"/>
      <c r="I743" s="132"/>
      <c r="J743" s="132"/>
      <c r="K743" s="221"/>
      <c r="L743" s="132"/>
      <c r="N743" s="10"/>
      <c r="O743" s="223"/>
      <c r="P743" s="22"/>
      <c r="Q743" s="22"/>
      <c r="T743" s="132"/>
      <c r="W743" s="22"/>
      <c r="X743" s="224"/>
      <c r="Z743" s="50"/>
      <c r="AA743" s="57"/>
    </row>
    <row r="744" spans="1:27" ht="15.75" customHeight="1">
      <c r="A744" s="9"/>
      <c r="D744" s="203"/>
      <c r="E744" s="31"/>
      <c r="I744" s="132"/>
      <c r="J744" s="132"/>
      <c r="K744" s="221"/>
      <c r="L744" s="132"/>
      <c r="N744" s="10"/>
      <c r="O744" s="223"/>
      <c r="P744" s="22"/>
      <c r="Q744" s="22"/>
      <c r="T744" s="132"/>
      <c r="W744" s="22"/>
      <c r="X744" s="224"/>
      <c r="Z744" s="50"/>
      <c r="AA744" s="57"/>
    </row>
    <row r="745" spans="1:27" ht="15.75" customHeight="1">
      <c r="A745" s="9"/>
      <c r="D745" s="203"/>
      <c r="E745" s="31"/>
      <c r="I745" s="132"/>
      <c r="J745" s="132"/>
      <c r="K745" s="221"/>
      <c r="L745" s="132"/>
      <c r="N745" s="10"/>
      <c r="O745" s="223"/>
      <c r="P745" s="22"/>
      <c r="Q745" s="22"/>
      <c r="T745" s="132"/>
      <c r="W745" s="22"/>
      <c r="X745" s="224"/>
      <c r="Z745" s="50"/>
      <c r="AA745" s="57"/>
    </row>
    <row r="746" spans="1:27" ht="15.75" customHeight="1">
      <c r="A746" s="9"/>
      <c r="D746" s="203"/>
      <c r="E746" s="31"/>
      <c r="I746" s="132"/>
      <c r="J746" s="132"/>
      <c r="K746" s="221"/>
      <c r="L746" s="132"/>
      <c r="N746" s="10"/>
      <c r="O746" s="223"/>
      <c r="P746" s="22"/>
      <c r="Q746" s="22"/>
      <c r="T746" s="132"/>
      <c r="W746" s="22"/>
      <c r="X746" s="224"/>
      <c r="Z746" s="50"/>
      <c r="AA746" s="57"/>
    </row>
    <row r="747" spans="1:27" ht="15.75" customHeight="1">
      <c r="A747" s="9"/>
      <c r="D747" s="203"/>
      <c r="E747" s="31"/>
      <c r="I747" s="132"/>
      <c r="J747" s="132"/>
      <c r="K747" s="221"/>
      <c r="L747" s="132"/>
      <c r="N747" s="10"/>
      <c r="O747" s="223"/>
      <c r="P747" s="22"/>
      <c r="Q747" s="22"/>
      <c r="T747" s="132"/>
      <c r="W747" s="22"/>
      <c r="X747" s="224"/>
      <c r="Z747" s="50"/>
      <c r="AA747" s="57"/>
    </row>
    <row r="748" spans="1:27" ht="15.75" customHeight="1">
      <c r="A748" s="9"/>
      <c r="D748" s="203"/>
      <c r="E748" s="31"/>
      <c r="I748" s="132"/>
      <c r="J748" s="132"/>
      <c r="K748" s="221"/>
      <c r="L748" s="132"/>
      <c r="N748" s="10"/>
      <c r="O748" s="223"/>
      <c r="P748" s="22"/>
      <c r="Q748" s="22"/>
      <c r="T748" s="132"/>
      <c r="W748" s="22"/>
      <c r="X748" s="224"/>
      <c r="Z748" s="50"/>
      <c r="AA748" s="57"/>
    </row>
    <row r="749" spans="1:27" ht="15.75" customHeight="1">
      <c r="A749" s="9"/>
      <c r="D749" s="203"/>
      <c r="E749" s="31"/>
      <c r="I749" s="132"/>
      <c r="J749" s="132"/>
      <c r="K749" s="221"/>
      <c r="L749" s="132"/>
      <c r="N749" s="10"/>
      <c r="O749" s="223"/>
      <c r="P749" s="22"/>
      <c r="Q749" s="22"/>
      <c r="T749" s="132"/>
      <c r="W749" s="22"/>
      <c r="X749" s="224"/>
      <c r="Z749" s="50"/>
      <c r="AA749" s="57"/>
    </row>
    <row r="750" spans="1:27" ht="15.75" customHeight="1">
      <c r="A750" s="9"/>
      <c r="D750" s="203"/>
      <c r="E750" s="31"/>
      <c r="I750" s="132"/>
      <c r="J750" s="132"/>
      <c r="K750" s="221"/>
      <c r="L750" s="132"/>
      <c r="N750" s="10"/>
      <c r="O750" s="223"/>
      <c r="P750" s="22"/>
      <c r="Q750" s="22"/>
      <c r="T750" s="132"/>
      <c r="W750" s="22"/>
      <c r="X750" s="224"/>
      <c r="Z750" s="50"/>
      <c r="AA750" s="57"/>
    </row>
    <row r="751" spans="1:27" ht="15.75" customHeight="1">
      <c r="A751" s="9"/>
      <c r="D751" s="203"/>
      <c r="E751" s="31"/>
      <c r="I751" s="132"/>
      <c r="J751" s="132"/>
      <c r="K751" s="221"/>
      <c r="L751" s="132"/>
      <c r="N751" s="10"/>
      <c r="O751" s="223"/>
      <c r="P751" s="22"/>
      <c r="Q751" s="22"/>
      <c r="T751" s="132"/>
      <c r="W751" s="22"/>
      <c r="X751" s="224"/>
      <c r="Z751" s="50"/>
      <c r="AA751" s="57"/>
    </row>
    <row r="752" spans="1:27" ht="15.75" customHeight="1">
      <c r="A752" s="9"/>
      <c r="D752" s="203"/>
      <c r="E752" s="31"/>
      <c r="I752" s="132"/>
      <c r="J752" s="132"/>
      <c r="K752" s="221"/>
      <c r="L752" s="132"/>
      <c r="N752" s="10"/>
      <c r="O752" s="223"/>
      <c r="P752" s="22"/>
      <c r="Q752" s="22"/>
      <c r="T752" s="132"/>
      <c r="W752" s="22"/>
      <c r="X752" s="224"/>
      <c r="Z752" s="50"/>
      <c r="AA752" s="57"/>
    </row>
    <row r="753" spans="1:27" ht="15.75" customHeight="1">
      <c r="A753" s="9"/>
      <c r="D753" s="203"/>
      <c r="E753" s="31"/>
      <c r="I753" s="132"/>
      <c r="J753" s="132"/>
      <c r="K753" s="221"/>
      <c r="L753" s="132"/>
      <c r="N753" s="10"/>
      <c r="O753" s="223"/>
      <c r="P753" s="22"/>
      <c r="Q753" s="22"/>
      <c r="T753" s="132"/>
      <c r="W753" s="22"/>
      <c r="X753" s="224"/>
      <c r="Z753" s="50"/>
      <c r="AA753" s="57"/>
    </row>
    <row r="754" spans="1:27" ht="15.75" customHeight="1">
      <c r="A754" s="9"/>
      <c r="D754" s="203"/>
      <c r="E754" s="31"/>
      <c r="I754" s="132"/>
      <c r="J754" s="132"/>
      <c r="K754" s="221"/>
      <c r="L754" s="132"/>
      <c r="N754" s="10"/>
      <c r="O754" s="223"/>
      <c r="P754" s="22"/>
      <c r="Q754" s="22"/>
      <c r="T754" s="132"/>
      <c r="W754" s="22"/>
      <c r="X754" s="224"/>
      <c r="Z754" s="50"/>
      <c r="AA754" s="57"/>
    </row>
    <row r="755" spans="1:27" ht="15.75" customHeight="1">
      <c r="A755" s="9"/>
      <c r="D755" s="203"/>
      <c r="E755" s="31"/>
      <c r="I755" s="132"/>
      <c r="J755" s="132"/>
      <c r="K755" s="221"/>
      <c r="L755" s="132"/>
      <c r="N755" s="10"/>
      <c r="O755" s="223"/>
      <c r="P755" s="22"/>
      <c r="Q755" s="22"/>
      <c r="T755" s="132"/>
      <c r="W755" s="22"/>
      <c r="X755" s="224"/>
      <c r="Z755" s="50"/>
      <c r="AA755" s="57"/>
    </row>
    <row r="756" spans="1:27" ht="15.75" customHeight="1">
      <c r="A756" s="9"/>
      <c r="D756" s="203"/>
      <c r="E756" s="31"/>
      <c r="I756" s="132"/>
      <c r="J756" s="132"/>
      <c r="K756" s="221"/>
      <c r="L756" s="132"/>
      <c r="N756" s="10"/>
      <c r="O756" s="223"/>
      <c r="P756" s="22"/>
      <c r="Q756" s="22"/>
      <c r="T756" s="132"/>
      <c r="W756" s="22"/>
      <c r="X756" s="224"/>
      <c r="Z756" s="50"/>
      <c r="AA756" s="57"/>
    </row>
    <row r="757" spans="1:27" ht="15.75" customHeight="1">
      <c r="A757" s="9"/>
      <c r="D757" s="203"/>
      <c r="E757" s="31"/>
      <c r="I757" s="132"/>
      <c r="J757" s="132"/>
      <c r="K757" s="221"/>
      <c r="L757" s="132"/>
      <c r="N757" s="10"/>
      <c r="O757" s="223"/>
      <c r="P757" s="22"/>
      <c r="Q757" s="22"/>
      <c r="T757" s="132"/>
      <c r="W757" s="22"/>
      <c r="X757" s="224"/>
      <c r="Z757" s="50"/>
      <c r="AA757" s="57"/>
    </row>
    <row r="758" spans="1:27" ht="15.75" customHeight="1">
      <c r="A758" s="9"/>
      <c r="D758" s="203"/>
      <c r="E758" s="31"/>
      <c r="I758" s="132"/>
      <c r="J758" s="132"/>
      <c r="K758" s="221"/>
      <c r="L758" s="132"/>
      <c r="N758" s="10"/>
      <c r="O758" s="223"/>
      <c r="P758" s="22"/>
      <c r="Q758" s="22"/>
      <c r="T758" s="132"/>
      <c r="W758" s="22"/>
      <c r="X758" s="224"/>
      <c r="Z758" s="50"/>
      <c r="AA758" s="57"/>
    </row>
    <row r="759" spans="1:27" ht="15.75" customHeight="1">
      <c r="A759" s="9"/>
      <c r="D759" s="203"/>
      <c r="E759" s="31"/>
      <c r="I759" s="132"/>
      <c r="J759" s="132"/>
      <c r="K759" s="221"/>
      <c r="L759" s="132"/>
      <c r="N759" s="10"/>
      <c r="O759" s="223"/>
      <c r="P759" s="22"/>
      <c r="Q759" s="22"/>
      <c r="T759" s="132"/>
      <c r="W759" s="22"/>
      <c r="X759" s="224"/>
      <c r="Z759" s="50"/>
      <c r="AA759" s="57"/>
    </row>
    <row r="760" spans="1:27" ht="15.75" customHeight="1">
      <c r="A760" s="9"/>
      <c r="D760" s="203"/>
      <c r="E760" s="31"/>
      <c r="I760" s="132"/>
      <c r="J760" s="132"/>
      <c r="K760" s="221"/>
      <c r="L760" s="132"/>
      <c r="N760" s="10"/>
      <c r="O760" s="223"/>
      <c r="P760" s="22"/>
      <c r="Q760" s="22"/>
      <c r="T760" s="132"/>
      <c r="W760" s="22"/>
      <c r="X760" s="224"/>
      <c r="Z760" s="50"/>
      <c r="AA760" s="57"/>
    </row>
    <row r="761" spans="1:27" ht="15.75" customHeight="1">
      <c r="A761" s="9"/>
      <c r="D761" s="203"/>
      <c r="E761" s="31"/>
      <c r="I761" s="132"/>
      <c r="J761" s="132"/>
      <c r="K761" s="221"/>
      <c r="L761" s="132"/>
      <c r="N761" s="10"/>
      <c r="O761" s="223"/>
      <c r="P761" s="22"/>
      <c r="Q761" s="22"/>
      <c r="T761" s="132"/>
      <c r="W761" s="22"/>
      <c r="X761" s="224"/>
      <c r="Z761" s="50"/>
      <c r="AA761" s="57"/>
    </row>
    <row r="762" spans="1:27" ht="15.75" customHeight="1">
      <c r="A762" s="9"/>
      <c r="D762" s="203"/>
      <c r="E762" s="31"/>
      <c r="I762" s="132"/>
      <c r="J762" s="132"/>
      <c r="K762" s="221"/>
      <c r="L762" s="132"/>
      <c r="N762" s="10"/>
      <c r="O762" s="223"/>
      <c r="P762" s="22"/>
      <c r="Q762" s="22"/>
      <c r="T762" s="132"/>
      <c r="W762" s="22"/>
      <c r="X762" s="224"/>
      <c r="Z762" s="50"/>
      <c r="AA762" s="57"/>
    </row>
    <row r="763" spans="1:27" ht="15.75" customHeight="1">
      <c r="A763" s="9"/>
      <c r="D763" s="203"/>
      <c r="E763" s="31"/>
      <c r="I763" s="132"/>
      <c r="J763" s="132"/>
      <c r="K763" s="221"/>
      <c r="L763" s="132"/>
      <c r="N763" s="10"/>
      <c r="O763" s="223"/>
      <c r="P763" s="22"/>
      <c r="Q763" s="22"/>
      <c r="T763" s="132"/>
      <c r="W763" s="22"/>
      <c r="X763" s="224"/>
      <c r="Z763" s="50"/>
      <c r="AA763" s="57"/>
    </row>
    <row r="764" spans="1:27" ht="15.75" customHeight="1">
      <c r="A764" s="9"/>
      <c r="D764" s="203"/>
      <c r="E764" s="31"/>
      <c r="I764" s="132"/>
      <c r="J764" s="132"/>
      <c r="K764" s="221"/>
      <c r="L764" s="132"/>
      <c r="N764" s="10"/>
      <c r="O764" s="223"/>
      <c r="P764" s="22"/>
      <c r="Q764" s="22"/>
      <c r="T764" s="132"/>
      <c r="W764" s="22"/>
      <c r="X764" s="224"/>
      <c r="Z764" s="50"/>
      <c r="AA764" s="57"/>
    </row>
    <row r="765" spans="1:27" ht="15.75" customHeight="1">
      <c r="A765" s="9"/>
      <c r="D765" s="203"/>
      <c r="E765" s="31"/>
      <c r="I765" s="132"/>
      <c r="J765" s="132"/>
      <c r="K765" s="221"/>
      <c r="L765" s="132"/>
      <c r="N765" s="10"/>
      <c r="O765" s="223"/>
      <c r="P765" s="22"/>
      <c r="Q765" s="22"/>
      <c r="T765" s="132"/>
      <c r="W765" s="22"/>
      <c r="X765" s="224"/>
      <c r="Z765" s="50"/>
      <c r="AA765" s="57"/>
    </row>
    <row r="766" spans="1:27" ht="15.75" customHeight="1">
      <c r="A766" s="9"/>
      <c r="D766" s="203"/>
      <c r="E766" s="31"/>
      <c r="I766" s="132"/>
      <c r="J766" s="132"/>
      <c r="K766" s="221"/>
      <c r="L766" s="132"/>
      <c r="N766" s="10"/>
      <c r="O766" s="223"/>
      <c r="P766" s="22"/>
      <c r="Q766" s="22"/>
      <c r="T766" s="132"/>
      <c r="W766" s="22"/>
      <c r="X766" s="224"/>
      <c r="Z766" s="50"/>
      <c r="AA766" s="57"/>
    </row>
    <row r="767" spans="1:27" ht="15.75" customHeight="1">
      <c r="A767" s="9"/>
      <c r="D767" s="203"/>
      <c r="E767" s="31"/>
      <c r="I767" s="132"/>
      <c r="J767" s="132"/>
      <c r="K767" s="221"/>
      <c r="L767" s="132"/>
      <c r="N767" s="10"/>
      <c r="O767" s="223"/>
      <c r="P767" s="22"/>
      <c r="Q767" s="22"/>
      <c r="T767" s="132"/>
      <c r="W767" s="22"/>
      <c r="X767" s="224"/>
      <c r="Z767" s="50"/>
      <c r="AA767" s="57"/>
    </row>
    <row r="768" spans="1:27" ht="15.75" customHeight="1">
      <c r="A768" s="9"/>
      <c r="D768" s="203"/>
      <c r="E768" s="31"/>
      <c r="I768" s="132"/>
      <c r="J768" s="132"/>
      <c r="K768" s="221"/>
      <c r="L768" s="132"/>
      <c r="N768" s="10"/>
      <c r="O768" s="223"/>
      <c r="P768" s="22"/>
      <c r="Q768" s="22"/>
      <c r="T768" s="132"/>
      <c r="W768" s="22"/>
      <c r="X768" s="224"/>
      <c r="Z768" s="50"/>
      <c r="AA768" s="57"/>
    </row>
    <row r="769" spans="1:27" ht="15.75" customHeight="1">
      <c r="A769" s="9"/>
      <c r="D769" s="203"/>
      <c r="E769" s="31"/>
      <c r="I769" s="132"/>
      <c r="J769" s="132"/>
      <c r="K769" s="221"/>
      <c r="L769" s="132"/>
      <c r="N769" s="10"/>
      <c r="O769" s="223"/>
      <c r="P769" s="22"/>
      <c r="Q769" s="22"/>
      <c r="T769" s="132"/>
      <c r="W769" s="22"/>
      <c r="X769" s="224"/>
      <c r="Z769" s="50"/>
      <c r="AA769" s="57"/>
    </row>
    <row r="770" spans="1:27" ht="15.75" customHeight="1">
      <c r="A770" s="9"/>
      <c r="D770" s="203"/>
      <c r="E770" s="31"/>
      <c r="I770" s="132"/>
      <c r="J770" s="132"/>
      <c r="K770" s="221"/>
      <c r="L770" s="132"/>
      <c r="N770" s="10"/>
      <c r="O770" s="223"/>
      <c r="P770" s="22"/>
      <c r="Q770" s="22"/>
      <c r="T770" s="132"/>
      <c r="W770" s="22"/>
      <c r="X770" s="224"/>
      <c r="Z770" s="50"/>
      <c r="AA770" s="57"/>
    </row>
    <row r="771" spans="1:27" ht="15.75" customHeight="1">
      <c r="A771" s="9"/>
      <c r="D771" s="203"/>
      <c r="E771" s="31"/>
      <c r="I771" s="132"/>
      <c r="J771" s="132"/>
      <c r="K771" s="221"/>
      <c r="L771" s="132"/>
      <c r="N771" s="10"/>
      <c r="O771" s="223"/>
      <c r="P771" s="22"/>
      <c r="Q771" s="22"/>
      <c r="T771" s="132"/>
      <c r="W771" s="22"/>
      <c r="X771" s="224"/>
      <c r="Z771" s="50"/>
      <c r="AA771" s="57"/>
    </row>
    <row r="772" spans="1:27" ht="15.75" customHeight="1">
      <c r="A772" s="9"/>
      <c r="D772" s="203"/>
      <c r="E772" s="31"/>
      <c r="I772" s="132"/>
      <c r="J772" s="132"/>
      <c r="K772" s="221"/>
      <c r="L772" s="132"/>
      <c r="N772" s="10"/>
      <c r="O772" s="223"/>
      <c r="P772" s="22"/>
      <c r="Q772" s="22"/>
      <c r="T772" s="132"/>
      <c r="W772" s="22"/>
      <c r="X772" s="224"/>
      <c r="Z772" s="50"/>
      <c r="AA772" s="57"/>
    </row>
    <row r="773" spans="1:27" ht="15.75" customHeight="1">
      <c r="A773" s="9"/>
      <c r="D773" s="203"/>
      <c r="E773" s="31"/>
      <c r="I773" s="132"/>
      <c r="J773" s="132"/>
      <c r="K773" s="221"/>
      <c r="L773" s="132"/>
      <c r="N773" s="10"/>
      <c r="O773" s="223"/>
      <c r="P773" s="22"/>
      <c r="Q773" s="22"/>
      <c r="T773" s="132"/>
      <c r="W773" s="22"/>
      <c r="X773" s="224"/>
      <c r="Z773" s="50"/>
      <c r="AA773" s="57"/>
    </row>
    <row r="774" spans="1:27" ht="15.75" customHeight="1">
      <c r="A774" s="9"/>
      <c r="D774" s="203"/>
      <c r="E774" s="31"/>
      <c r="I774" s="132"/>
      <c r="J774" s="132"/>
      <c r="K774" s="221"/>
      <c r="L774" s="132"/>
      <c r="N774" s="10"/>
      <c r="O774" s="223"/>
      <c r="P774" s="22"/>
      <c r="Q774" s="22"/>
      <c r="T774" s="132"/>
      <c r="W774" s="22"/>
      <c r="X774" s="224"/>
      <c r="Z774" s="50"/>
      <c r="AA774" s="57"/>
    </row>
    <row r="775" spans="1:27" ht="15.75" customHeight="1">
      <c r="A775" s="9"/>
      <c r="D775" s="203"/>
      <c r="E775" s="31"/>
      <c r="I775" s="132"/>
      <c r="J775" s="132"/>
      <c r="K775" s="221"/>
      <c r="L775" s="132"/>
      <c r="N775" s="10"/>
      <c r="O775" s="223"/>
      <c r="P775" s="22"/>
      <c r="Q775" s="22"/>
      <c r="T775" s="132"/>
      <c r="W775" s="22"/>
      <c r="X775" s="224"/>
      <c r="Z775" s="50"/>
      <c r="AA775" s="57"/>
    </row>
    <row r="776" spans="1:27" ht="15.75" customHeight="1">
      <c r="A776" s="9"/>
      <c r="D776" s="203"/>
      <c r="E776" s="31"/>
      <c r="I776" s="132"/>
      <c r="J776" s="132"/>
      <c r="K776" s="221"/>
      <c r="L776" s="132"/>
      <c r="N776" s="10"/>
      <c r="O776" s="223"/>
      <c r="P776" s="22"/>
      <c r="Q776" s="22"/>
      <c r="T776" s="132"/>
      <c r="W776" s="22"/>
      <c r="X776" s="224"/>
      <c r="Z776" s="50"/>
      <c r="AA776" s="57"/>
    </row>
    <row r="777" spans="1:27" ht="15.75" customHeight="1">
      <c r="A777" s="9"/>
      <c r="D777" s="203"/>
      <c r="E777" s="31"/>
      <c r="I777" s="132"/>
      <c r="J777" s="132"/>
      <c r="K777" s="221"/>
      <c r="L777" s="132"/>
      <c r="N777" s="10"/>
      <c r="O777" s="223"/>
      <c r="P777" s="22"/>
      <c r="Q777" s="22"/>
      <c r="T777" s="132"/>
      <c r="W777" s="22"/>
      <c r="X777" s="224"/>
      <c r="Z777" s="50"/>
      <c r="AA777" s="57"/>
    </row>
    <row r="778" spans="1:27" ht="15.75" customHeight="1">
      <c r="A778" s="9"/>
      <c r="D778" s="203"/>
      <c r="E778" s="31"/>
      <c r="I778" s="132"/>
      <c r="J778" s="132"/>
      <c r="K778" s="221"/>
      <c r="L778" s="132"/>
      <c r="N778" s="10"/>
      <c r="O778" s="223"/>
      <c r="P778" s="22"/>
      <c r="Q778" s="22"/>
      <c r="T778" s="132"/>
      <c r="W778" s="22"/>
      <c r="X778" s="224"/>
      <c r="Z778" s="50"/>
      <c r="AA778" s="57"/>
    </row>
    <row r="779" spans="1:27" ht="15.75" customHeight="1">
      <c r="A779" s="9"/>
      <c r="D779" s="203"/>
      <c r="E779" s="31"/>
      <c r="I779" s="132"/>
      <c r="J779" s="132"/>
      <c r="K779" s="221"/>
      <c r="L779" s="132"/>
      <c r="N779" s="10"/>
      <c r="O779" s="223"/>
      <c r="P779" s="22"/>
      <c r="Q779" s="22"/>
      <c r="T779" s="132"/>
      <c r="W779" s="22"/>
      <c r="X779" s="224"/>
      <c r="Z779" s="50"/>
      <c r="AA779" s="57"/>
    </row>
    <row r="780" spans="1:27" ht="15.75" customHeight="1">
      <c r="A780" s="9"/>
      <c r="D780" s="203"/>
      <c r="E780" s="31"/>
      <c r="I780" s="132"/>
      <c r="J780" s="132"/>
      <c r="K780" s="221"/>
      <c r="L780" s="132"/>
      <c r="N780" s="10"/>
      <c r="O780" s="223"/>
      <c r="P780" s="22"/>
      <c r="Q780" s="22"/>
      <c r="T780" s="132"/>
      <c r="W780" s="22"/>
      <c r="X780" s="224"/>
      <c r="Z780" s="50"/>
      <c r="AA780" s="57"/>
    </row>
    <row r="781" spans="1:27" ht="15.75" customHeight="1">
      <c r="A781" s="9"/>
      <c r="D781" s="203"/>
      <c r="E781" s="31"/>
      <c r="I781" s="132"/>
      <c r="J781" s="132"/>
      <c r="K781" s="221"/>
      <c r="L781" s="132"/>
      <c r="N781" s="10"/>
      <c r="O781" s="223"/>
      <c r="P781" s="22"/>
      <c r="Q781" s="22"/>
      <c r="T781" s="132"/>
      <c r="W781" s="22"/>
      <c r="X781" s="224"/>
      <c r="Z781" s="50"/>
      <c r="AA781" s="57"/>
    </row>
    <row r="782" spans="1:27" ht="15.75" customHeight="1">
      <c r="A782" s="9"/>
      <c r="D782" s="203"/>
      <c r="E782" s="31"/>
      <c r="I782" s="132"/>
      <c r="J782" s="132"/>
      <c r="K782" s="221"/>
      <c r="L782" s="132"/>
      <c r="N782" s="10"/>
      <c r="O782" s="223"/>
      <c r="P782" s="22"/>
      <c r="Q782" s="22"/>
      <c r="T782" s="132"/>
      <c r="W782" s="22"/>
      <c r="X782" s="224"/>
      <c r="Z782" s="50"/>
      <c r="AA782" s="57"/>
    </row>
    <row r="783" spans="1:27" ht="15.75" customHeight="1">
      <c r="A783" s="9"/>
      <c r="D783" s="203"/>
      <c r="E783" s="31"/>
      <c r="I783" s="132"/>
      <c r="J783" s="132"/>
      <c r="K783" s="221"/>
      <c r="L783" s="132"/>
      <c r="N783" s="10"/>
      <c r="O783" s="223"/>
      <c r="P783" s="22"/>
      <c r="Q783" s="22"/>
      <c r="T783" s="132"/>
      <c r="W783" s="22"/>
      <c r="X783" s="224"/>
      <c r="Z783" s="50"/>
      <c r="AA783" s="57"/>
    </row>
    <row r="784" spans="1:27" ht="15.75" customHeight="1">
      <c r="A784" s="9"/>
      <c r="D784" s="203"/>
      <c r="E784" s="31"/>
      <c r="I784" s="132"/>
      <c r="J784" s="132"/>
      <c r="K784" s="221"/>
      <c r="L784" s="132"/>
      <c r="N784" s="10"/>
      <c r="O784" s="223"/>
      <c r="P784" s="22"/>
      <c r="Q784" s="22"/>
      <c r="T784" s="132"/>
      <c r="W784" s="22"/>
      <c r="X784" s="224"/>
      <c r="Z784" s="50"/>
      <c r="AA784" s="57"/>
    </row>
    <row r="785" spans="1:27" ht="15.75" customHeight="1">
      <c r="A785" s="9"/>
      <c r="D785" s="203"/>
      <c r="E785" s="31"/>
      <c r="I785" s="132"/>
      <c r="J785" s="132"/>
      <c r="K785" s="221"/>
      <c r="L785" s="132"/>
      <c r="N785" s="10"/>
      <c r="O785" s="223"/>
      <c r="P785" s="22"/>
      <c r="Q785" s="22"/>
      <c r="T785" s="132"/>
      <c r="W785" s="22"/>
      <c r="X785" s="224"/>
      <c r="Z785" s="50"/>
      <c r="AA785" s="57"/>
    </row>
    <row r="786" spans="1:27" ht="15.75" customHeight="1">
      <c r="A786" s="9"/>
      <c r="D786" s="203"/>
      <c r="E786" s="31"/>
      <c r="I786" s="132"/>
      <c r="J786" s="132"/>
      <c r="K786" s="221"/>
      <c r="L786" s="132"/>
      <c r="N786" s="10"/>
      <c r="O786" s="223"/>
      <c r="P786" s="22"/>
      <c r="Q786" s="22"/>
      <c r="T786" s="132"/>
      <c r="W786" s="22"/>
      <c r="X786" s="224"/>
      <c r="Z786" s="50"/>
      <c r="AA786" s="57"/>
    </row>
    <row r="787" spans="1:27" ht="15.75" customHeight="1">
      <c r="A787" s="9"/>
      <c r="D787" s="203"/>
      <c r="E787" s="31"/>
      <c r="I787" s="132"/>
      <c r="J787" s="132"/>
      <c r="K787" s="221"/>
      <c r="L787" s="132"/>
      <c r="N787" s="10"/>
      <c r="O787" s="223"/>
      <c r="P787" s="22"/>
      <c r="Q787" s="22"/>
      <c r="T787" s="132"/>
      <c r="W787" s="22"/>
      <c r="X787" s="224"/>
      <c r="Z787" s="50"/>
      <c r="AA787" s="57"/>
    </row>
    <row r="788" spans="1:27" ht="15.75" customHeight="1">
      <c r="A788" s="9"/>
      <c r="D788" s="203"/>
      <c r="E788" s="31"/>
      <c r="I788" s="132"/>
      <c r="J788" s="132"/>
      <c r="K788" s="221"/>
      <c r="L788" s="132"/>
      <c r="N788" s="10"/>
      <c r="O788" s="223"/>
      <c r="P788" s="22"/>
      <c r="Q788" s="22"/>
      <c r="T788" s="132"/>
      <c r="W788" s="22"/>
      <c r="X788" s="224"/>
      <c r="Z788" s="50"/>
      <c r="AA788" s="57"/>
    </row>
    <row r="789" spans="1:27" ht="15.75" customHeight="1">
      <c r="A789" s="9"/>
      <c r="D789" s="203"/>
      <c r="E789" s="31"/>
      <c r="I789" s="132"/>
      <c r="J789" s="132"/>
      <c r="K789" s="221"/>
      <c r="L789" s="132"/>
      <c r="N789" s="10"/>
      <c r="O789" s="223"/>
      <c r="P789" s="22"/>
      <c r="Q789" s="22"/>
      <c r="T789" s="132"/>
      <c r="W789" s="22"/>
      <c r="X789" s="224"/>
      <c r="Z789" s="50"/>
      <c r="AA789" s="57"/>
    </row>
    <row r="790" spans="1:27" ht="15.75" customHeight="1">
      <c r="A790" s="9"/>
      <c r="D790" s="203"/>
      <c r="E790" s="31"/>
      <c r="I790" s="132"/>
      <c r="J790" s="132"/>
      <c r="K790" s="221"/>
      <c r="L790" s="132"/>
      <c r="N790" s="10"/>
      <c r="O790" s="223"/>
      <c r="P790" s="22"/>
      <c r="Q790" s="22"/>
      <c r="T790" s="132"/>
      <c r="W790" s="22"/>
      <c r="X790" s="224"/>
      <c r="Z790" s="50"/>
      <c r="AA790" s="57"/>
    </row>
    <row r="791" spans="1:27" ht="15.75" customHeight="1">
      <c r="A791" s="9"/>
      <c r="D791" s="203"/>
      <c r="E791" s="31"/>
      <c r="I791" s="132"/>
      <c r="J791" s="132"/>
      <c r="K791" s="221"/>
      <c r="L791" s="132"/>
      <c r="N791" s="10"/>
      <c r="O791" s="223"/>
      <c r="P791" s="22"/>
      <c r="Q791" s="22"/>
      <c r="T791" s="132"/>
      <c r="W791" s="22"/>
      <c r="X791" s="224"/>
      <c r="Z791" s="50"/>
      <c r="AA791" s="57"/>
    </row>
    <row r="792" spans="1:27" ht="15.75" customHeight="1">
      <c r="A792" s="9"/>
      <c r="D792" s="203"/>
      <c r="E792" s="31"/>
      <c r="I792" s="132"/>
      <c r="J792" s="132"/>
      <c r="K792" s="221"/>
      <c r="L792" s="132"/>
      <c r="N792" s="10"/>
      <c r="O792" s="223"/>
      <c r="P792" s="22"/>
      <c r="Q792" s="22"/>
      <c r="T792" s="132"/>
      <c r="W792" s="22"/>
      <c r="X792" s="224"/>
      <c r="Z792" s="50"/>
      <c r="AA792" s="57"/>
    </row>
    <row r="793" spans="1:27" ht="15.75" customHeight="1">
      <c r="A793" s="9"/>
      <c r="D793" s="203"/>
      <c r="E793" s="31"/>
      <c r="I793" s="132"/>
      <c r="J793" s="132"/>
      <c r="K793" s="221"/>
      <c r="L793" s="132"/>
      <c r="N793" s="10"/>
      <c r="O793" s="223"/>
      <c r="P793" s="22"/>
      <c r="Q793" s="22"/>
      <c r="T793" s="132"/>
      <c r="W793" s="22"/>
      <c r="X793" s="224"/>
      <c r="Z793" s="50"/>
      <c r="AA793" s="57"/>
    </row>
    <row r="794" spans="1:27" ht="15.75" customHeight="1">
      <c r="A794" s="9"/>
      <c r="D794" s="203"/>
      <c r="E794" s="31"/>
      <c r="I794" s="132"/>
      <c r="J794" s="132"/>
      <c r="K794" s="221"/>
      <c r="L794" s="132"/>
      <c r="N794" s="10"/>
      <c r="O794" s="223"/>
      <c r="P794" s="22"/>
      <c r="Q794" s="22"/>
      <c r="T794" s="132"/>
      <c r="W794" s="22"/>
      <c r="X794" s="224"/>
      <c r="Z794" s="50"/>
      <c r="AA794" s="57"/>
    </row>
    <row r="795" spans="1:27" ht="15.75" customHeight="1">
      <c r="A795" s="9"/>
      <c r="D795" s="203"/>
      <c r="E795" s="31"/>
      <c r="I795" s="132"/>
      <c r="J795" s="132"/>
      <c r="K795" s="221"/>
      <c r="L795" s="132"/>
      <c r="N795" s="10"/>
      <c r="O795" s="223"/>
      <c r="P795" s="22"/>
      <c r="Q795" s="22"/>
      <c r="T795" s="132"/>
      <c r="W795" s="22"/>
      <c r="X795" s="224"/>
      <c r="Z795" s="50"/>
      <c r="AA795" s="57"/>
    </row>
    <row r="796" spans="1:27" ht="15.75" customHeight="1">
      <c r="A796" s="9"/>
      <c r="D796" s="203"/>
      <c r="E796" s="31"/>
      <c r="I796" s="132"/>
      <c r="J796" s="132"/>
      <c r="K796" s="221"/>
      <c r="L796" s="132"/>
      <c r="N796" s="10"/>
      <c r="O796" s="223"/>
      <c r="P796" s="22"/>
      <c r="Q796" s="22"/>
      <c r="T796" s="132"/>
      <c r="W796" s="22"/>
      <c r="X796" s="224"/>
      <c r="Z796" s="50"/>
      <c r="AA796" s="57"/>
    </row>
    <row r="797" spans="1:27" ht="15.75" customHeight="1">
      <c r="A797" s="9"/>
      <c r="D797" s="203"/>
      <c r="E797" s="31"/>
      <c r="I797" s="132"/>
      <c r="J797" s="132"/>
      <c r="K797" s="221"/>
      <c r="L797" s="132"/>
      <c r="N797" s="10"/>
      <c r="O797" s="223"/>
      <c r="P797" s="22"/>
      <c r="Q797" s="22"/>
      <c r="T797" s="132"/>
      <c r="W797" s="22"/>
      <c r="X797" s="224"/>
      <c r="Z797" s="50"/>
      <c r="AA797" s="57"/>
    </row>
    <row r="798" spans="1:27" ht="15.75" customHeight="1">
      <c r="A798" s="9"/>
      <c r="D798" s="203"/>
      <c r="E798" s="31"/>
      <c r="I798" s="132"/>
      <c r="J798" s="132"/>
      <c r="K798" s="221"/>
      <c r="L798" s="132"/>
      <c r="N798" s="10"/>
      <c r="O798" s="223"/>
      <c r="P798" s="22"/>
      <c r="Q798" s="22"/>
      <c r="T798" s="132"/>
      <c r="W798" s="22"/>
      <c r="X798" s="224"/>
      <c r="Z798" s="50"/>
      <c r="AA798" s="57"/>
    </row>
    <row r="799" spans="1:27" ht="15.75" customHeight="1">
      <c r="A799" s="9"/>
      <c r="D799" s="203"/>
      <c r="E799" s="31"/>
      <c r="I799" s="132"/>
      <c r="J799" s="132"/>
      <c r="K799" s="221"/>
      <c r="L799" s="132"/>
      <c r="N799" s="10"/>
      <c r="O799" s="223"/>
      <c r="P799" s="22"/>
      <c r="Q799" s="22"/>
      <c r="T799" s="132"/>
      <c r="W799" s="22"/>
      <c r="X799" s="224"/>
      <c r="Z799" s="50"/>
      <c r="AA799" s="57"/>
    </row>
    <row r="800" spans="1:27" ht="15.75" customHeight="1">
      <c r="A800" s="9"/>
      <c r="D800" s="203"/>
      <c r="E800" s="31"/>
      <c r="I800" s="132"/>
      <c r="J800" s="132"/>
      <c r="K800" s="221"/>
      <c r="L800" s="132"/>
      <c r="N800" s="10"/>
      <c r="O800" s="223"/>
      <c r="P800" s="22"/>
      <c r="Q800" s="22"/>
      <c r="T800" s="132"/>
      <c r="W800" s="22"/>
      <c r="X800" s="224"/>
      <c r="Z800" s="50"/>
      <c r="AA800" s="57"/>
    </row>
    <row r="801" spans="1:27" ht="15.75" customHeight="1">
      <c r="A801" s="9"/>
      <c r="D801" s="203"/>
      <c r="E801" s="31"/>
      <c r="I801" s="132"/>
      <c r="J801" s="132"/>
      <c r="K801" s="221"/>
      <c r="L801" s="132"/>
      <c r="N801" s="10"/>
      <c r="O801" s="223"/>
      <c r="P801" s="22"/>
      <c r="Q801" s="22"/>
      <c r="T801" s="132"/>
      <c r="W801" s="22"/>
      <c r="X801" s="224"/>
      <c r="Z801" s="50"/>
      <c r="AA801" s="57"/>
    </row>
    <row r="802" spans="1:27" ht="15.75" customHeight="1">
      <c r="A802" s="9"/>
      <c r="D802" s="203"/>
      <c r="E802" s="31"/>
      <c r="I802" s="132"/>
      <c r="J802" s="132"/>
      <c r="K802" s="221"/>
      <c r="L802" s="132"/>
      <c r="N802" s="10"/>
      <c r="O802" s="223"/>
      <c r="P802" s="22"/>
      <c r="Q802" s="22"/>
      <c r="T802" s="132"/>
      <c r="W802" s="22"/>
      <c r="X802" s="224"/>
      <c r="Z802" s="50"/>
      <c r="AA802" s="57"/>
    </row>
    <row r="803" spans="1:27" ht="15.75" customHeight="1">
      <c r="A803" s="9"/>
      <c r="D803" s="203"/>
      <c r="E803" s="31"/>
      <c r="I803" s="132"/>
      <c r="J803" s="132"/>
      <c r="K803" s="221"/>
      <c r="L803" s="132"/>
      <c r="N803" s="10"/>
      <c r="O803" s="223"/>
      <c r="P803" s="22"/>
      <c r="Q803" s="22"/>
      <c r="T803" s="132"/>
      <c r="W803" s="22"/>
      <c r="X803" s="224"/>
      <c r="Z803" s="50"/>
      <c r="AA803" s="57"/>
    </row>
    <row r="804" spans="1:27" ht="15.75" customHeight="1">
      <c r="A804" s="9"/>
      <c r="D804" s="203"/>
      <c r="E804" s="31"/>
      <c r="I804" s="132"/>
      <c r="J804" s="132"/>
      <c r="K804" s="221"/>
      <c r="L804" s="132"/>
      <c r="N804" s="10"/>
      <c r="O804" s="223"/>
      <c r="P804" s="22"/>
      <c r="Q804" s="22"/>
      <c r="T804" s="132"/>
      <c r="W804" s="22"/>
      <c r="X804" s="224"/>
      <c r="Z804" s="50"/>
      <c r="AA804" s="57"/>
    </row>
    <row r="805" spans="1:27" ht="15.75" customHeight="1">
      <c r="A805" s="9"/>
      <c r="D805" s="203"/>
      <c r="E805" s="31"/>
      <c r="I805" s="132"/>
      <c r="J805" s="132"/>
      <c r="K805" s="221"/>
      <c r="L805" s="132"/>
      <c r="N805" s="10"/>
      <c r="O805" s="223"/>
      <c r="P805" s="22"/>
      <c r="Q805" s="22"/>
      <c r="T805" s="132"/>
      <c r="W805" s="22"/>
      <c r="X805" s="224"/>
      <c r="Z805" s="50"/>
      <c r="AA805" s="57"/>
    </row>
    <row r="806" spans="1:27" ht="15.75" customHeight="1">
      <c r="A806" s="9"/>
      <c r="D806" s="203"/>
      <c r="E806" s="31"/>
      <c r="I806" s="132"/>
      <c r="J806" s="132"/>
      <c r="K806" s="221"/>
      <c r="L806" s="132"/>
      <c r="N806" s="10"/>
      <c r="O806" s="223"/>
      <c r="P806" s="22"/>
      <c r="Q806" s="22"/>
      <c r="T806" s="132"/>
      <c r="W806" s="22"/>
      <c r="X806" s="224"/>
      <c r="Z806" s="50"/>
      <c r="AA806" s="57"/>
    </row>
    <row r="807" spans="1:27" ht="15.75" customHeight="1">
      <c r="A807" s="9"/>
      <c r="D807" s="203"/>
      <c r="E807" s="31"/>
      <c r="I807" s="132"/>
      <c r="J807" s="132"/>
      <c r="K807" s="221"/>
      <c r="L807" s="132"/>
      <c r="N807" s="10"/>
      <c r="O807" s="223"/>
      <c r="P807" s="22"/>
      <c r="Q807" s="22"/>
      <c r="T807" s="132"/>
      <c r="W807" s="22"/>
      <c r="X807" s="224"/>
      <c r="Z807" s="50"/>
      <c r="AA807" s="57"/>
    </row>
    <row r="808" spans="1:27" ht="15.75" customHeight="1">
      <c r="A808" s="9"/>
      <c r="D808" s="203"/>
      <c r="E808" s="31"/>
      <c r="I808" s="132"/>
      <c r="J808" s="132"/>
      <c r="K808" s="221"/>
      <c r="L808" s="132"/>
      <c r="N808" s="10"/>
      <c r="O808" s="223"/>
      <c r="P808" s="22"/>
      <c r="Q808" s="22"/>
      <c r="T808" s="132"/>
      <c r="W808" s="22"/>
      <c r="X808" s="224"/>
      <c r="Z808" s="50"/>
      <c r="AA808" s="57"/>
    </row>
    <row r="809" spans="1:27" ht="15.75" customHeight="1">
      <c r="A809" s="9"/>
      <c r="D809" s="203"/>
      <c r="E809" s="31"/>
      <c r="I809" s="132"/>
      <c r="J809" s="132"/>
      <c r="K809" s="221"/>
      <c r="L809" s="132"/>
      <c r="N809" s="10"/>
      <c r="O809" s="223"/>
      <c r="P809" s="22"/>
      <c r="Q809" s="22"/>
      <c r="T809" s="132"/>
      <c r="W809" s="22"/>
      <c r="X809" s="224"/>
      <c r="Z809" s="50"/>
      <c r="AA809" s="57"/>
    </row>
    <row r="810" spans="1:27" ht="15.75" customHeight="1">
      <c r="A810" s="9"/>
      <c r="D810" s="203"/>
      <c r="E810" s="31"/>
      <c r="I810" s="132"/>
      <c r="J810" s="132"/>
      <c r="K810" s="221"/>
      <c r="L810" s="132"/>
      <c r="N810" s="10"/>
      <c r="O810" s="223"/>
      <c r="P810" s="22"/>
      <c r="Q810" s="22"/>
      <c r="T810" s="132"/>
      <c r="W810" s="22"/>
      <c r="X810" s="224"/>
      <c r="Z810" s="50"/>
      <c r="AA810" s="57"/>
    </row>
    <row r="811" spans="1:27" ht="15.75" customHeight="1">
      <c r="A811" s="9"/>
      <c r="D811" s="203"/>
      <c r="E811" s="31"/>
      <c r="I811" s="132"/>
      <c r="J811" s="132"/>
      <c r="K811" s="221"/>
      <c r="L811" s="132"/>
      <c r="N811" s="10"/>
      <c r="O811" s="223"/>
      <c r="P811" s="22"/>
      <c r="Q811" s="22"/>
      <c r="T811" s="132"/>
      <c r="W811" s="22"/>
      <c r="X811" s="224"/>
      <c r="Z811" s="50"/>
      <c r="AA811" s="57"/>
    </row>
    <row r="812" spans="1:27" ht="15.75" customHeight="1">
      <c r="A812" s="9"/>
      <c r="D812" s="203"/>
      <c r="E812" s="31"/>
      <c r="I812" s="132"/>
      <c r="J812" s="132"/>
      <c r="K812" s="221"/>
      <c r="L812" s="132"/>
      <c r="N812" s="10"/>
      <c r="O812" s="223"/>
      <c r="P812" s="22"/>
      <c r="Q812" s="22"/>
      <c r="T812" s="132"/>
      <c r="W812" s="22"/>
      <c r="X812" s="224"/>
      <c r="Z812" s="50"/>
      <c r="AA812" s="57"/>
    </row>
    <row r="813" spans="1:27" ht="15.75" customHeight="1">
      <c r="A813" s="9"/>
      <c r="D813" s="203"/>
      <c r="E813" s="31"/>
      <c r="I813" s="132"/>
      <c r="J813" s="132"/>
      <c r="K813" s="221"/>
      <c r="L813" s="132"/>
      <c r="N813" s="10"/>
      <c r="O813" s="223"/>
      <c r="P813" s="22"/>
      <c r="Q813" s="22"/>
      <c r="T813" s="132"/>
      <c r="W813" s="22"/>
      <c r="X813" s="224"/>
      <c r="Z813" s="50"/>
      <c r="AA813" s="57"/>
    </row>
    <row r="814" spans="1:27" ht="15.75" customHeight="1">
      <c r="A814" s="9"/>
      <c r="D814" s="203"/>
      <c r="E814" s="31"/>
      <c r="I814" s="132"/>
      <c r="J814" s="132"/>
      <c r="K814" s="221"/>
      <c r="L814" s="132"/>
      <c r="N814" s="10"/>
      <c r="O814" s="223"/>
      <c r="P814" s="22"/>
      <c r="Q814" s="22"/>
      <c r="T814" s="132"/>
      <c r="W814" s="22"/>
      <c r="X814" s="224"/>
      <c r="Z814" s="50"/>
      <c r="AA814" s="57"/>
    </row>
    <row r="815" spans="1:27" ht="15.75" customHeight="1">
      <c r="A815" s="9"/>
      <c r="D815" s="203"/>
      <c r="E815" s="31"/>
      <c r="I815" s="132"/>
      <c r="J815" s="132"/>
      <c r="K815" s="221"/>
      <c r="L815" s="132"/>
      <c r="N815" s="10"/>
      <c r="O815" s="223"/>
      <c r="P815" s="22"/>
      <c r="Q815" s="22"/>
      <c r="T815" s="132"/>
      <c r="W815" s="22"/>
      <c r="X815" s="224"/>
      <c r="Z815" s="50"/>
      <c r="AA815" s="57"/>
    </row>
    <row r="816" spans="1:27" ht="15.75" customHeight="1">
      <c r="A816" s="9"/>
      <c r="D816" s="203"/>
      <c r="E816" s="31"/>
      <c r="I816" s="132"/>
      <c r="J816" s="132"/>
      <c r="K816" s="221"/>
      <c r="L816" s="132"/>
      <c r="N816" s="10"/>
      <c r="O816" s="223"/>
      <c r="P816" s="22"/>
      <c r="Q816" s="22"/>
      <c r="T816" s="132"/>
      <c r="W816" s="22"/>
      <c r="X816" s="224"/>
      <c r="Z816" s="50"/>
      <c r="AA816" s="57"/>
    </row>
    <row r="817" spans="1:27" ht="15.75" customHeight="1">
      <c r="A817" s="9"/>
      <c r="D817" s="203"/>
      <c r="E817" s="31"/>
      <c r="I817" s="132"/>
      <c r="J817" s="132"/>
      <c r="K817" s="221"/>
      <c r="L817" s="132"/>
      <c r="N817" s="10"/>
      <c r="O817" s="223"/>
      <c r="P817" s="22"/>
      <c r="Q817" s="22"/>
      <c r="T817" s="132"/>
      <c r="W817" s="22"/>
      <c r="X817" s="224"/>
      <c r="Z817" s="50"/>
      <c r="AA817" s="57"/>
    </row>
    <row r="818" spans="1:27" ht="15.75" customHeight="1">
      <c r="A818" s="9"/>
      <c r="D818" s="203"/>
      <c r="E818" s="31"/>
      <c r="I818" s="132"/>
      <c r="J818" s="132"/>
      <c r="K818" s="221"/>
      <c r="L818" s="132"/>
      <c r="N818" s="10"/>
      <c r="O818" s="223"/>
      <c r="P818" s="22"/>
      <c r="Q818" s="22"/>
      <c r="T818" s="132"/>
      <c r="W818" s="22"/>
      <c r="X818" s="224"/>
      <c r="Z818" s="50"/>
      <c r="AA818" s="57"/>
    </row>
    <row r="819" spans="1:27" ht="15.75" customHeight="1">
      <c r="A819" s="9"/>
      <c r="D819" s="203"/>
      <c r="E819" s="31"/>
      <c r="I819" s="132"/>
      <c r="J819" s="132"/>
      <c r="K819" s="221"/>
      <c r="L819" s="132"/>
      <c r="N819" s="10"/>
      <c r="O819" s="223"/>
      <c r="P819" s="22"/>
      <c r="Q819" s="22"/>
      <c r="T819" s="132"/>
      <c r="W819" s="22"/>
      <c r="X819" s="224"/>
      <c r="Z819" s="50"/>
      <c r="AA819" s="57"/>
    </row>
    <row r="820" spans="1:27" ht="15.75" customHeight="1">
      <c r="A820" s="9"/>
      <c r="D820" s="203"/>
      <c r="E820" s="31"/>
      <c r="I820" s="132"/>
      <c r="J820" s="132"/>
      <c r="K820" s="221"/>
      <c r="L820" s="132"/>
      <c r="N820" s="10"/>
      <c r="O820" s="223"/>
      <c r="P820" s="22"/>
      <c r="Q820" s="22"/>
      <c r="T820" s="132"/>
      <c r="W820" s="22"/>
      <c r="X820" s="224"/>
      <c r="Z820" s="50"/>
      <c r="AA820" s="57"/>
    </row>
    <row r="821" spans="1:27" ht="15.75" customHeight="1">
      <c r="A821" s="9"/>
      <c r="D821" s="203"/>
      <c r="E821" s="31"/>
      <c r="I821" s="132"/>
      <c r="J821" s="132"/>
      <c r="K821" s="221"/>
      <c r="L821" s="132"/>
      <c r="N821" s="10"/>
      <c r="O821" s="223"/>
      <c r="P821" s="22"/>
      <c r="Q821" s="22"/>
      <c r="T821" s="132"/>
      <c r="W821" s="22"/>
      <c r="X821" s="224"/>
      <c r="Z821" s="50"/>
      <c r="AA821" s="57"/>
    </row>
    <row r="822" spans="1:27" ht="15.75" customHeight="1">
      <c r="A822" s="9"/>
      <c r="D822" s="203"/>
      <c r="E822" s="31"/>
      <c r="I822" s="132"/>
      <c r="J822" s="132"/>
      <c r="K822" s="221"/>
      <c r="L822" s="132"/>
      <c r="N822" s="10"/>
      <c r="O822" s="223"/>
      <c r="P822" s="22"/>
      <c r="Q822" s="22"/>
      <c r="T822" s="132"/>
      <c r="W822" s="22"/>
      <c r="X822" s="224"/>
      <c r="Z822" s="50"/>
      <c r="AA822" s="57"/>
    </row>
    <row r="823" spans="1:27" ht="15.75" customHeight="1">
      <c r="A823" s="9"/>
      <c r="D823" s="203"/>
      <c r="E823" s="31"/>
      <c r="I823" s="132"/>
      <c r="J823" s="132"/>
      <c r="K823" s="221"/>
      <c r="L823" s="132"/>
      <c r="N823" s="10"/>
      <c r="O823" s="223"/>
      <c r="P823" s="22"/>
      <c r="Q823" s="22"/>
      <c r="T823" s="132"/>
      <c r="W823" s="22"/>
      <c r="X823" s="224"/>
      <c r="Z823" s="50"/>
      <c r="AA823" s="57"/>
    </row>
    <row r="824" spans="1:27" ht="15.75" customHeight="1">
      <c r="A824" s="9"/>
      <c r="D824" s="203"/>
      <c r="E824" s="31"/>
      <c r="I824" s="132"/>
      <c r="J824" s="132"/>
      <c r="K824" s="221"/>
      <c r="L824" s="132"/>
      <c r="N824" s="10"/>
      <c r="O824" s="223"/>
      <c r="P824" s="22"/>
      <c r="Q824" s="22"/>
      <c r="T824" s="132"/>
      <c r="W824" s="22"/>
      <c r="X824" s="224"/>
      <c r="Z824" s="50"/>
      <c r="AA824" s="57"/>
    </row>
    <row r="825" spans="1:27" ht="15.75" customHeight="1">
      <c r="A825" s="9"/>
      <c r="D825" s="203"/>
      <c r="E825" s="31"/>
      <c r="I825" s="132"/>
      <c r="J825" s="132"/>
      <c r="K825" s="221"/>
      <c r="L825" s="132"/>
      <c r="N825" s="10"/>
      <c r="O825" s="223"/>
      <c r="P825" s="22"/>
      <c r="Q825" s="22"/>
      <c r="T825" s="132"/>
      <c r="W825" s="22"/>
      <c r="X825" s="224"/>
      <c r="Z825" s="50"/>
      <c r="AA825" s="57"/>
    </row>
    <row r="826" spans="1:27" ht="15.75" customHeight="1">
      <c r="A826" s="9"/>
      <c r="D826" s="203"/>
      <c r="E826" s="31"/>
      <c r="I826" s="132"/>
      <c r="J826" s="132"/>
      <c r="K826" s="221"/>
      <c r="L826" s="132"/>
      <c r="N826" s="10"/>
      <c r="O826" s="223"/>
      <c r="P826" s="22"/>
      <c r="Q826" s="22"/>
      <c r="T826" s="132"/>
      <c r="W826" s="22"/>
      <c r="X826" s="224"/>
      <c r="Z826" s="50"/>
      <c r="AA826" s="57"/>
    </row>
    <row r="827" spans="1:27" ht="15.75" customHeight="1">
      <c r="A827" s="9"/>
      <c r="D827" s="203"/>
      <c r="E827" s="31"/>
      <c r="I827" s="132"/>
      <c r="J827" s="132"/>
      <c r="K827" s="221"/>
      <c r="L827" s="132"/>
      <c r="N827" s="10"/>
      <c r="O827" s="223"/>
      <c r="P827" s="22"/>
      <c r="Q827" s="22"/>
      <c r="T827" s="132"/>
      <c r="W827" s="22"/>
      <c r="X827" s="224"/>
      <c r="Z827" s="50"/>
      <c r="AA827" s="57"/>
    </row>
    <row r="828" spans="1:27" ht="15.75" customHeight="1">
      <c r="A828" s="9"/>
      <c r="D828" s="203"/>
      <c r="E828" s="31"/>
      <c r="I828" s="132"/>
      <c r="J828" s="132"/>
      <c r="K828" s="221"/>
      <c r="L828" s="132"/>
      <c r="N828" s="10"/>
      <c r="O828" s="223"/>
      <c r="P828" s="22"/>
      <c r="Q828" s="22"/>
      <c r="T828" s="132"/>
      <c r="W828" s="22"/>
      <c r="X828" s="224"/>
      <c r="Z828" s="50"/>
      <c r="AA828" s="57"/>
    </row>
    <row r="829" spans="1:27" ht="15.75" customHeight="1">
      <c r="A829" s="9"/>
      <c r="D829" s="203"/>
      <c r="E829" s="31"/>
      <c r="I829" s="132"/>
      <c r="J829" s="132"/>
      <c r="K829" s="221"/>
      <c r="L829" s="132"/>
      <c r="N829" s="10"/>
      <c r="O829" s="223"/>
      <c r="P829" s="22"/>
      <c r="Q829" s="22"/>
      <c r="T829" s="132"/>
      <c r="W829" s="22"/>
      <c r="X829" s="224"/>
      <c r="Z829" s="50"/>
      <c r="AA829" s="57"/>
    </row>
    <row r="830" spans="1:27" ht="15.75" customHeight="1">
      <c r="A830" s="9"/>
      <c r="D830" s="203"/>
      <c r="E830" s="31"/>
      <c r="I830" s="132"/>
      <c r="J830" s="132"/>
      <c r="K830" s="221"/>
      <c r="L830" s="132"/>
      <c r="N830" s="10"/>
      <c r="O830" s="223"/>
      <c r="P830" s="22"/>
      <c r="Q830" s="22"/>
      <c r="T830" s="132"/>
      <c r="W830" s="22"/>
      <c r="X830" s="224"/>
      <c r="Z830" s="50"/>
      <c r="AA830" s="57"/>
    </row>
    <row r="831" spans="1:27" ht="15.75" customHeight="1">
      <c r="A831" s="9"/>
      <c r="D831" s="203"/>
      <c r="E831" s="31"/>
      <c r="I831" s="132"/>
      <c r="J831" s="132"/>
      <c r="K831" s="221"/>
      <c r="L831" s="132"/>
      <c r="N831" s="10"/>
      <c r="O831" s="223"/>
      <c r="P831" s="22"/>
      <c r="Q831" s="22"/>
      <c r="T831" s="132"/>
      <c r="W831" s="22"/>
      <c r="X831" s="224"/>
      <c r="Z831" s="50"/>
      <c r="AA831" s="57"/>
    </row>
    <row r="832" spans="1:27" ht="15.75" customHeight="1">
      <c r="A832" s="9"/>
      <c r="D832" s="203"/>
      <c r="E832" s="31"/>
      <c r="I832" s="132"/>
      <c r="J832" s="132"/>
      <c r="K832" s="221"/>
      <c r="L832" s="132"/>
      <c r="N832" s="10"/>
      <c r="O832" s="223"/>
      <c r="P832" s="22"/>
      <c r="Q832" s="22"/>
      <c r="T832" s="132"/>
      <c r="W832" s="22"/>
      <c r="X832" s="224"/>
      <c r="Z832" s="50"/>
      <c r="AA832" s="57"/>
    </row>
    <row r="833" spans="1:27" ht="15.75" customHeight="1">
      <c r="A833" s="9"/>
      <c r="D833" s="203"/>
      <c r="E833" s="31"/>
      <c r="I833" s="132"/>
      <c r="J833" s="132"/>
      <c r="K833" s="221"/>
      <c r="L833" s="132"/>
      <c r="N833" s="10"/>
      <c r="O833" s="223"/>
      <c r="P833" s="22"/>
      <c r="Q833" s="22"/>
      <c r="T833" s="132"/>
      <c r="W833" s="22"/>
      <c r="X833" s="224"/>
      <c r="Z833" s="50"/>
      <c r="AA833" s="57"/>
    </row>
    <row r="834" spans="1:27" ht="15.75" customHeight="1">
      <c r="A834" s="9"/>
      <c r="D834" s="203"/>
      <c r="E834" s="31"/>
      <c r="I834" s="132"/>
      <c r="J834" s="132"/>
      <c r="K834" s="221"/>
      <c r="L834" s="132"/>
      <c r="N834" s="10"/>
      <c r="O834" s="223"/>
      <c r="P834" s="22"/>
      <c r="Q834" s="22"/>
      <c r="T834" s="132"/>
      <c r="W834" s="22"/>
      <c r="X834" s="224"/>
      <c r="Z834" s="50"/>
      <c r="AA834" s="57"/>
    </row>
    <row r="835" spans="1:27" ht="15.75" customHeight="1">
      <c r="A835" s="9"/>
      <c r="D835" s="203"/>
      <c r="E835" s="31"/>
      <c r="I835" s="132"/>
      <c r="J835" s="132"/>
      <c r="K835" s="221"/>
      <c r="L835" s="132"/>
      <c r="N835" s="10"/>
      <c r="O835" s="223"/>
      <c r="P835" s="22"/>
      <c r="Q835" s="22"/>
      <c r="T835" s="132"/>
      <c r="W835" s="22"/>
      <c r="X835" s="224"/>
      <c r="Z835" s="50"/>
      <c r="AA835" s="57"/>
    </row>
    <row r="836" spans="1:27" ht="15.75" customHeight="1">
      <c r="A836" s="9"/>
      <c r="D836" s="203"/>
      <c r="E836" s="31"/>
      <c r="I836" s="132"/>
      <c r="J836" s="132"/>
      <c r="K836" s="221"/>
      <c r="L836" s="132"/>
      <c r="N836" s="10"/>
      <c r="O836" s="223"/>
      <c r="P836" s="22"/>
      <c r="Q836" s="22"/>
      <c r="T836" s="132"/>
      <c r="W836" s="22"/>
      <c r="X836" s="224"/>
      <c r="Z836" s="50"/>
      <c r="AA836" s="57"/>
    </row>
    <row r="837" spans="1:27" ht="15.75" customHeight="1">
      <c r="A837" s="9"/>
      <c r="D837" s="203"/>
      <c r="E837" s="31"/>
      <c r="I837" s="132"/>
      <c r="J837" s="132"/>
      <c r="K837" s="221"/>
      <c r="L837" s="132"/>
      <c r="N837" s="10"/>
      <c r="O837" s="223"/>
      <c r="P837" s="22"/>
      <c r="Q837" s="22"/>
      <c r="T837" s="132"/>
      <c r="W837" s="22"/>
      <c r="X837" s="224"/>
      <c r="Z837" s="50"/>
      <c r="AA837" s="57"/>
    </row>
    <row r="838" spans="1:27" ht="15.75" customHeight="1">
      <c r="A838" s="9"/>
      <c r="D838" s="203"/>
      <c r="E838" s="31"/>
      <c r="I838" s="132"/>
      <c r="J838" s="132"/>
      <c r="K838" s="221"/>
      <c r="L838" s="132"/>
      <c r="N838" s="10"/>
      <c r="O838" s="223"/>
      <c r="P838" s="22"/>
      <c r="Q838" s="22"/>
      <c r="T838" s="132"/>
      <c r="W838" s="22"/>
      <c r="X838" s="224"/>
      <c r="Z838" s="50"/>
      <c r="AA838" s="57"/>
    </row>
    <row r="839" spans="1:27" ht="15.75" customHeight="1">
      <c r="A839" s="9"/>
      <c r="D839" s="203"/>
      <c r="E839" s="31"/>
      <c r="I839" s="132"/>
      <c r="J839" s="132"/>
      <c r="K839" s="221"/>
      <c r="L839" s="132"/>
      <c r="N839" s="10"/>
      <c r="O839" s="223"/>
      <c r="P839" s="22"/>
      <c r="Q839" s="22"/>
      <c r="T839" s="132"/>
      <c r="W839" s="22"/>
      <c r="X839" s="224"/>
      <c r="Z839" s="50"/>
      <c r="AA839" s="57"/>
    </row>
    <row r="840" spans="1:27" ht="15.75" customHeight="1">
      <c r="A840" s="9"/>
      <c r="D840" s="203"/>
      <c r="E840" s="31"/>
      <c r="I840" s="132"/>
      <c r="J840" s="132"/>
      <c r="K840" s="221"/>
      <c r="L840" s="132"/>
      <c r="N840" s="10"/>
      <c r="O840" s="223"/>
      <c r="P840" s="22"/>
      <c r="Q840" s="22"/>
      <c r="T840" s="132"/>
      <c r="W840" s="22"/>
      <c r="X840" s="224"/>
      <c r="Z840" s="50"/>
      <c r="AA840" s="57"/>
    </row>
    <row r="841" spans="1:27" ht="15.75" customHeight="1">
      <c r="A841" s="9"/>
      <c r="D841" s="203"/>
      <c r="E841" s="31"/>
      <c r="I841" s="132"/>
      <c r="J841" s="132"/>
      <c r="K841" s="221"/>
      <c r="L841" s="132"/>
      <c r="N841" s="10"/>
      <c r="O841" s="223"/>
      <c r="P841" s="22"/>
      <c r="Q841" s="22"/>
      <c r="T841" s="132"/>
      <c r="W841" s="22"/>
      <c r="X841" s="224"/>
      <c r="Z841" s="50"/>
      <c r="AA841" s="57"/>
    </row>
    <row r="842" spans="1:27" ht="15.75" customHeight="1">
      <c r="A842" s="9"/>
      <c r="D842" s="203"/>
      <c r="E842" s="31"/>
      <c r="I842" s="132"/>
      <c r="J842" s="132"/>
      <c r="K842" s="221"/>
      <c r="L842" s="132"/>
      <c r="N842" s="10"/>
      <c r="O842" s="223"/>
      <c r="P842" s="22"/>
      <c r="Q842" s="22"/>
      <c r="T842" s="132"/>
      <c r="W842" s="22"/>
      <c r="X842" s="224"/>
      <c r="Z842" s="50"/>
      <c r="AA842" s="57"/>
    </row>
    <row r="843" spans="1:27" ht="15.75" customHeight="1">
      <c r="A843" s="9"/>
      <c r="D843" s="203"/>
      <c r="E843" s="31"/>
      <c r="I843" s="132"/>
      <c r="J843" s="132"/>
      <c r="K843" s="221"/>
      <c r="L843" s="132"/>
      <c r="N843" s="10"/>
      <c r="O843" s="223"/>
      <c r="P843" s="22"/>
      <c r="Q843" s="22"/>
      <c r="T843" s="132"/>
      <c r="W843" s="22"/>
      <c r="X843" s="224"/>
      <c r="Z843" s="50"/>
      <c r="AA843" s="57"/>
    </row>
    <row r="844" spans="1:27" ht="15.75" customHeight="1">
      <c r="A844" s="9"/>
      <c r="D844" s="203"/>
      <c r="E844" s="31"/>
      <c r="I844" s="132"/>
      <c r="J844" s="132"/>
      <c r="K844" s="221"/>
      <c r="L844" s="132"/>
      <c r="N844" s="10"/>
      <c r="O844" s="223"/>
      <c r="P844" s="22"/>
      <c r="Q844" s="22"/>
      <c r="T844" s="132"/>
      <c r="W844" s="22"/>
      <c r="X844" s="224"/>
      <c r="Z844" s="50"/>
      <c r="AA844" s="57"/>
    </row>
    <row r="845" spans="1:27" ht="15.75" customHeight="1">
      <c r="A845" s="9"/>
      <c r="D845" s="203"/>
      <c r="E845" s="31"/>
      <c r="I845" s="132"/>
      <c r="J845" s="132"/>
      <c r="K845" s="221"/>
      <c r="L845" s="132"/>
      <c r="N845" s="10"/>
      <c r="O845" s="223"/>
      <c r="P845" s="22"/>
      <c r="Q845" s="22"/>
      <c r="T845" s="132"/>
      <c r="W845" s="22"/>
      <c r="X845" s="224"/>
      <c r="Z845" s="50"/>
      <c r="AA845" s="57"/>
    </row>
    <row r="846" spans="1:27" ht="15.75" customHeight="1">
      <c r="A846" s="9"/>
      <c r="D846" s="203"/>
      <c r="E846" s="31"/>
      <c r="I846" s="132"/>
      <c r="J846" s="132"/>
      <c r="K846" s="221"/>
      <c r="L846" s="132"/>
      <c r="N846" s="10"/>
      <c r="O846" s="223"/>
      <c r="P846" s="22"/>
      <c r="Q846" s="22"/>
      <c r="T846" s="132"/>
      <c r="W846" s="22"/>
      <c r="X846" s="224"/>
      <c r="Z846" s="50"/>
      <c r="AA846" s="57"/>
    </row>
    <row r="847" spans="1:27" ht="15.75" customHeight="1">
      <c r="A847" s="9"/>
      <c r="D847" s="203"/>
      <c r="E847" s="31"/>
      <c r="I847" s="132"/>
      <c r="J847" s="132"/>
      <c r="K847" s="221"/>
      <c r="L847" s="132"/>
      <c r="N847" s="10"/>
      <c r="O847" s="223"/>
      <c r="P847" s="22"/>
      <c r="Q847" s="22"/>
      <c r="T847" s="132"/>
      <c r="W847" s="22"/>
      <c r="X847" s="224"/>
      <c r="Z847" s="50"/>
      <c r="AA847" s="57"/>
    </row>
    <row r="848" spans="1:27" ht="15.75" customHeight="1">
      <c r="A848" s="9"/>
      <c r="D848" s="203"/>
      <c r="E848" s="31"/>
      <c r="I848" s="132"/>
      <c r="J848" s="132"/>
      <c r="K848" s="221"/>
      <c r="L848" s="132"/>
      <c r="N848" s="10"/>
      <c r="O848" s="223"/>
      <c r="P848" s="22"/>
      <c r="Q848" s="22"/>
      <c r="T848" s="132"/>
      <c r="W848" s="22"/>
      <c r="X848" s="224"/>
      <c r="Z848" s="50"/>
      <c r="AA848" s="57"/>
    </row>
    <row r="849" spans="1:27" ht="15.75" customHeight="1">
      <c r="A849" s="9"/>
      <c r="D849" s="203"/>
      <c r="E849" s="31"/>
      <c r="I849" s="132"/>
      <c r="J849" s="132"/>
      <c r="K849" s="221"/>
      <c r="L849" s="132"/>
      <c r="N849" s="10"/>
      <c r="O849" s="223"/>
      <c r="P849" s="22"/>
      <c r="Q849" s="22"/>
      <c r="T849" s="132"/>
      <c r="W849" s="22"/>
      <c r="X849" s="224"/>
      <c r="Z849" s="50"/>
      <c r="AA849" s="57"/>
    </row>
    <row r="850" spans="1:27" ht="15.75" customHeight="1">
      <c r="A850" s="9"/>
      <c r="D850" s="203"/>
      <c r="E850" s="31"/>
      <c r="I850" s="132"/>
      <c r="J850" s="132"/>
      <c r="K850" s="221"/>
      <c r="L850" s="132"/>
      <c r="N850" s="10"/>
      <c r="O850" s="223"/>
      <c r="P850" s="22"/>
      <c r="Q850" s="22"/>
      <c r="T850" s="132"/>
      <c r="W850" s="22"/>
      <c r="X850" s="224"/>
      <c r="Z850" s="50"/>
      <c r="AA850" s="57"/>
    </row>
    <row r="851" spans="1:27" ht="15.75" customHeight="1">
      <c r="A851" s="9"/>
      <c r="D851" s="203"/>
      <c r="E851" s="31"/>
      <c r="I851" s="132"/>
      <c r="J851" s="132"/>
      <c r="K851" s="221"/>
      <c r="L851" s="132"/>
      <c r="N851" s="10"/>
      <c r="O851" s="223"/>
      <c r="P851" s="22"/>
      <c r="Q851" s="22"/>
      <c r="T851" s="132"/>
      <c r="W851" s="22"/>
      <c r="X851" s="224"/>
      <c r="Z851" s="50"/>
      <c r="AA851" s="57"/>
    </row>
    <row r="852" spans="1:27" ht="15.75" customHeight="1">
      <c r="A852" s="9"/>
      <c r="D852" s="203"/>
      <c r="E852" s="31"/>
      <c r="I852" s="132"/>
      <c r="J852" s="132"/>
      <c r="K852" s="221"/>
      <c r="L852" s="132"/>
      <c r="N852" s="10"/>
      <c r="O852" s="223"/>
      <c r="P852" s="22"/>
      <c r="Q852" s="22"/>
      <c r="T852" s="132"/>
      <c r="W852" s="22"/>
      <c r="X852" s="224"/>
      <c r="Z852" s="50"/>
      <c r="AA852" s="57"/>
    </row>
    <row r="853" spans="1:27" ht="15.75" customHeight="1">
      <c r="A853" s="9"/>
      <c r="D853" s="203"/>
      <c r="E853" s="31"/>
      <c r="I853" s="132"/>
      <c r="J853" s="132"/>
      <c r="K853" s="221"/>
      <c r="L853" s="132"/>
      <c r="N853" s="10"/>
      <c r="O853" s="223"/>
      <c r="P853" s="22"/>
      <c r="Q853" s="22"/>
      <c r="T853" s="132"/>
      <c r="W853" s="22"/>
      <c r="X853" s="224"/>
      <c r="Z853" s="50"/>
      <c r="AA853" s="57"/>
    </row>
    <row r="854" spans="1:27" ht="15.75" customHeight="1">
      <c r="A854" s="9"/>
      <c r="D854" s="203"/>
      <c r="E854" s="31"/>
      <c r="I854" s="132"/>
      <c r="J854" s="132"/>
      <c r="K854" s="221"/>
      <c r="L854" s="132"/>
      <c r="N854" s="10"/>
      <c r="O854" s="223"/>
      <c r="P854" s="22"/>
      <c r="Q854" s="22"/>
      <c r="T854" s="132"/>
      <c r="W854" s="22"/>
      <c r="X854" s="224"/>
      <c r="Z854" s="50"/>
      <c r="AA854" s="57"/>
    </row>
    <row r="855" spans="1:27" ht="15.75" customHeight="1">
      <c r="A855" s="9"/>
      <c r="D855" s="203"/>
      <c r="E855" s="31"/>
      <c r="I855" s="132"/>
      <c r="J855" s="132"/>
      <c r="K855" s="221"/>
      <c r="L855" s="132"/>
      <c r="N855" s="10"/>
      <c r="O855" s="223"/>
      <c r="P855" s="22"/>
      <c r="Q855" s="22"/>
      <c r="T855" s="132"/>
      <c r="W855" s="22"/>
      <c r="X855" s="224"/>
      <c r="Z855" s="50"/>
      <c r="AA855" s="57"/>
    </row>
    <row r="856" spans="1:27" ht="15.75" customHeight="1">
      <c r="A856" s="9"/>
      <c r="D856" s="203"/>
      <c r="E856" s="31"/>
      <c r="I856" s="132"/>
      <c r="J856" s="132"/>
      <c r="K856" s="221"/>
      <c r="L856" s="132"/>
      <c r="N856" s="10"/>
      <c r="O856" s="223"/>
      <c r="P856" s="22"/>
      <c r="Q856" s="22"/>
      <c r="T856" s="132"/>
      <c r="W856" s="22"/>
      <c r="X856" s="224"/>
      <c r="Z856" s="50"/>
      <c r="AA856" s="57"/>
    </row>
    <row r="857" spans="1:27" ht="15.75" customHeight="1">
      <c r="A857" s="9"/>
      <c r="D857" s="203"/>
      <c r="E857" s="31"/>
      <c r="I857" s="132"/>
      <c r="J857" s="132"/>
      <c r="K857" s="221"/>
      <c r="L857" s="132"/>
      <c r="N857" s="10"/>
      <c r="O857" s="223"/>
      <c r="P857" s="22"/>
      <c r="Q857" s="22"/>
      <c r="T857" s="132"/>
      <c r="W857" s="22"/>
      <c r="X857" s="224"/>
      <c r="Z857" s="50"/>
      <c r="AA857" s="57"/>
    </row>
    <row r="858" spans="1:27" ht="15.75" customHeight="1">
      <c r="A858" s="9"/>
      <c r="D858" s="203"/>
      <c r="E858" s="31"/>
      <c r="I858" s="132"/>
      <c r="J858" s="132"/>
      <c r="K858" s="221"/>
      <c r="L858" s="132"/>
      <c r="N858" s="10"/>
      <c r="O858" s="223"/>
      <c r="P858" s="22"/>
      <c r="Q858" s="22"/>
      <c r="T858" s="132"/>
      <c r="W858" s="22"/>
      <c r="X858" s="224"/>
      <c r="Z858" s="50"/>
      <c r="AA858" s="57"/>
    </row>
    <row r="859" spans="1:27" ht="15.75" customHeight="1">
      <c r="A859" s="9"/>
      <c r="D859" s="203"/>
      <c r="E859" s="31"/>
      <c r="I859" s="132"/>
      <c r="J859" s="132"/>
      <c r="K859" s="221"/>
      <c r="L859" s="132"/>
      <c r="N859" s="10"/>
      <c r="O859" s="223"/>
      <c r="P859" s="22"/>
      <c r="Q859" s="22"/>
      <c r="T859" s="132"/>
      <c r="W859" s="22"/>
      <c r="X859" s="224"/>
      <c r="Z859" s="50"/>
      <c r="AA859" s="57"/>
    </row>
    <row r="860" spans="1:27" ht="15.75" customHeight="1">
      <c r="A860" s="9"/>
      <c r="D860" s="203"/>
      <c r="E860" s="31"/>
      <c r="I860" s="132"/>
      <c r="J860" s="132"/>
      <c r="K860" s="221"/>
      <c r="L860" s="132"/>
      <c r="N860" s="10"/>
      <c r="O860" s="223"/>
      <c r="P860" s="22"/>
      <c r="Q860" s="22"/>
      <c r="T860" s="132"/>
      <c r="W860" s="22"/>
      <c r="X860" s="224"/>
      <c r="Z860" s="50"/>
      <c r="AA860" s="57"/>
    </row>
    <row r="861" spans="1:27" ht="15.75" customHeight="1">
      <c r="A861" s="9"/>
      <c r="D861" s="203"/>
      <c r="E861" s="31"/>
      <c r="I861" s="132"/>
      <c r="J861" s="132"/>
      <c r="K861" s="221"/>
      <c r="L861" s="132"/>
      <c r="N861" s="10"/>
      <c r="O861" s="223"/>
      <c r="P861" s="22"/>
      <c r="Q861" s="22"/>
      <c r="T861" s="132"/>
      <c r="W861" s="22"/>
      <c r="X861" s="224"/>
      <c r="Z861" s="50"/>
      <c r="AA861" s="57"/>
    </row>
    <row r="862" spans="1:27" ht="15.75" customHeight="1">
      <c r="A862" s="9"/>
      <c r="D862" s="203"/>
      <c r="E862" s="31"/>
      <c r="I862" s="132"/>
      <c r="J862" s="132"/>
      <c r="K862" s="221"/>
      <c r="L862" s="132"/>
      <c r="N862" s="10"/>
      <c r="O862" s="223"/>
      <c r="P862" s="22"/>
      <c r="Q862" s="22"/>
      <c r="T862" s="132"/>
      <c r="W862" s="22"/>
      <c r="X862" s="224"/>
      <c r="Z862" s="50"/>
      <c r="AA862" s="57"/>
    </row>
    <row r="863" spans="1:27" ht="15.75" customHeight="1">
      <c r="A863" s="9"/>
      <c r="D863" s="203"/>
      <c r="E863" s="31"/>
      <c r="I863" s="132"/>
      <c r="J863" s="132"/>
      <c r="K863" s="221"/>
      <c r="L863" s="132"/>
      <c r="N863" s="10"/>
      <c r="O863" s="223"/>
      <c r="P863" s="22"/>
      <c r="Q863" s="22"/>
      <c r="T863" s="132"/>
      <c r="W863" s="22"/>
      <c r="X863" s="224"/>
      <c r="Z863" s="50"/>
      <c r="AA863" s="57"/>
    </row>
    <row r="864" spans="1:27" ht="15.75" customHeight="1">
      <c r="A864" s="9"/>
      <c r="D864" s="203"/>
      <c r="E864" s="31"/>
      <c r="I864" s="132"/>
      <c r="J864" s="132"/>
      <c r="K864" s="221"/>
      <c r="L864" s="132"/>
      <c r="N864" s="10"/>
      <c r="O864" s="223"/>
      <c r="P864" s="22"/>
      <c r="Q864" s="22"/>
      <c r="T864" s="132"/>
      <c r="W864" s="22"/>
      <c r="X864" s="224"/>
      <c r="Z864" s="50"/>
      <c r="AA864" s="57"/>
    </row>
    <row r="865" spans="1:27" ht="15.75" customHeight="1">
      <c r="A865" s="9"/>
      <c r="D865" s="203"/>
      <c r="E865" s="31"/>
      <c r="I865" s="132"/>
      <c r="J865" s="132"/>
      <c r="K865" s="221"/>
      <c r="L865" s="132"/>
      <c r="N865" s="10"/>
      <c r="O865" s="223"/>
      <c r="P865" s="22"/>
      <c r="Q865" s="22"/>
      <c r="T865" s="132"/>
      <c r="W865" s="22"/>
      <c r="X865" s="224"/>
      <c r="Z865" s="50"/>
      <c r="AA865" s="57"/>
    </row>
    <row r="866" spans="1:27" ht="15.75" customHeight="1">
      <c r="A866" s="9"/>
      <c r="D866" s="203"/>
      <c r="E866" s="31"/>
      <c r="I866" s="132"/>
      <c r="J866" s="132"/>
      <c r="K866" s="221"/>
      <c r="L866" s="132"/>
      <c r="N866" s="10"/>
      <c r="O866" s="223"/>
      <c r="P866" s="22"/>
      <c r="Q866" s="22"/>
      <c r="T866" s="132"/>
      <c r="W866" s="22"/>
      <c r="X866" s="224"/>
      <c r="Z866" s="50"/>
      <c r="AA866" s="57"/>
    </row>
    <row r="867" spans="1:27" ht="15.75" customHeight="1">
      <c r="A867" s="9"/>
      <c r="D867" s="203"/>
      <c r="E867" s="31"/>
      <c r="I867" s="132"/>
      <c r="J867" s="132"/>
      <c r="K867" s="221"/>
      <c r="L867" s="132"/>
      <c r="N867" s="10"/>
      <c r="O867" s="223"/>
      <c r="P867" s="22"/>
      <c r="Q867" s="22"/>
      <c r="T867" s="132"/>
      <c r="W867" s="22"/>
      <c r="X867" s="224"/>
      <c r="Z867" s="50"/>
      <c r="AA867" s="57"/>
    </row>
    <row r="868" spans="1:27" ht="15.75" customHeight="1">
      <c r="A868" s="9"/>
      <c r="D868" s="203"/>
      <c r="E868" s="31"/>
      <c r="I868" s="132"/>
      <c r="J868" s="132"/>
      <c r="K868" s="221"/>
      <c r="L868" s="132"/>
      <c r="N868" s="10"/>
      <c r="O868" s="223"/>
      <c r="P868" s="22"/>
      <c r="Q868" s="22"/>
      <c r="T868" s="132"/>
      <c r="W868" s="22"/>
      <c r="X868" s="224"/>
      <c r="Z868" s="50"/>
      <c r="AA868" s="57"/>
    </row>
    <row r="869" spans="1:27" ht="15.75" customHeight="1">
      <c r="A869" s="9"/>
      <c r="D869" s="203"/>
      <c r="E869" s="31"/>
      <c r="I869" s="132"/>
      <c r="J869" s="132"/>
      <c r="K869" s="221"/>
      <c r="L869" s="132"/>
      <c r="N869" s="10"/>
      <c r="O869" s="223"/>
      <c r="P869" s="22"/>
      <c r="Q869" s="22"/>
      <c r="T869" s="132"/>
      <c r="W869" s="22"/>
      <c r="X869" s="224"/>
      <c r="Z869" s="50"/>
      <c r="AA869" s="57"/>
    </row>
    <row r="870" spans="1:27" ht="15.75" customHeight="1">
      <c r="A870" s="9"/>
      <c r="D870" s="203"/>
      <c r="E870" s="31"/>
      <c r="I870" s="132"/>
      <c r="J870" s="132"/>
      <c r="K870" s="221"/>
      <c r="L870" s="132"/>
      <c r="N870" s="10"/>
      <c r="O870" s="223"/>
      <c r="P870" s="22"/>
      <c r="Q870" s="22"/>
      <c r="T870" s="132"/>
      <c r="W870" s="22"/>
      <c r="X870" s="224"/>
      <c r="Z870" s="50"/>
      <c r="AA870" s="57"/>
    </row>
    <row r="871" spans="1:27" ht="15.75" customHeight="1">
      <c r="A871" s="9"/>
      <c r="D871" s="203"/>
      <c r="E871" s="31"/>
      <c r="I871" s="132"/>
      <c r="J871" s="132"/>
      <c r="K871" s="221"/>
      <c r="L871" s="132"/>
      <c r="N871" s="10"/>
      <c r="O871" s="223"/>
      <c r="P871" s="22"/>
      <c r="Q871" s="22"/>
      <c r="T871" s="132"/>
      <c r="W871" s="22"/>
      <c r="X871" s="224"/>
      <c r="Z871" s="50"/>
      <c r="AA871" s="57"/>
    </row>
    <row r="872" spans="1:27" ht="15.75" customHeight="1">
      <c r="A872" s="9"/>
      <c r="D872" s="203"/>
      <c r="E872" s="31"/>
      <c r="I872" s="132"/>
      <c r="J872" s="132"/>
      <c r="K872" s="221"/>
      <c r="L872" s="132"/>
      <c r="N872" s="10"/>
      <c r="O872" s="223"/>
      <c r="P872" s="22"/>
      <c r="Q872" s="22"/>
      <c r="T872" s="132"/>
      <c r="W872" s="22"/>
      <c r="X872" s="224"/>
      <c r="Z872" s="50"/>
      <c r="AA872" s="57"/>
    </row>
    <row r="873" spans="1:27" ht="15.75" customHeight="1">
      <c r="A873" s="9"/>
      <c r="D873" s="203"/>
      <c r="E873" s="31"/>
      <c r="I873" s="132"/>
      <c r="J873" s="132"/>
      <c r="K873" s="221"/>
      <c r="L873" s="132"/>
      <c r="N873" s="10"/>
      <c r="O873" s="223"/>
      <c r="P873" s="22"/>
      <c r="Q873" s="22"/>
      <c r="T873" s="132"/>
      <c r="W873" s="22"/>
      <c r="X873" s="224"/>
      <c r="Z873" s="50"/>
      <c r="AA873" s="57"/>
    </row>
    <row r="874" spans="1:27" ht="15.75" customHeight="1">
      <c r="A874" s="9"/>
      <c r="D874" s="203"/>
      <c r="E874" s="31"/>
      <c r="I874" s="132"/>
      <c r="J874" s="132"/>
      <c r="K874" s="221"/>
      <c r="L874" s="132"/>
      <c r="N874" s="10"/>
      <c r="O874" s="223"/>
      <c r="P874" s="22"/>
      <c r="Q874" s="22"/>
      <c r="T874" s="132"/>
      <c r="W874" s="22"/>
      <c r="X874" s="224"/>
      <c r="Z874" s="50"/>
      <c r="AA874" s="57"/>
    </row>
    <row r="875" spans="1:27" ht="15.75" customHeight="1">
      <c r="A875" s="9"/>
      <c r="D875" s="203"/>
      <c r="E875" s="31"/>
      <c r="I875" s="132"/>
      <c r="J875" s="132"/>
      <c r="K875" s="221"/>
      <c r="L875" s="132"/>
      <c r="N875" s="10"/>
      <c r="O875" s="223"/>
      <c r="P875" s="22"/>
      <c r="Q875" s="22"/>
      <c r="T875" s="132"/>
      <c r="W875" s="22"/>
      <c r="X875" s="224"/>
      <c r="Z875" s="50"/>
      <c r="AA875" s="57"/>
    </row>
    <row r="876" spans="1:27" ht="15.75" customHeight="1">
      <c r="A876" s="9"/>
      <c r="D876" s="203"/>
      <c r="E876" s="31"/>
      <c r="I876" s="132"/>
      <c r="J876" s="132"/>
      <c r="K876" s="221"/>
      <c r="L876" s="132"/>
      <c r="N876" s="10"/>
      <c r="O876" s="223"/>
      <c r="P876" s="22"/>
      <c r="Q876" s="22"/>
      <c r="T876" s="132"/>
      <c r="W876" s="22"/>
      <c r="X876" s="224"/>
      <c r="Z876" s="50"/>
      <c r="AA876" s="57"/>
    </row>
    <row r="877" spans="1:27" ht="15.75" customHeight="1">
      <c r="A877" s="9"/>
      <c r="D877" s="203"/>
      <c r="E877" s="31"/>
      <c r="I877" s="132"/>
      <c r="J877" s="132"/>
      <c r="K877" s="221"/>
      <c r="L877" s="132"/>
      <c r="N877" s="10"/>
      <c r="O877" s="223"/>
      <c r="P877" s="22"/>
      <c r="Q877" s="22"/>
      <c r="T877" s="132"/>
      <c r="W877" s="22"/>
      <c r="X877" s="224"/>
      <c r="Z877" s="50"/>
      <c r="AA877" s="57"/>
    </row>
    <row r="878" spans="1:27" ht="15.75" customHeight="1">
      <c r="A878" s="9"/>
      <c r="D878" s="203"/>
      <c r="E878" s="31"/>
      <c r="I878" s="132"/>
      <c r="J878" s="132"/>
      <c r="K878" s="221"/>
      <c r="L878" s="132"/>
      <c r="N878" s="10"/>
      <c r="O878" s="223"/>
      <c r="P878" s="22"/>
      <c r="Q878" s="22"/>
      <c r="T878" s="132"/>
      <c r="W878" s="22"/>
      <c r="X878" s="224"/>
      <c r="Z878" s="50"/>
      <c r="AA878" s="57"/>
    </row>
    <row r="879" spans="1:27" ht="15.75" customHeight="1">
      <c r="A879" s="9"/>
      <c r="D879" s="203"/>
      <c r="E879" s="31"/>
      <c r="I879" s="132"/>
      <c r="J879" s="132"/>
      <c r="K879" s="221"/>
      <c r="L879" s="132"/>
      <c r="N879" s="10"/>
      <c r="O879" s="223"/>
      <c r="P879" s="22"/>
      <c r="Q879" s="22"/>
      <c r="T879" s="132"/>
      <c r="W879" s="22"/>
      <c r="X879" s="224"/>
      <c r="Z879" s="50"/>
      <c r="AA879" s="57"/>
    </row>
    <row r="880" spans="1:27" ht="15.75" customHeight="1">
      <c r="A880" s="9"/>
      <c r="D880" s="203"/>
      <c r="E880" s="31"/>
      <c r="I880" s="132"/>
      <c r="J880" s="132"/>
      <c r="K880" s="221"/>
      <c r="L880" s="132"/>
      <c r="N880" s="10"/>
      <c r="O880" s="223"/>
      <c r="P880" s="22"/>
      <c r="Q880" s="22"/>
      <c r="T880" s="132"/>
      <c r="W880" s="22"/>
      <c r="X880" s="224"/>
      <c r="Z880" s="50"/>
      <c r="AA880" s="57"/>
    </row>
    <row r="881" spans="1:27" ht="15.75" customHeight="1">
      <c r="A881" s="9"/>
      <c r="D881" s="203"/>
      <c r="E881" s="31"/>
      <c r="I881" s="132"/>
      <c r="J881" s="132"/>
      <c r="K881" s="221"/>
      <c r="L881" s="132"/>
      <c r="N881" s="10"/>
      <c r="O881" s="223"/>
      <c r="P881" s="22"/>
      <c r="Q881" s="22"/>
      <c r="T881" s="132"/>
      <c r="W881" s="22"/>
      <c r="X881" s="224"/>
      <c r="Z881" s="50"/>
      <c r="AA881" s="57"/>
    </row>
    <row r="882" spans="1:27" ht="15.75" customHeight="1">
      <c r="A882" s="9"/>
      <c r="D882" s="203"/>
      <c r="E882" s="31"/>
      <c r="I882" s="132"/>
      <c r="J882" s="132"/>
      <c r="K882" s="221"/>
      <c r="L882" s="132"/>
      <c r="N882" s="10"/>
      <c r="O882" s="223"/>
      <c r="P882" s="22"/>
      <c r="Q882" s="22"/>
      <c r="T882" s="132"/>
      <c r="W882" s="22"/>
      <c r="X882" s="224"/>
      <c r="Z882" s="50"/>
      <c r="AA882" s="57"/>
    </row>
    <row r="883" spans="1:27" ht="15.75" customHeight="1">
      <c r="A883" s="9"/>
      <c r="D883" s="203"/>
      <c r="E883" s="31"/>
      <c r="I883" s="132"/>
      <c r="J883" s="132"/>
      <c r="K883" s="221"/>
      <c r="L883" s="132"/>
      <c r="N883" s="10"/>
      <c r="O883" s="223"/>
      <c r="P883" s="22"/>
      <c r="Q883" s="22"/>
      <c r="T883" s="132"/>
      <c r="W883" s="22"/>
      <c r="X883" s="224"/>
      <c r="Z883" s="50"/>
      <c r="AA883" s="57"/>
    </row>
    <row r="884" spans="1:27" ht="15.75" customHeight="1">
      <c r="A884" s="9"/>
      <c r="D884" s="203"/>
      <c r="E884" s="31"/>
      <c r="I884" s="132"/>
      <c r="J884" s="132"/>
      <c r="K884" s="221"/>
      <c r="L884" s="132"/>
      <c r="N884" s="10"/>
      <c r="O884" s="223"/>
      <c r="P884" s="22"/>
      <c r="Q884" s="22"/>
      <c r="T884" s="132"/>
      <c r="W884" s="22"/>
      <c r="X884" s="224"/>
      <c r="Z884" s="50"/>
      <c r="AA884" s="57"/>
    </row>
    <row r="885" spans="1:27" ht="15.75" customHeight="1">
      <c r="A885" s="9"/>
      <c r="D885" s="203"/>
      <c r="E885" s="31"/>
      <c r="I885" s="132"/>
      <c r="J885" s="132"/>
      <c r="K885" s="221"/>
      <c r="L885" s="132"/>
      <c r="N885" s="10"/>
      <c r="O885" s="223"/>
      <c r="P885" s="22"/>
      <c r="Q885" s="22"/>
      <c r="T885" s="132"/>
      <c r="W885" s="22"/>
      <c r="X885" s="224"/>
      <c r="Z885" s="50"/>
      <c r="AA885" s="57"/>
    </row>
    <row r="886" spans="1:27" ht="15.75" customHeight="1">
      <c r="A886" s="9"/>
      <c r="D886" s="203"/>
      <c r="E886" s="31"/>
      <c r="I886" s="132"/>
      <c r="J886" s="132"/>
      <c r="K886" s="221"/>
      <c r="L886" s="132"/>
      <c r="N886" s="10"/>
      <c r="O886" s="223"/>
      <c r="P886" s="22"/>
      <c r="Q886" s="22"/>
      <c r="T886" s="132"/>
      <c r="W886" s="22"/>
      <c r="X886" s="224"/>
      <c r="Z886" s="50"/>
      <c r="AA886" s="57"/>
    </row>
    <row r="887" spans="1:27" ht="15.75" customHeight="1">
      <c r="A887" s="9"/>
      <c r="D887" s="203"/>
      <c r="E887" s="31"/>
      <c r="I887" s="132"/>
      <c r="J887" s="132"/>
      <c r="K887" s="221"/>
      <c r="L887" s="132"/>
      <c r="N887" s="10"/>
      <c r="O887" s="223"/>
      <c r="P887" s="22"/>
      <c r="Q887" s="22"/>
      <c r="T887" s="132"/>
      <c r="W887" s="22"/>
      <c r="X887" s="224"/>
      <c r="Z887" s="50"/>
      <c r="AA887" s="57"/>
    </row>
    <row r="888" spans="1:27" ht="15.75" customHeight="1">
      <c r="A888" s="9"/>
      <c r="D888" s="203"/>
      <c r="E888" s="31"/>
      <c r="I888" s="132"/>
      <c r="J888" s="132"/>
      <c r="K888" s="221"/>
      <c r="L888" s="132"/>
      <c r="N888" s="10"/>
      <c r="O888" s="223"/>
      <c r="P888" s="22"/>
      <c r="Q888" s="22"/>
      <c r="T888" s="132"/>
      <c r="W888" s="22"/>
      <c r="X888" s="224"/>
      <c r="Z888" s="50"/>
      <c r="AA888" s="57"/>
    </row>
    <row r="889" spans="1:27" ht="15.75" customHeight="1">
      <c r="A889" s="9"/>
      <c r="D889" s="203"/>
      <c r="E889" s="31"/>
      <c r="I889" s="132"/>
      <c r="J889" s="132"/>
      <c r="K889" s="221"/>
      <c r="L889" s="132"/>
      <c r="N889" s="10"/>
      <c r="O889" s="223"/>
      <c r="P889" s="22"/>
      <c r="Q889" s="22"/>
      <c r="T889" s="132"/>
      <c r="W889" s="22"/>
      <c r="X889" s="224"/>
      <c r="Z889" s="50"/>
      <c r="AA889" s="57"/>
    </row>
    <row r="890" spans="1:27" ht="15.75" customHeight="1">
      <c r="A890" s="9"/>
      <c r="D890" s="203"/>
      <c r="E890" s="31"/>
      <c r="I890" s="132"/>
      <c r="J890" s="132"/>
      <c r="K890" s="221"/>
      <c r="L890" s="132"/>
      <c r="N890" s="10"/>
      <c r="O890" s="223"/>
      <c r="P890" s="22"/>
      <c r="Q890" s="22"/>
      <c r="T890" s="132"/>
      <c r="W890" s="22"/>
      <c r="X890" s="224"/>
      <c r="Z890" s="50"/>
      <c r="AA890" s="57"/>
    </row>
    <row r="891" spans="1:27" ht="15.75" customHeight="1">
      <c r="A891" s="9"/>
      <c r="D891" s="203"/>
      <c r="E891" s="31"/>
      <c r="I891" s="132"/>
      <c r="J891" s="132"/>
      <c r="K891" s="221"/>
      <c r="L891" s="132"/>
      <c r="N891" s="10"/>
      <c r="O891" s="223"/>
      <c r="P891" s="22"/>
      <c r="Q891" s="22"/>
      <c r="T891" s="132"/>
      <c r="W891" s="22"/>
      <c r="X891" s="224"/>
      <c r="Z891" s="50"/>
      <c r="AA891" s="57"/>
    </row>
    <row r="892" spans="1:27" ht="15.75" customHeight="1">
      <c r="A892" s="9"/>
      <c r="D892" s="203"/>
      <c r="E892" s="31"/>
      <c r="I892" s="132"/>
      <c r="J892" s="132"/>
      <c r="K892" s="221"/>
      <c r="L892" s="132"/>
      <c r="N892" s="10"/>
      <c r="O892" s="223"/>
      <c r="P892" s="22"/>
      <c r="Q892" s="22"/>
      <c r="T892" s="132"/>
      <c r="W892" s="22"/>
      <c r="X892" s="224"/>
      <c r="Z892" s="50"/>
      <c r="AA892" s="57"/>
    </row>
    <row r="893" spans="1:27" ht="15.75" customHeight="1">
      <c r="A893" s="9"/>
      <c r="D893" s="203"/>
      <c r="E893" s="31"/>
      <c r="I893" s="132"/>
      <c r="J893" s="132"/>
      <c r="K893" s="221"/>
      <c r="L893" s="132"/>
      <c r="N893" s="10"/>
      <c r="O893" s="223"/>
      <c r="P893" s="22"/>
      <c r="Q893" s="22"/>
      <c r="T893" s="132"/>
      <c r="W893" s="22"/>
      <c r="X893" s="224"/>
      <c r="Z893" s="50"/>
      <c r="AA893" s="57"/>
    </row>
    <row r="894" spans="1:27" ht="15.75" customHeight="1">
      <c r="A894" s="9"/>
      <c r="D894" s="203"/>
      <c r="E894" s="31"/>
      <c r="I894" s="132"/>
      <c r="J894" s="132"/>
      <c r="K894" s="221"/>
      <c r="L894" s="132"/>
      <c r="N894" s="10"/>
      <c r="O894" s="223"/>
      <c r="P894" s="22"/>
      <c r="Q894" s="22"/>
      <c r="T894" s="132"/>
      <c r="W894" s="22"/>
      <c r="X894" s="224"/>
      <c r="Z894" s="50"/>
      <c r="AA894" s="57"/>
    </row>
    <row r="895" spans="1:27" ht="15.75" customHeight="1">
      <c r="A895" s="9"/>
      <c r="D895" s="203"/>
      <c r="E895" s="31"/>
      <c r="I895" s="132"/>
      <c r="J895" s="132"/>
      <c r="K895" s="221"/>
      <c r="L895" s="132"/>
      <c r="N895" s="10"/>
      <c r="O895" s="223"/>
      <c r="P895" s="22"/>
      <c r="Q895" s="22"/>
      <c r="T895" s="132"/>
      <c r="W895" s="22"/>
      <c r="X895" s="224"/>
      <c r="Z895" s="50"/>
      <c r="AA895" s="57"/>
    </row>
    <row r="896" spans="1:27" ht="15.75" customHeight="1">
      <c r="A896" s="9"/>
      <c r="D896" s="203"/>
      <c r="E896" s="31"/>
      <c r="I896" s="132"/>
      <c r="J896" s="132"/>
      <c r="K896" s="221"/>
      <c r="L896" s="132"/>
      <c r="N896" s="10"/>
      <c r="O896" s="223"/>
      <c r="P896" s="22"/>
      <c r="Q896" s="22"/>
      <c r="T896" s="132"/>
      <c r="W896" s="22"/>
      <c r="X896" s="224"/>
      <c r="Z896" s="50"/>
      <c r="AA896" s="57"/>
    </row>
    <row r="897" spans="1:27" ht="15.75" customHeight="1">
      <c r="A897" s="9"/>
      <c r="D897" s="203"/>
      <c r="E897" s="31"/>
      <c r="I897" s="132"/>
      <c r="J897" s="132"/>
      <c r="K897" s="221"/>
      <c r="L897" s="132"/>
      <c r="N897" s="10"/>
      <c r="O897" s="223"/>
      <c r="P897" s="22"/>
      <c r="Q897" s="22"/>
      <c r="T897" s="132"/>
      <c r="W897" s="22"/>
      <c r="X897" s="224"/>
      <c r="Z897" s="50"/>
      <c r="AA897" s="57"/>
    </row>
    <row r="898" spans="1:27" ht="15.75" customHeight="1">
      <c r="A898" s="9"/>
      <c r="D898" s="203"/>
      <c r="E898" s="31"/>
      <c r="I898" s="132"/>
      <c r="J898" s="132"/>
      <c r="K898" s="221"/>
      <c r="L898" s="132"/>
      <c r="N898" s="10"/>
      <c r="O898" s="223"/>
      <c r="P898" s="22"/>
      <c r="Q898" s="22"/>
      <c r="T898" s="132"/>
      <c r="W898" s="22"/>
      <c r="X898" s="224"/>
      <c r="Z898" s="50"/>
      <c r="AA898" s="57"/>
    </row>
    <row r="899" spans="1:27" ht="15.75" customHeight="1">
      <c r="A899" s="9"/>
      <c r="D899" s="203"/>
      <c r="E899" s="31"/>
      <c r="I899" s="132"/>
      <c r="J899" s="132"/>
      <c r="K899" s="221"/>
      <c r="L899" s="132"/>
      <c r="N899" s="10"/>
      <c r="O899" s="223"/>
      <c r="P899" s="22"/>
      <c r="Q899" s="22"/>
      <c r="T899" s="132"/>
      <c r="W899" s="22"/>
      <c r="X899" s="224"/>
      <c r="Z899" s="50"/>
      <c r="AA899" s="57"/>
    </row>
    <row r="900" spans="1:27" ht="15.75" customHeight="1">
      <c r="A900" s="9"/>
      <c r="D900" s="203"/>
      <c r="E900" s="31"/>
      <c r="I900" s="132"/>
      <c r="J900" s="132"/>
      <c r="K900" s="221"/>
      <c r="L900" s="132"/>
      <c r="N900" s="10"/>
      <c r="O900" s="223"/>
      <c r="P900" s="22"/>
      <c r="Q900" s="22"/>
      <c r="T900" s="132"/>
      <c r="W900" s="22"/>
      <c r="X900" s="224"/>
      <c r="Z900" s="50"/>
      <c r="AA900" s="57"/>
    </row>
    <row r="901" spans="1:27" ht="15.75" customHeight="1">
      <c r="A901" s="9"/>
      <c r="D901" s="203"/>
      <c r="E901" s="31"/>
      <c r="I901" s="132"/>
      <c r="J901" s="132"/>
      <c r="K901" s="221"/>
      <c r="L901" s="132"/>
      <c r="N901" s="10"/>
      <c r="O901" s="223"/>
      <c r="P901" s="22"/>
      <c r="Q901" s="22"/>
      <c r="T901" s="132"/>
      <c r="W901" s="22"/>
      <c r="X901" s="224"/>
      <c r="Z901" s="50"/>
      <c r="AA901" s="57"/>
    </row>
    <row r="902" spans="1:27" ht="15.75" customHeight="1">
      <c r="A902" s="9"/>
      <c r="D902" s="203"/>
      <c r="E902" s="31"/>
      <c r="I902" s="132"/>
      <c r="J902" s="132"/>
      <c r="K902" s="221"/>
      <c r="L902" s="132"/>
      <c r="N902" s="10"/>
      <c r="O902" s="223"/>
      <c r="P902" s="22"/>
      <c r="Q902" s="22"/>
      <c r="T902" s="132"/>
      <c r="W902" s="22"/>
      <c r="X902" s="224"/>
      <c r="Z902" s="50"/>
      <c r="AA902" s="57"/>
    </row>
    <row r="903" spans="1:27" ht="15.75" customHeight="1">
      <c r="A903" s="9"/>
      <c r="D903" s="203"/>
      <c r="E903" s="31"/>
      <c r="I903" s="132"/>
      <c r="J903" s="132"/>
      <c r="K903" s="221"/>
      <c r="L903" s="132"/>
      <c r="N903" s="10"/>
      <c r="O903" s="223"/>
      <c r="P903" s="22"/>
      <c r="Q903" s="22"/>
      <c r="T903" s="132"/>
      <c r="W903" s="22"/>
      <c r="X903" s="224"/>
      <c r="Z903" s="50"/>
      <c r="AA903" s="57"/>
    </row>
    <row r="904" spans="1:27" ht="15.75" customHeight="1">
      <c r="A904" s="9"/>
      <c r="D904" s="203"/>
      <c r="E904" s="31"/>
      <c r="I904" s="132"/>
      <c r="J904" s="132"/>
      <c r="K904" s="221"/>
      <c r="L904" s="132"/>
      <c r="N904" s="10"/>
      <c r="O904" s="223"/>
      <c r="P904" s="22"/>
      <c r="Q904" s="22"/>
      <c r="T904" s="132"/>
      <c r="W904" s="22"/>
      <c r="X904" s="224"/>
      <c r="Z904" s="50"/>
      <c r="AA904" s="57"/>
    </row>
    <row r="905" spans="1:27" ht="15.75" customHeight="1">
      <c r="A905" s="9"/>
      <c r="D905" s="203"/>
      <c r="E905" s="31"/>
      <c r="I905" s="132"/>
      <c r="J905" s="132"/>
      <c r="K905" s="221"/>
      <c r="L905" s="132"/>
      <c r="N905" s="10"/>
      <c r="O905" s="223"/>
      <c r="P905" s="22"/>
      <c r="Q905" s="22"/>
      <c r="T905" s="132"/>
      <c r="W905" s="22"/>
      <c r="X905" s="224"/>
      <c r="Z905" s="50"/>
      <c r="AA905" s="57"/>
    </row>
    <row r="906" spans="1:27" ht="15.75" customHeight="1">
      <c r="A906" s="9"/>
      <c r="D906" s="203"/>
      <c r="E906" s="31"/>
      <c r="I906" s="132"/>
      <c r="J906" s="132"/>
      <c r="K906" s="221"/>
      <c r="L906" s="132"/>
      <c r="N906" s="10"/>
      <c r="O906" s="223"/>
      <c r="P906" s="22"/>
      <c r="Q906" s="22"/>
      <c r="T906" s="132"/>
      <c r="W906" s="22"/>
      <c r="X906" s="224"/>
      <c r="Z906" s="50"/>
      <c r="AA906" s="57"/>
    </row>
    <row r="907" spans="1:27" ht="15.75" customHeight="1">
      <c r="A907" s="9"/>
      <c r="D907" s="203"/>
      <c r="E907" s="31"/>
      <c r="I907" s="132"/>
      <c r="J907" s="132"/>
      <c r="K907" s="221"/>
      <c r="L907" s="132" t="e">
        <f>(H907-F907)/F907</f>
        <v>#DIV/0!</v>
      </c>
      <c r="M907" s="20">
        <f ca="1">IFERROR(__xludf.DUMMYFUNCTION("GOOGLEFINANCE(""NSE:ksl"",""price"")"),893.75)</f>
        <v>893.75</v>
      </c>
      <c r="N907" s="10"/>
      <c r="O907" s="223"/>
      <c r="P907" s="22"/>
      <c r="Q907" s="22"/>
      <c r="T907" s="132"/>
      <c r="W907" s="22"/>
      <c r="X907" s="224"/>
      <c r="Y907" s="17">
        <v>428.7</v>
      </c>
      <c r="Z907" s="225">
        <f>AB907/Y907</f>
        <v>0</v>
      </c>
      <c r="AA907" s="57"/>
    </row>
    <row r="908" spans="1:27" ht="15.75" customHeight="1">
      <c r="D908" s="203"/>
      <c r="E908" s="31"/>
      <c r="I908" s="132"/>
      <c r="K908" s="221"/>
      <c r="O908" s="132"/>
      <c r="T908" s="132"/>
      <c r="X908" s="224"/>
    </row>
    <row r="909" spans="1:27" ht="15.75" customHeight="1">
      <c r="D909" s="203"/>
      <c r="E909" s="31"/>
      <c r="I909" s="132"/>
      <c r="K909" s="221"/>
      <c r="O909" s="132"/>
      <c r="T909" s="132"/>
      <c r="X909" s="224"/>
    </row>
    <row r="910" spans="1:27" ht="15.75" customHeight="1">
      <c r="D910" s="203"/>
      <c r="E910" s="31"/>
      <c r="I910" s="132"/>
      <c r="K910" s="221"/>
      <c r="O910" s="132"/>
      <c r="T910" s="132"/>
      <c r="X910" s="224"/>
    </row>
    <row r="911" spans="1:27" ht="15.75" customHeight="1">
      <c r="D911" s="203"/>
      <c r="E911" s="31"/>
      <c r="I911" s="132"/>
      <c r="K911" s="221"/>
      <c r="O911" s="132"/>
      <c r="T911" s="132"/>
      <c r="X911" s="224"/>
    </row>
    <row r="912" spans="1:27" ht="15.75" customHeight="1">
      <c r="D912" s="203"/>
      <c r="E912" s="31"/>
      <c r="I912" s="132"/>
      <c r="K912" s="221"/>
      <c r="O912" s="132"/>
      <c r="T912" s="132"/>
      <c r="X912" s="224"/>
    </row>
    <row r="913" spans="4:24" ht="15.75" customHeight="1">
      <c r="D913" s="203"/>
      <c r="E913" s="31"/>
      <c r="I913" s="132"/>
      <c r="K913" s="221"/>
      <c r="O913" s="132"/>
      <c r="T913" s="132"/>
      <c r="X913" s="224"/>
    </row>
    <row r="914" spans="4:24" ht="15.75" customHeight="1">
      <c r="D914" s="203"/>
      <c r="E914" s="31"/>
      <c r="I914" s="132"/>
      <c r="K914" s="221"/>
      <c r="O914" s="132"/>
      <c r="T914" s="132"/>
      <c r="X914" s="224"/>
    </row>
    <row r="915" spans="4:24" ht="15.75" customHeight="1">
      <c r="D915" s="203"/>
      <c r="E915" s="31"/>
      <c r="I915" s="132"/>
      <c r="K915" s="221"/>
      <c r="O915" s="132"/>
      <c r="T915" s="132"/>
      <c r="X915" s="224"/>
    </row>
    <row r="916" spans="4:24" ht="15.75" customHeight="1">
      <c r="D916" s="203"/>
      <c r="E916" s="31"/>
      <c r="I916" s="132"/>
      <c r="K916" s="221"/>
      <c r="O916" s="132"/>
      <c r="T916" s="132"/>
      <c r="X916" s="224"/>
    </row>
    <row r="917" spans="4:24" ht="15.75" customHeight="1">
      <c r="D917" s="203"/>
      <c r="E917" s="31"/>
      <c r="I917" s="132"/>
      <c r="K917" s="221"/>
      <c r="O917" s="132"/>
      <c r="T917" s="132"/>
      <c r="X917" s="224"/>
    </row>
    <row r="918" spans="4:24" ht="15.75" customHeight="1">
      <c r="D918" s="203"/>
      <c r="E918" s="31"/>
      <c r="I918" s="132"/>
      <c r="K918" s="221"/>
      <c r="O918" s="132"/>
      <c r="T918" s="132"/>
      <c r="X918" s="224"/>
    </row>
    <row r="919" spans="4:24" ht="15.75" customHeight="1">
      <c r="D919" s="203"/>
      <c r="E919" s="31"/>
      <c r="I919" s="132"/>
      <c r="K919" s="221"/>
      <c r="O919" s="132"/>
      <c r="T919" s="132"/>
      <c r="X919" s="224"/>
    </row>
    <row r="920" spans="4:24" ht="15.75" customHeight="1">
      <c r="D920" s="203"/>
      <c r="E920" s="31"/>
      <c r="I920" s="132"/>
      <c r="K920" s="221"/>
      <c r="O920" s="132"/>
      <c r="T920" s="132"/>
      <c r="X920" s="224"/>
    </row>
    <row r="921" spans="4:24" ht="15.75" customHeight="1">
      <c r="D921" s="203"/>
      <c r="E921" s="31"/>
      <c r="I921" s="132"/>
      <c r="K921" s="221"/>
      <c r="O921" s="132"/>
      <c r="T921" s="132"/>
      <c r="X921" s="224"/>
    </row>
    <row r="922" spans="4:24" ht="15.75" customHeight="1">
      <c r="D922" s="203"/>
      <c r="E922" s="31"/>
      <c r="I922" s="132"/>
      <c r="K922" s="221"/>
      <c r="O922" s="132"/>
      <c r="T922" s="132"/>
      <c r="X922" s="224"/>
    </row>
    <row r="923" spans="4:24" ht="15.75" customHeight="1">
      <c r="D923" s="203"/>
      <c r="E923" s="31"/>
      <c r="I923" s="132"/>
      <c r="K923" s="221"/>
      <c r="O923" s="132"/>
      <c r="T923" s="132"/>
      <c r="X923" s="224"/>
    </row>
    <row r="924" spans="4:24" ht="15.75" customHeight="1">
      <c r="D924" s="203"/>
      <c r="E924" s="31"/>
      <c r="I924" s="132"/>
      <c r="K924" s="221"/>
      <c r="O924" s="132"/>
      <c r="T924" s="132"/>
      <c r="X924" s="224"/>
    </row>
    <row r="925" spans="4:24" ht="15.75" customHeight="1">
      <c r="D925" s="203"/>
      <c r="E925" s="31"/>
      <c r="I925" s="132"/>
      <c r="K925" s="221"/>
      <c r="O925" s="132"/>
      <c r="T925" s="132"/>
      <c r="X925" s="224"/>
    </row>
    <row r="926" spans="4:24" ht="15.75" customHeight="1">
      <c r="D926" s="203"/>
      <c r="E926" s="31"/>
      <c r="I926" s="132"/>
      <c r="K926" s="221"/>
      <c r="O926" s="132"/>
      <c r="T926" s="132"/>
      <c r="X926" s="224"/>
    </row>
    <row r="927" spans="4:24" ht="15.75" customHeight="1">
      <c r="D927" s="203"/>
      <c r="E927" s="31"/>
      <c r="I927" s="132"/>
      <c r="K927" s="221"/>
      <c r="O927" s="132"/>
      <c r="T927" s="132"/>
      <c r="X927" s="224"/>
    </row>
    <row r="928" spans="4:24" ht="15.75" customHeight="1">
      <c r="D928" s="203"/>
      <c r="E928" s="31"/>
      <c r="I928" s="132"/>
      <c r="K928" s="221"/>
      <c r="O928" s="132"/>
      <c r="T928" s="132"/>
      <c r="X928" s="224"/>
    </row>
    <row r="929" spans="4:24" ht="15.75" customHeight="1">
      <c r="D929" s="203"/>
      <c r="E929" s="31"/>
      <c r="I929" s="132"/>
      <c r="K929" s="221"/>
      <c r="O929" s="132"/>
      <c r="T929" s="132"/>
      <c r="X929" s="224"/>
    </row>
    <row r="930" spans="4:24" ht="15.75" customHeight="1">
      <c r="D930" s="203"/>
      <c r="E930" s="31"/>
      <c r="I930" s="132"/>
      <c r="K930" s="221"/>
      <c r="O930" s="132"/>
      <c r="T930" s="132"/>
      <c r="X930" s="224"/>
    </row>
    <row r="931" spans="4:24" ht="15.75" customHeight="1">
      <c r="D931" s="203"/>
      <c r="E931" s="31"/>
      <c r="I931" s="132"/>
      <c r="K931" s="221"/>
      <c r="O931" s="132"/>
      <c r="T931" s="132"/>
      <c r="X931" s="224"/>
    </row>
    <row r="932" spans="4:24" ht="15.75" customHeight="1">
      <c r="D932" s="203"/>
      <c r="E932" s="31"/>
      <c r="I932" s="132"/>
      <c r="K932" s="221"/>
      <c r="O932" s="132"/>
      <c r="T932" s="132"/>
      <c r="X932" s="224"/>
    </row>
    <row r="933" spans="4:24" ht="15.75" customHeight="1">
      <c r="D933" s="203"/>
      <c r="E933" s="31"/>
      <c r="I933" s="132"/>
      <c r="K933" s="221"/>
      <c r="O933" s="132"/>
      <c r="T933" s="132"/>
      <c r="X933" s="224"/>
    </row>
    <row r="934" spans="4:24" ht="15.75" customHeight="1">
      <c r="D934" s="203"/>
      <c r="E934" s="31"/>
      <c r="I934" s="132"/>
      <c r="K934" s="221"/>
      <c r="O934" s="132"/>
      <c r="T934" s="132"/>
      <c r="X934" s="224"/>
    </row>
    <row r="935" spans="4:24" ht="15.75" customHeight="1">
      <c r="D935" s="203"/>
      <c r="E935" s="31"/>
      <c r="I935" s="132"/>
      <c r="K935" s="221"/>
      <c r="O935" s="132"/>
      <c r="T935" s="132"/>
      <c r="X935" s="224"/>
    </row>
    <row r="936" spans="4:24" ht="15.75" customHeight="1">
      <c r="D936" s="203"/>
      <c r="E936" s="31"/>
      <c r="I936" s="132"/>
      <c r="K936" s="221"/>
      <c r="O936" s="132"/>
      <c r="T936" s="132"/>
      <c r="X936" s="224"/>
    </row>
    <row r="937" spans="4:24" ht="15.75" customHeight="1">
      <c r="D937" s="203"/>
      <c r="E937" s="31"/>
      <c r="I937" s="132"/>
      <c r="K937" s="221"/>
      <c r="O937" s="132"/>
      <c r="T937" s="132"/>
      <c r="X937" s="224"/>
    </row>
    <row r="938" spans="4:24" ht="15.75" customHeight="1">
      <c r="D938" s="203"/>
      <c r="E938" s="31"/>
      <c r="I938" s="132"/>
      <c r="K938" s="221"/>
      <c r="O938" s="132"/>
      <c r="T938" s="132"/>
      <c r="X938" s="224"/>
    </row>
    <row r="939" spans="4:24" ht="15.75" customHeight="1">
      <c r="D939" s="203"/>
      <c r="E939" s="31"/>
      <c r="I939" s="132"/>
      <c r="K939" s="221"/>
      <c r="O939" s="132"/>
      <c r="T939" s="132"/>
      <c r="X939" s="224"/>
    </row>
    <row r="940" spans="4:24" ht="15.75" customHeight="1">
      <c r="D940" s="203"/>
      <c r="E940" s="31"/>
      <c r="I940" s="132"/>
      <c r="K940" s="221"/>
      <c r="O940" s="132"/>
      <c r="T940" s="132"/>
      <c r="X940" s="224"/>
    </row>
    <row r="941" spans="4:24" ht="15.75" customHeight="1">
      <c r="D941" s="203"/>
      <c r="E941" s="31"/>
      <c r="I941" s="132"/>
      <c r="K941" s="221"/>
      <c r="O941" s="132"/>
      <c r="T941" s="132"/>
      <c r="X941" s="224"/>
    </row>
    <row r="942" spans="4:24" ht="15.75" customHeight="1">
      <c r="D942" s="203"/>
      <c r="E942" s="31"/>
      <c r="I942" s="132"/>
      <c r="K942" s="221"/>
      <c r="O942" s="132"/>
      <c r="T942" s="132"/>
      <c r="X942" s="224"/>
    </row>
    <row r="943" spans="4:24" ht="15.75" customHeight="1">
      <c r="D943" s="203"/>
      <c r="E943" s="31"/>
      <c r="I943" s="132"/>
      <c r="K943" s="221"/>
      <c r="O943" s="132"/>
      <c r="T943" s="132"/>
      <c r="X943" s="224"/>
    </row>
    <row r="944" spans="4:24" ht="15.75" customHeight="1">
      <c r="D944" s="203"/>
      <c r="E944" s="31"/>
      <c r="I944" s="132"/>
      <c r="K944" s="221"/>
      <c r="O944" s="132"/>
      <c r="T944" s="132"/>
      <c r="X944" s="224"/>
    </row>
    <row r="945" spans="4:24" ht="15.75" customHeight="1">
      <c r="D945" s="203"/>
      <c r="E945" s="31"/>
      <c r="I945" s="132"/>
      <c r="K945" s="221"/>
      <c r="O945" s="132"/>
      <c r="T945" s="132"/>
      <c r="X945" s="224"/>
    </row>
    <row r="946" spans="4:24" ht="15.75" customHeight="1">
      <c r="D946" s="203"/>
      <c r="E946" s="31"/>
      <c r="I946" s="132"/>
      <c r="K946" s="221"/>
      <c r="O946" s="132"/>
      <c r="T946" s="132"/>
      <c r="X946" s="224"/>
    </row>
    <row r="947" spans="4:24" ht="15.75" customHeight="1">
      <c r="D947" s="203"/>
      <c r="E947" s="31"/>
      <c r="I947" s="132"/>
      <c r="K947" s="221"/>
      <c r="O947" s="132"/>
      <c r="T947" s="132"/>
      <c r="X947" s="224"/>
    </row>
    <row r="948" spans="4:24" ht="15.75" customHeight="1">
      <c r="D948" s="203"/>
      <c r="E948" s="31"/>
      <c r="I948" s="132"/>
      <c r="K948" s="221"/>
      <c r="O948" s="132"/>
      <c r="T948" s="132"/>
      <c r="X948" s="224"/>
    </row>
    <row r="949" spans="4:24" ht="15.75" customHeight="1">
      <c r="D949" s="203"/>
      <c r="E949" s="31"/>
      <c r="I949" s="132"/>
      <c r="K949" s="221"/>
      <c r="O949" s="132"/>
      <c r="T949" s="132"/>
      <c r="X949" s="224"/>
    </row>
    <row r="950" spans="4:24" ht="15.75" customHeight="1">
      <c r="D950" s="203"/>
      <c r="E950" s="31"/>
      <c r="I950" s="132"/>
      <c r="K950" s="221"/>
      <c r="O950" s="132"/>
      <c r="T950" s="132"/>
      <c r="X950" s="224"/>
    </row>
    <row r="951" spans="4:24" ht="15.75" customHeight="1">
      <c r="D951" s="203"/>
      <c r="E951" s="31"/>
      <c r="I951" s="132"/>
      <c r="K951" s="221"/>
      <c r="O951" s="132"/>
      <c r="T951" s="132"/>
      <c r="X951" s="224"/>
    </row>
    <row r="952" spans="4:24" ht="15.75" customHeight="1">
      <c r="D952" s="203"/>
      <c r="E952" s="31"/>
      <c r="I952" s="132"/>
      <c r="K952" s="221"/>
      <c r="O952" s="132"/>
      <c r="T952" s="132"/>
      <c r="X952" s="224"/>
    </row>
    <row r="953" spans="4:24" ht="15.75" customHeight="1">
      <c r="D953" s="203"/>
      <c r="E953" s="31"/>
      <c r="I953" s="132"/>
      <c r="K953" s="221"/>
      <c r="O953" s="132"/>
      <c r="T953" s="132"/>
      <c r="X953" s="224"/>
    </row>
    <row r="954" spans="4:24" ht="15.75" customHeight="1">
      <c r="D954" s="203"/>
      <c r="E954" s="31"/>
      <c r="I954" s="132"/>
      <c r="K954" s="221"/>
      <c r="O954" s="132"/>
      <c r="T954" s="132"/>
      <c r="X954" s="224"/>
    </row>
    <row r="955" spans="4:24" ht="15.75" customHeight="1">
      <c r="D955" s="203"/>
      <c r="E955" s="31"/>
      <c r="I955" s="132"/>
      <c r="K955" s="221"/>
      <c r="O955" s="132"/>
      <c r="T955" s="132"/>
      <c r="X955" s="224"/>
    </row>
    <row r="956" spans="4:24" ht="15.75" customHeight="1">
      <c r="D956" s="203"/>
      <c r="E956" s="31"/>
      <c r="I956" s="132"/>
      <c r="K956" s="221"/>
      <c r="O956" s="132"/>
      <c r="T956" s="132"/>
      <c r="X956" s="224"/>
    </row>
    <row r="957" spans="4:24" ht="15.75" customHeight="1">
      <c r="D957" s="203"/>
      <c r="E957" s="31"/>
      <c r="I957" s="132"/>
      <c r="K957" s="221"/>
      <c r="O957" s="132"/>
      <c r="T957" s="132"/>
      <c r="X957" s="224"/>
    </row>
    <row r="958" spans="4:24" ht="15.75" customHeight="1">
      <c r="D958" s="203"/>
      <c r="E958" s="31"/>
      <c r="I958" s="132"/>
      <c r="K958" s="221"/>
      <c r="O958" s="132"/>
      <c r="T958" s="132"/>
      <c r="X958" s="224"/>
    </row>
    <row r="959" spans="4:24" ht="15.75" customHeight="1">
      <c r="D959" s="203"/>
      <c r="E959" s="31"/>
      <c r="I959" s="132"/>
      <c r="K959" s="221"/>
      <c r="O959" s="132"/>
      <c r="T959" s="132"/>
      <c r="X959" s="224"/>
    </row>
    <row r="960" spans="4:24" ht="15.75" customHeight="1">
      <c r="D960" s="203"/>
      <c r="E960" s="31"/>
      <c r="I960" s="132"/>
      <c r="K960" s="221"/>
      <c r="O960" s="132"/>
      <c r="T960" s="132"/>
      <c r="X960" s="224"/>
    </row>
    <row r="961" spans="4:24" ht="15.75" customHeight="1">
      <c r="D961" s="203"/>
      <c r="E961" s="31"/>
      <c r="I961" s="132"/>
      <c r="K961" s="221"/>
      <c r="O961" s="132"/>
      <c r="T961" s="132"/>
      <c r="X961" s="224"/>
    </row>
    <row r="962" spans="4:24" ht="15.75" customHeight="1">
      <c r="D962" s="203"/>
      <c r="E962" s="31"/>
      <c r="I962" s="132"/>
      <c r="K962" s="221"/>
      <c r="O962" s="132"/>
      <c r="T962" s="132"/>
      <c r="X962" s="224"/>
    </row>
    <row r="963" spans="4:24" ht="15.75" customHeight="1">
      <c r="D963" s="203"/>
      <c r="E963" s="31"/>
      <c r="I963" s="132"/>
      <c r="K963" s="221"/>
      <c r="O963" s="132"/>
      <c r="T963" s="132"/>
      <c r="X963" s="224"/>
    </row>
    <row r="964" spans="4:24" ht="15.75" customHeight="1">
      <c r="D964" s="203"/>
      <c r="E964" s="31"/>
      <c r="I964" s="132"/>
      <c r="K964" s="221"/>
      <c r="O964" s="132"/>
      <c r="T964" s="132"/>
      <c r="X964" s="224"/>
    </row>
    <row r="965" spans="4:24" ht="15.75" customHeight="1">
      <c r="D965" s="203"/>
      <c r="E965" s="31"/>
      <c r="I965" s="132"/>
      <c r="K965" s="221"/>
      <c r="O965" s="132"/>
      <c r="T965" s="132"/>
      <c r="X965" s="224"/>
    </row>
    <row r="966" spans="4:24" ht="15.75" customHeight="1">
      <c r="D966" s="203"/>
      <c r="E966" s="31"/>
      <c r="I966" s="132"/>
      <c r="K966" s="221"/>
      <c r="O966" s="132"/>
      <c r="T966" s="132"/>
      <c r="X966" s="224"/>
    </row>
    <row r="967" spans="4:24" ht="15.75" customHeight="1">
      <c r="D967" s="203"/>
      <c r="E967" s="31"/>
      <c r="I967" s="132"/>
      <c r="K967" s="221"/>
      <c r="O967" s="132"/>
      <c r="T967" s="132"/>
      <c r="X967" s="224"/>
    </row>
    <row r="968" spans="4:24" ht="15.75" customHeight="1">
      <c r="D968" s="203"/>
      <c r="E968" s="31"/>
      <c r="I968" s="132"/>
      <c r="K968" s="221"/>
      <c r="O968" s="132"/>
      <c r="T968" s="132"/>
      <c r="X968" s="224"/>
    </row>
    <row r="969" spans="4:24" ht="15.75" customHeight="1">
      <c r="D969" s="203"/>
      <c r="E969" s="31"/>
      <c r="I969" s="132"/>
      <c r="K969" s="221"/>
      <c r="O969" s="132"/>
      <c r="T969" s="132"/>
      <c r="X969" s="224"/>
    </row>
    <row r="970" spans="4:24" ht="15.75" customHeight="1">
      <c r="D970" s="203"/>
      <c r="E970" s="31"/>
      <c r="I970" s="132"/>
      <c r="K970" s="221"/>
      <c r="O970" s="132"/>
      <c r="T970" s="132"/>
      <c r="X970" s="224"/>
    </row>
    <row r="971" spans="4:24" ht="15.75" customHeight="1">
      <c r="D971" s="203"/>
      <c r="E971" s="31"/>
      <c r="I971" s="132"/>
      <c r="K971" s="221"/>
      <c r="O971" s="132"/>
      <c r="T971" s="132"/>
      <c r="X971" s="224"/>
    </row>
    <row r="972" spans="4:24" ht="15.75" customHeight="1">
      <c r="D972" s="203"/>
      <c r="E972" s="31"/>
      <c r="I972" s="132"/>
      <c r="K972" s="221"/>
      <c r="O972" s="132"/>
      <c r="T972" s="132"/>
      <c r="X972" s="224"/>
    </row>
    <row r="973" spans="4:24" ht="15.75" customHeight="1">
      <c r="D973" s="203"/>
      <c r="E973" s="31"/>
      <c r="I973" s="132"/>
      <c r="K973" s="221"/>
      <c r="O973" s="132"/>
      <c r="T973" s="132"/>
      <c r="X973" s="224"/>
    </row>
    <row r="974" spans="4:24" ht="15.75" customHeight="1">
      <c r="D974" s="203"/>
      <c r="E974" s="31"/>
      <c r="I974" s="132"/>
      <c r="K974" s="221"/>
      <c r="O974" s="132"/>
      <c r="T974" s="132"/>
      <c r="X974" s="224"/>
    </row>
    <row r="975" spans="4:24" ht="15.75" customHeight="1">
      <c r="D975" s="203"/>
      <c r="E975" s="31"/>
      <c r="I975" s="132"/>
      <c r="K975" s="221"/>
      <c r="O975" s="132"/>
      <c r="T975" s="132"/>
      <c r="X975" s="224"/>
    </row>
    <row r="976" spans="4:24" ht="15.75" customHeight="1">
      <c r="D976" s="203"/>
      <c r="E976" s="31"/>
      <c r="I976" s="132"/>
      <c r="K976" s="221"/>
      <c r="O976" s="132"/>
      <c r="T976" s="132"/>
      <c r="X976" s="224"/>
    </row>
    <row r="977" spans="4:24" ht="15.75" customHeight="1">
      <c r="D977" s="203"/>
      <c r="E977" s="31"/>
      <c r="I977" s="132"/>
      <c r="K977" s="221"/>
      <c r="O977" s="132"/>
      <c r="T977" s="132"/>
      <c r="X977" s="224"/>
    </row>
    <row r="978" spans="4:24" ht="15.75" customHeight="1">
      <c r="D978" s="203"/>
      <c r="E978" s="31"/>
      <c r="I978" s="132"/>
      <c r="K978" s="221"/>
      <c r="O978" s="132"/>
      <c r="T978" s="132"/>
      <c r="X978" s="224"/>
    </row>
    <row r="979" spans="4:24" ht="15.75" customHeight="1">
      <c r="D979" s="203"/>
      <c r="E979" s="31"/>
      <c r="I979" s="132"/>
      <c r="K979" s="221"/>
      <c r="O979" s="132"/>
      <c r="T979" s="132"/>
      <c r="X979" s="224"/>
    </row>
    <row r="980" spans="4:24" ht="15.75" customHeight="1">
      <c r="D980" s="203"/>
      <c r="E980" s="31"/>
      <c r="I980" s="132"/>
      <c r="K980" s="221"/>
      <c r="O980" s="132"/>
      <c r="T980" s="132"/>
      <c r="X980" s="224"/>
    </row>
    <row r="981" spans="4:24" ht="15.75" customHeight="1">
      <c r="D981" s="203"/>
      <c r="E981" s="31"/>
      <c r="I981" s="132"/>
      <c r="K981" s="221"/>
      <c r="O981" s="132"/>
      <c r="T981" s="132"/>
      <c r="X981" s="224"/>
    </row>
    <row r="982" spans="4:24" ht="15.75" customHeight="1">
      <c r="D982" s="203"/>
      <c r="E982" s="31"/>
      <c r="I982" s="132"/>
      <c r="K982" s="221"/>
      <c r="O982" s="132"/>
      <c r="T982" s="132"/>
      <c r="X982" s="224"/>
    </row>
    <row r="983" spans="4:24" ht="15.75" customHeight="1">
      <c r="D983" s="203"/>
      <c r="E983" s="31"/>
      <c r="I983" s="132"/>
      <c r="K983" s="221"/>
      <c r="T983" s="132"/>
    </row>
    <row r="984" spans="4:24" ht="15.75" customHeight="1">
      <c r="D984" s="203"/>
      <c r="E984" s="31"/>
      <c r="I984" s="132"/>
      <c r="K984" s="221"/>
      <c r="T984" s="132"/>
    </row>
    <row r="985" spans="4:24" ht="15.75" customHeight="1">
      <c r="D985" s="203"/>
      <c r="E985" s="31"/>
      <c r="I985" s="132"/>
      <c r="K985" s="221"/>
      <c r="T985" s="132"/>
    </row>
    <row r="986" spans="4:24" ht="15.75" customHeight="1">
      <c r="D986" s="203"/>
      <c r="E986" s="31"/>
      <c r="I986" s="132"/>
      <c r="K986" s="221"/>
      <c r="T986" s="132"/>
    </row>
    <row r="987" spans="4:24" ht="15.75" customHeight="1">
      <c r="D987" s="203"/>
      <c r="E987" s="31"/>
      <c r="I987" s="132"/>
      <c r="K987" s="221"/>
      <c r="T987" s="132"/>
    </row>
    <row r="988" spans="4:24" ht="15.75" customHeight="1">
      <c r="D988" s="203"/>
      <c r="E988" s="31"/>
      <c r="I988" s="132"/>
      <c r="K988" s="221"/>
      <c r="T988" s="132"/>
    </row>
    <row r="989" spans="4:24" ht="15.75" customHeight="1">
      <c r="D989" s="203"/>
      <c r="E989" s="31"/>
      <c r="I989" s="132"/>
      <c r="K989" s="221"/>
      <c r="T989" s="132"/>
    </row>
    <row r="990" spans="4:24" ht="15.75" customHeight="1">
      <c r="D990" s="203"/>
      <c r="E990" s="31"/>
      <c r="I990" s="132"/>
      <c r="K990" s="221"/>
      <c r="T990" s="132"/>
    </row>
    <row r="991" spans="4:24" ht="15.75" customHeight="1">
      <c r="D991" s="203"/>
      <c r="E991" s="31"/>
      <c r="I991" s="132"/>
      <c r="K991" s="221"/>
      <c r="T991" s="132"/>
    </row>
    <row r="992" spans="4:24" ht="15.75" customHeight="1">
      <c r="D992" s="203"/>
      <c r="E992" s="31"/>
      <c r="I992" s="132"/>
      <c r="K992" s="221"/>
      <c r="T992" s="132"/>
    </row>
    <row r="993" spans="4:20" ht="15.75" customHeight="1">
      <c r="D993" s="203"/>
      <c r="E993" s="31"/>
      <c r="I993" s="132"/>
      <c r="K993" s="221"/>
      <c r="T993" s="132"/>
    </row>
    <row r="994" spans="4:20" ht="15.75" customHeight="1">
      <c r="D994" s="203"/>
      <c r="E994" s="31"/>
      <c r="I994" s="132"/>
      <c r="K994" s="221"/>
      <c r="T994" s="132"/>
    </row>
    <row r="995" spans="4:20" ht="15.75" customHeight="1">
      <c r="D995" s="203"/>
      <c r="E995" s="31"/>
      <c r="I995" s="132"/>
      <c r="K995" s="221"/>
      <c r="T995" s="132"/>
    </row>
    <row r="996" spans="4:20" ht="15.75" customHeight="1">
      <c r="D996" s="203"/>
      <c r="E996" s="31"/>
      <c r="I996" s="132"/>
      <c r="K996" s="221"/>
      <c r="T996" s="132"/>
    </row>
    <row r="997" spans="4:20" ht="15.75" customHeight="1">
      <c r="D997" s="203"/>
      <c r="E997" s="31"/>
      <c r="I997" s="132"/>
      <c r="K997" s="221"/>
      <c r="T997" s="132"/>
    </row>
    <row r="998" spans="4:20" ht="15.75" customHeight="1">
      <c r="D998" s="203"/>
      <c r="E998" s="31"/>
      <c r="I998" s="132"/>
      <c r="K998" s="221"/>
      <c r="T998" s="132"/>
    </row>
  </sheetData>
  <conditionalFormatting sqref="N1:N24">
    <cfRule type="cellIs" dxfId="8" priority="3" operator="greaterThan">
      <formula>0</formula>
    </cfRule>
    <cfRule type="cellIs" dxfId="7" priority="4" operator="lessThan">
      <formula>0</formula>
    </cfRule>
  </conditionalFormatting>
  <conditionalFormatting sqref="N26:N909">
    <cfRule type="cellIs" dxfId="6" priority="1" operator="lessThan">
      <formula>0</formula>
    </cfRule>
    <cfRule type="cellIs" dxfId="5" priority="2" operator="greaterThan">
      <formula>0</formula>
    </cfRule>
  </conditionalFormatting>
  <conditionalFormatting sqref="R1:S909">
    <cfRule type="cellIs" dxfId="4" priority="8" operator="lessThanOrEqual">
      <formula>0</formula>
    </cfRule>
  </conditionalFormatting>
  <conditionalFormatting sqref="S1:U909">
    <cfRule type="cellIs" dxfId="3" priority="9" operator="lessThan">
      <formula>0</formula>
    </cfRule>
  </conditionalFormatting>
  <conditionalFormatting sqref="Y1:Y909">
    <cfRule type="cellIs" dxfId="2" priority="5" operator="lessThan">
      <formula>0</formula>
    </cfRule>
  </conditionalFormatting>
  <conditionalFormatting sqref="Z1:Z909">
    <cfRule type="cellIs" dxfId="1" priority="7" operator="greaterThan">
      <formula>0.04</formula>
    </cfRule>
    <cfRule type="cellIs" dxfId="0" priority="6" operator="lessThan">
      <formula>-0.02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933"/>
  <sheetViews>
    <sheetView tabSelected="1" topLeftCell="A34" zoomScale="150" workbookViewId="0">
      <pane xSplit="1" topLeftCell="D1" activePane="topRight" state="frozen"/>
      <selection pane="topRight" activeCell="M71" sqref="M71"/>
    </sheetView>
  </sheetViews>
  <sheetFormatPr baseColWidth="10" defaultColWidth="12.6640625" defaultRowHeight="15" customHeight="1"/>
  <cols>
    <col min="1" max="1" width="27.1640625" customWidth="1"/>
    <col min="2" max="2" width="12.33203125" customWidth="1"/>
  </cols>
  <sheetData>
    <row r="1" spans="1:17" ht="13">
      <c r="A1" s="5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88</v>
      </c>
      <c r="L1" s="3" t="s">
        <v>89</v>
      </c>
      <c r="M1" s="5" t="s">
        <v>90</v>
      </c>
      <c r="N1" s="3" t="s">
        <v>91</v>
      </c>
    </row>
    <row r="2" spans="1:17">
      <c r="A2" s="5" t="s">
        <v>10</v>
      </c>
      <c r="B2" s="3">
        <f>COUNTIF(C2:J2, "Present")</f>
        <v>7</v>
      </c>
      <c r="C2" s="6" t="str">
        <f>IF(COUNTIF('CLIENT SECTOR ALLOC'!A:A, A2) &gt; 0, "Present", "Not Present")</f>
        <v>Present</v>
      </c>
      <c r="D2" s="6" t="str">
        <f>IF(COUNTIF('CLIENT SECTOR ALLOC'!E:E, $A2) &gt; 0, "Present", "Not Present")</f>
        <v>Not Present</v>
      </c>
      <c r="E2" s="6" t="str">
        <f>IF(COUNTIF('CLIENT SECTOR ALLOC'!I:I, $A2) &gt; 0, "Present", "Not Present")</f>
        <v>Present</v>
      </c>
      <c r="F2" s="6" t="str">
        <f>IF(COUNTIF('CLIENT SECTOR ALLOC'!M:M, $A2) &gt; 0, "Present", "Not Present")</f>
        <v>Present</v>
      </c>
      <c r="G2" s="6" t="str">
        <f>IF(COUNTIF('CLIENT SECTOR ALLOC'!Q:Q, $A2) &gt; 0, "Present", "Not Present")</f>
        <v>Present</v>
      </c>
      <c r="H2" s="6" t="str">
        <f>IF(COUNTIF('CLIENT SECTOR ALLOC'!U:U, $A2) &gt; 0, "Present", "Not Present")</f>
        <v>Present</v>
      </c>
      <c r="I2" s="6" t="str">
        <f>IF(COUNTIF('CLIENT SECTOR ALLOC'!Z:Z, $A2) &gt; 0, "Present", "Not Present")</f>
        <v>Present</v>
      </c>
      <c r="J2" s="6" t="str">
        <f>IF(COUNTIF('CLIENT SECTOR ALLOC'!AE:AE, $A2) &gt; 0, "Present", "Not Present")</f>
        <v>Present</v>
      </c>
      <c r="L2" s="3">
        <f ca="1">IFERROR(__xludf.DUMMYFUNCTION("googlefinance(A64,""price"")"),480)</f>
        <v>480</v>
      </c>
      <c r="M2">
        <v>444</v>
      </c>
      <c r="N2" s="7">
        <f ca="1">L2-M2*1.05</f>
        <v>13.799999999999955</v>
      </c>
      <c r="O2" s="7" t="str">
        <f>A2&amp;""&amp;","</f>
        <v>NSE:AEGISCHEM,</v>
      </c>
      <c r="Q2" s="3" t="str">
        <f>VLOOKUP(A2,'all stocks &gt; 500 cr'!$B:$H,6,0)</f>
        <v>Oil &amp; Gas</v>
      </c>
    </row>
    <row r="3" spans="1:17">
      <c r="A3" s="5" t="s">
        <v>14</v>
      </c>
      <c r="B3" s="3">
        <f>COUNTIF(C3:J3, "Present")</f>
        <v>1</v>
      </c>
      <c r="C3" s="6" t="str">
        <f>IF(COUNTIF('CLIENT SECTOR ALLOC'!A:A, A3) &gt; 0, "Present", "Not Present")</f>
        <v>Not Present</v>
      </c>
      <c r="D3" s="6" t="str">
        <f>IF(COUNTIF('CLIENT SECTOR ALLOC'!E:E, $A3) &gt; 0, "Present", "Not Present")</f>
        <v>Not Present</v>
      </c>
      <c r="E3" s="6" t="str">
        <f>IF(COUNTIF('CLIENT SECTOR ALLOC'!I:I, $A3) &gt; 0, "Present", "Not Present")</f>
        <v>Present</v>
      </c>
      <c r="F3" s="6" t="str">
        <f>IF(COUNTIF('CLIENT SECTOR ALLOC'!M:M, $A3) &gt; 0, "Present", "Not Present")</f>
        <v>Not Present</v>
      </c>
      <c r="G3" s="6" t="str">
        <f>IF(COUNTIF('CLIENT SECTOR ALLOC'!Q:Q, $A3) &gt; 0, "Present", "Not Present")</f>
        <v>Not Present</v>
      </c>
      <c r="H3" s="6" t="str">
        <f>IF(COUNTIF('CLIENT SECTOR ALLOC'!U:U, $A3) &gt; 0, "Present", "Not Present")</f>
        <v>Not Present</v>
      </c>
      <c r="I3" s="6" t="str">
        <f>IF(COUNTIF('CLIENT SECTOR ALLOC'!Z:Z, $A3) &gt; 0, "Present", "Not Present")</f>
        <v>Not Present</v>
      </c>
      <c r="J3" s="6" t="str">
        <f>IF(COUNTIF('CLIENT SECTOR ALLOC'!AE:AE, $A3) &gt; 0, "Present", "Not Present")</f>
        <v>Not Present</v>
      </c>
      <c r="L3" s="3">
        <f ca="1">IFERROR(__xludf.DUMMYFUNCTION("googlefinance(A2,""price"")"),818)</f>
        <v>818</v>
      </c>
      <c r="M3" s="3">
        <v>750</v>
      </c>
      <c r="N3" s="7">
        <f ca="1">L3-M3*1.05</f>
        <v>30.5</v>
      </c>
      <c r="O3" s="7" t="str">
        <f>A3&amp;""&amp;","</f>
        <v>NSE:AJMERA,</v>
      </c>
      <c r="Q3" s="3" t="str">
        <f>VLOOKUP(A3,'all stocks &gt; 500 cr'!$B:$H,6,0)</f>
        <v>Realty</v>
      </c>
    </row>
    <row r="4" spans="1:17">
      <c r="A4" s="5" t="s">
        <v>15</v>
      </c>
      <c r="B4" s="3">
        <f>COUNTIF(C4:J4, "Present")</f>
        <v>3</v>
      </c>
      <c r="C4" s="6" t="str">
        <f>IF(COUNTIF('CLIENT SECTOR ALLOC'!A:A, A4) &gt; 0, "Present", "Not Present")</f>
        <v>Not Present</v>
      </c>
      <c r="D4" s="6" t="str">
        <f>IF(COUNTIF('CLIENT SECTOR ALLOC'!E:E, $A4) &gt; 0, "Present", "Not Present")</f>
        <v>Not Present</v>
      </c>
      <c r="E4" s="6" t="str">
        <f>IF(COUNTIF('CLIENT SECTOR ALLOC'!I:I, $A4) &gt; 0, "Present", "Not Present")</f>
        <v>Not Present</v>
      </c>
      <c r="F4" s="6" t="str">
        <f>IF(COUNTIF('CLIENT SECTOR ALLOC'!M:M, $A4) &gt; 0, "Present", "Not Present")</f>
        <v>Present</v>
      </c>
      <c r="G4" s="6" t="str">
        <f>IF(COUNTIF('CLIENT SECTOR ALLOC'!Q:Q, $A4) &gt; 0, "Present", "Not Present")</f>
        <v>Present</v>
      </c>
      <c r="H4" s="6" t="str">
        <f>IF(COUNTIF('CLIENT SECTOR ALLOC'!U:U, $A4) &gt; 0, "Present", "Not Present")</f>
        <v>Present</v>
      </c>
      <c r="I4" s="6" t="str">
        <f>IF(COUNTIF('CLIENT SECTOR ALLOC'!Z:Z, $A4) &gt; 0, "Present", "Not Present")</f>
        <v>Not Present</v>
      </c>
      <c r="J4" s="6" t="str">
        <f>IF(COUNTIF('CLIENT SECTOR ALLOC'!AE:AE, $A4) &gt; 0, "Present", "Not Present")</f>
        <v>Not Present</v>
      </c>
      <c r="L4" s="3">
        <f ca="1">IFERROR(__xludf.DUMMYFUNCTION("googlefinance(A32,""price"")"),1174)</f>
        <v>1174</v>
      </c>
      <c r="M4">
        <v>1160</v>
      </c>
      <c r="N4" s="7">
        <f ca="1">L4-M4*1.05</f>
        <v>-44</v>
      </c>
      <c r="O4" s="7" t="str">
        <f>A4&amp;""&amp;","</f>
        <v>NSE:ALBERTDAVD,</v>
      </c>
      <c r="Q4" s="3" t="str">
        <f>VLOOKUP(A4,'all stocks &gt; 500 cr'!$B:$H,6,0)</f>
        <v>Pharmaceuticals &amp; Biotechnology</v>
      </c>
    </row>
    <row r="5" spans="1:17">
      <c r="A5" s="5" t="s">
        <v>12</v>
      </c>
      <c r="B5" s="3">
        <f>COUNTIF(C5:J5, "Present")</f>
        <v>3</v>
      </c>
      <c r="C5" s="6" t="str">
        <f>IF(COUNTIF('CLIENT SECTOR ALLOC'!A:A, A5) &gt; 0, "Present", "Not Present")</f>
        <v>Present</v>
      </c>
      <c r="D5" s="6" t="str">
        <f>IF(COUNTIF('CLIENT SECTOR ALLOC'!E:E, $A5) &gt; 0, "Present", "Not Present")</f>
        <v>Not Present</v>
      </c>
      <c r="E5" s="6" t="str">
        <f>IF(COUNTIF('CLIENT SECTOR ALLOC'!I:I, $A5) &gt; 0, "Present", "Not Present")</f>
        <v>Present</v>
      </c>
      <c r="F5" s="6" t="str">
        <f>IF(COUNTIF('CLIENT SECTOR ALLOC'!M:M, $A5) &gt; 0, "Present", "Not Present")</f>
        <v>Not Present</v>
      </c>
      <c r="G5" s="6" t="str">
        <f>IF(COUNTIF('CLIENT SECTOR ALLOC'!Q:Q, $A5) &gt; 0, "Present", "Not Present")</f>
        <v>Not Present</v>
      </c>
      <c r="H5" s="6" t="str">
        <f>IF(COUNTIF('CLIENT SECTOR ALLOC'!U:U, $A5) &gt; 0, "Present", "Not Present")</f>
        <v>Not Present</v>
      </c>
      <c r="I5" s="6" t="str">
        <f>IF(COUNTIF('CLIENT SECTOR ALLOC'!Z:Z, $A5) &gt; 0, "Present", "Not Present")</f>
        <v>Present</v>
      </c>
      <c r="J5" s="6" t="str">
        <f>IF(COUNTIF('CLIENT SECTOR ALLOC'!AE:AE, $A5) &gt; 0, "Present", "Not Present")</f>
        <v>Not Present</v>
      </c>
      <c r="L5" s="3">
        <f ca="1">IFERROR(__xludf.DUMMYFUNCTION("googlefinance(A33,""price"")"),725)</f>
        <v>725</v>
      </c>
      <c r="M5">
        <v>697</v>
      </c>
      <c r="N5" s="7">
        <f ca="1">L5-M5*1.05</f>
        <v>-6.8500000000000227</v>
      </c>
      <c r="O5" s="7" t="str">
        <f>A5&amp;""&amp;","</f>
        <v>NSE:ALLSEC,</v>
      </c>
      <c r="Q5" s="3" t="str">
        <f>VLOOKUP(A5,'all stocks &gt; 500 cr'!$B:$H,6,0)</f>
        <v>Software &amp; Services</v>
      </c>
    </row>
    <row r="6" spans="1:17">
      <c r="A6" s="5" t="s">
        <v>17</v>
      </c>
      <c r="B6" s="3">
        <f>COUNTIF(C6:J6, "Present")</f>
        <v>3</v>
      </c>
      <c r="C6" s="6" t="str">
        <f>IF(COUNTIF('CLIENT SECTOR ALLOC'!A:A, A6) &gt; 0, "Present", "Not Present")</f>
        <v>Present</v>
      </c>
      <c r="D6" s="6" t="str">
        <f>IF(COUNTIF('CLIENT SECTOR ALLOC'!E:E, $A6) &gt; 0, "Present", "Not Present")</f>
        <v>Not Present</v>
      </c>
      <c r="E6" s="6" t="str">
        <f>IF(COUNTIF('CLIENT SECTOR ALLOC'!I:I, $A6) &gt; 0, "Present", "Not Present")</f>
        <v>Present</v>
      </c>
      <c r="F6" s="6" t="str">
        <f>IF(COUNTIF('CLIENT SECTOR ALLOC'!M:M, $A6) &gt; 0, "Present", "Not Present")</f>
        <v>Present</v>
      </c>
      <c r="G6" s="6" t="str">
        <f>IF(COUNTIF('CLIENT SECTOR ALLOC'!Q:Q, $A6) &gt; 0, "Present", "Not Present")</f>
        <v>Not Present</v>
      </c>
      <c r="H6" s="6" t="str">
        <f>IF(COUNTIF('CLIENT SECTOR ALLOC'!U:U, $A6) &gt; 0, "Present", "Not Present")</f>
        <v>Not Present</v>
      </c>
      <c r="I6" s="6" t="str">
        <f>IF(COUNTIF('CLIENT SECTOR ALLOC'!Z:Z, $A6) &gt; 0, "Present", "Not Present")</f>
        <v>Not Present</v>
      </c>
      <c r="J6" s="6" t="str">
        <f>IF(COUNTIF('CLIENT SECTOR ALLOC'!AE:AE, $A6) &gt; 0, "Present", "Not Present")</f>
        <v>Not Present</v>
      </c>
      <c r="L6" s="3">
        <f ca="1">IFERROR(__xludf.DUMMYFUNCTION("googlefinance(A34,""price"")"),364)</f>
        <v>364</v>
      </c>
      <c r="M6">
        <v>332</v>
      </c>
      <c r="N6" s="7">
        <f ca="1">L6-M6*1.05</f>
        <v>15.399999999999977</v>
      </c>
      <c r="O6" s="7" t="str">
        <f>A6&amp;""&amp;","</f>
        <v>NSE:ARIHANTSUP,</v>
      </c>
      <c r="Q6" s="3" t="str">
        <f>VLOOKUP(A6,'all stocks &gt; 500 cr'!$B:$H,6,0)</f>
        <v>Realty</v>
      </c>
    </row>
    <row r="7" spans="1:17">
      <c r="A7" s="5" t="s">
        <v>19</v>
      </c>
      <c r="B7" s="3">
        <f>COUNTIF(C7:J7, "Present")</f>
        <v>2</v>
      </c>
      <c r="C7" s="6" t="str">
        <f>IF(COUNTIF('CLIENT SECTOR ALLOC'!A:A, A7) &gt; 0, "Present", "Not Present")</f>
        <v>Not Present</v>
      </c>
      <c r="D7" s="6" t="str">
        <f>IF(COUNTIF('CLIENT SECTOR ALLOC'!E:E, $A7) &gt; 0, "Present", "Not Present")</f>
        <v>Not Present</v>
      </c>
      <c r="E7" s="6" t="str">
        <f>IF(COUNTIF('CLIENT SECTOR ALLOC'!I:I, $A7) &gt; 0, "Present", "Not Present")</f>
        <v>Not Present</v>
      </c>
      <c r="F7" s="6" t="str">
        <f>IF(COUNTIF('CLIENT SECTOR ALLOC'!M:M, $A7) &gt; 0, "Present", "Not Present")</f>
        <v>Not Present</v>
      </c>
      <c r="G7" s="6" t="str">
        <f>IF(COUNTIF('CLIENT SECTOR ALLOC'!Q:Q, $A7) &gt; 0, "Present", "Not Present")</f>
        <v>Present</v>
      </c>
      <c r="H7" s="6" t="str">
        <f>IF(COUNTIF('CLIENT SECTOR ALLOC'!U:U, $A7) &gt; 0, "Present", "Not Present")</f>
        <v>Present</v>
      </c>
      <c r="I7" s="6" t="str">
        <f>IF(COUNTIF('CLIENT SECTOR ALLOC'!Z:Z, $A7) &gt; 0, "Present", "Not Present")</f>
        <v>Not Present</v>
      </c>
      <c r="J7" s="6" t="str">
        <f>IF(COUNTIF('CLIENT SECTOR ALLOC'!AE:AE, $A7) &gt; 0, "Present", "Not Present")</f>
        <v>Not Present</v>
      </c>
      <c r="L7" s="3">
        <f ca="1">IFERROR(__xludf.DUMMYFUNCTION("googlefinance(A17,""price"")"),258)</f>
        <v>258</v>
      </c>
      <c r="M7">
        <v>252</v>
      </c>
      <c r="N7" s="7">
        <f ca="1">L7-M7*1.05</f>
        <v>-6.6000000000000227</v>
      </c>
      <c r="O7" s="7" t="str">
        <f>A7&amp;""&amp;","</f>
        <v>NSE:BALMLAWRIE,</v>
      </c>
      <c r="Q7" s="3" t="str">
        <f>VLOOKUP(A7,'all stocks &gt; 500 cr'!$B:$H,6,0)</f>
        <v>Commercial Services &amp; Supplies</v>
      </c>
    </row>
    <row r="8" spans="1:17">
      <c r="A8" s="5" t="s">
        <v>11</v>
      </c>
      <c r="B8" s="3">
        <f>COUNTIF(C8:J8, "Present")</f>
        <v>6</v>
      </c>
      <c r="C8" s="6" t="str">
        <f>IF(COUNTIF('CLIENT SECTOR ALLOC'!A:A, A8) &gt; 0, "Present", "Not Present")</f>
        <v>Present</v>
      </c>
      <c r="D8" s="6" t="str">
        <f>IF(COUNTIF('CLIENT SECTOR ALLOC'!E:E, $A8) &gt; 0, "Present", "Not Present")</f>
        <v>Present</v>
      </c>
      <c r="E8" s="6" t="str">
        <f>IF(COUNTIF('CLIENT SECTOR ALLOC'!I:I, $A8) &gt; 0, "Present", "Not Present")</f>
        <v>Present</v>
      </c>
      <c r="F8" s="6" t="str">
        <f>IF(COUNTIF('CLIENT SECTOR ALLOC'!M:M, $A8) &gt; 0, "Present", "Not Present")</f>
        <v>Present</v>
      </c>
      <c r="G8" s="6" t="str">
        <f>IF(COUNTIF('CLIENT SECTOR ALLOC'!Q:Q, $A8) &gt; 0, "Present", "Not Present")</f>
        <v>Present</v>
      </c>
      <c r="H8" s="6" t="str">
        <f>IF(COUNTIF('CLIENT SECTOR ALLOC'!U:U, $A8) &gt; 0, "Present", "Not Present")</f>
        <v>Present</v>
      </c>
      <c r="I8" s="6" t="str">
        <f>IF(COUNTIF('CLIENT SECTOR ALLOC'!Z:Z, $A8) &gt; 0, "Present", "Not Present")</f>
        <v>Not Present</v>
      </c>
      <c r="J8" s="6" t="str">
        <f>IF(COUNTIF('CLIENT SECTOR ALLOC'!AE:AE, $A8) &gt; 0, "Present", "Not Present")</f>
        <v>Not Present</v>
      </c>
      <c r="L8" s="3">
        <f ca="1">IFERROR(__xludf.DUMMYFUNCTION("googlefinance(A58,""price"")"),143.1)</f>
        <v>143.1</v>
      </c>
      <c r="M8">
        <v>134</v>
      </c>
      <c r="N8" s="7">
        <f ca="1">L8-M8*1.05</f>
        <v>2.3999999999999773</v>
      </c>
      <c r="O8" s="7" t="str">
        <f>A8&amp;""&amp;","</f>
        <v>NSE:BANKINDIA,</v>
      </c>
      <c r="Q8" s="3" t="str">
        <f>VLOOKUP(A8,'all stocks &gt; 500 cr'!$B:$H,6,0)</f>
        <v>Banking and Finance</v>
      </c>
    </row>
    <row r="9" spans="1:17">
      <c r="A9" s="5" t="s">
        <v>20</v>
      </c>
      <c r="B9" s="3">
        <f>COUNTIF(C9:J9, "Present")</f>
        <v>1</v>
      </c>
      <c r="C9" s="6" t="str">
        <f>IF(COUNTIF('CLIENT SECTOR ALLOC'!A:A, A9) &gt; 0, "Present", "Not Present")</f>
        <v>Not Present</v>
      </c>
      <c r="D9" s="6" t="str">
        <f>IF(COUNTIF('CLIENT SECTOR ALLOC'!E:E, $A9) &gt; 0, "Present", "Not Present")</f>
        <v>Not Present</v>
      </c>
      <c r="E9" s="6" t="str">
        <f>IF(COUNTIF('CLIENT SECTOR ALLOC'!I:I, $A9) &gt; 0, "Present", "Not Present")</f>
        <v>Not Present</v>
      </c>
      <c r="F9" s="6" t="str">
        <f>IF(COUNTIF('CLIENT SECTOR ALLOC'!M:M, $A9) &gt; 0, "Present", "Not Present")</f>
        <v>Not Present</v>
      </c>
      <c r="G9" s="6" t="str">
        <f>IF(COUNTIF('CLIENT SECTOR ALLOC'!Q:Q, $A9) &gt; 0, "Present", "Not Present")</f>
        <v>Not Present</v>
      </c>
      <c r="H9" s="6" t="str">
        <f>IF(COUNTIF('CLIENT SECTOR ALLOC'!U:U, $A9) &gt; 0, "Present", "Not Present")</f>
        <v>Not Present</v>
      </c>
      <c r="I9" s="6" t="str">
        <f>IF(COUNTIF('CLIENT SECTOR ALLOC'!Z:Z, $A9) &gt; 0, "Present", "Not Present")</f>
        <v>Present</v>
      </c>
      <c r="J9" s="6" t="str">
        <f>IF(COUNTIF('CLIENT SECTOR ALLOC'!AE:AE, $A9) &gt; 0, "Present", "Not Present")</f>
        <v>Not Present</v>
      </c>
      <c r="L9" s="3">
        <f ca="1">IFERROR(__xludf.DUMMYFUNCTION("googlefinance(A3,""price"")"),1222.85)</f>
        <v>1222.8499999999999</v>
      </c>
      <c r="M9">
        <v>1187</v>
      </c>
      <c r="N9" s="7">
        <f ca="1">L9-M9*1.05</f>
        <v>-23.500000000000227</v>
      </c>
      <c r="O9" s="7" t="str">
        <f>A9&amp;""&amp;","</f>
        <v>NSE:BHARTIARTL,</v>
      </c>
      <c r="Q9" s="3" t="str">
        <f>VLOOKUP(A9,'all stocks &gt; 500 cr'!$B:$H,6,0)</f>
        <v>Telecom Services</v>
      </c>
    </row>
    <row r="10" spans="1:17">
      <c r="A10" s="5" t="s">
        <v>13</v>
      </c>
      <c r="B10" s="3">
        <f>COUNTIF(C10:J10, "Present")</f>
        <v>4</v>
      </c>
      <c r="C10" s="6" t="str">
        <f>IF(COUNTIF('CLIENT SECTOR ALLOC'!A:A, A10) &gt; 0, "Present", "Not Present")</f>
        <v>Not Present</v>
      </c>
      <c r="D10" s="6" t="str">
        <f>IF(COUNTIF('CLIENT SECTOR ALLOC'!E:E, $A10) &gt; 0, "Present", "Not Present")</f>
        <v>Present</v>
      </c>
      <c r="E10" s="6" t="str">
        <f>IF(COUNTIF('CLIENT SECTOR ALLOC'!I:I, $A10) &gt; 0, "Present", "Not Present")</f>
        <v>Not Present</v>
      </c>
      <c r="F10" s="6" t="str">
        <f>IF(COUNTIF('CLIENT SECTOR ALLOC'!M:M, $A10) &gt; 0, "Present", "Not Present")</f>
        <v>Present</v>
      </c>
      <c r="G10" s="6" t="str">
        <f>IF(COUNTIF('CLIENT SECTOR ALLOC'!Q:Q, $A10) &gt; 0, "Present", "Not Present")</f>
        <v>Present</v>
      </c>
      <c r="H10" s="6" t="str">
        <f>IF(COUNTIF('CLIENT SECTOR ALLOC'!U:U, $A10) &gt; 0, "Present", "Not Present")</f>
        <v>Present</v>
      </c>
      <c r="I10" s="6" t="str">
        <f>IF(COUNTIF('CLIENT SECTOR ALLOC'!Z:Z, $A10) &gt; 0, "Present", "Not Present")</f>
        <v>Not Present</v>
      </c>
      <c r="J10" s="6" t="str">
        <f>IF(COUNTIF('CLIENT SECTOR ALLOC'!AE:AE, $A10) &gt; 0, "Present", "Not Present")</f>
        <v>Not Present</v>
      </c>
      <c r="L10" s="3">
        <f ca="1">IFERROR(__xludf.DUMMYFUNCTION("googlefinance(A48,""price"")"),67.95)</f>
        <v>67.95</v>
      </c>
      <c r="M10" s="272" t="s">
        <v>6170</v>
      </c>
      <c r="N10" s="7" t="e">
        <f ca="1">L10-M10*1.05</f>
        <v>#VALUE!</v>
      </c>
      <c r="O10" s="7" t="str">
        <f>A10&amp;""&amp;","</f>
        <v>NSE:BLKASHYAP,</v>
      </c>
      <c r="Q10" s="3" t="str">
        <f>VLOOKUP(A10,'all stocks &gt; 500 cr'!$B:$H,6,0)</f>
        <v>Cement and Construction</v>
      </c>
    </row>
    <row r="11" spans="1:17">
      <c r="A11" s="5" t="s">
        <v>29</v>
      </c>
      <c r="B11" s="3">
        <f>COUNTIF(C11:J11, "Present")</f>
        <v>1</v>
      </c>
      <c r="C11" s="6" t="str">
        <f>IF(COUNTIF('CLIENT SECTOR ALLOC'!A:A, A11) &gt; 0, "Present", "Not Present")</f>
        <v>Not Present</v>
      </c>
      <c r="D11" s="6" t="str">
        <f>IF(COUNTIF('CLIENT SECTOR ALLOC'!E:E, $A11) &gt; 0, "Present", "Not Present")</f>
        <v>Not Present</v>
      </c>
      <c r="E11" s="6" t="str">
        <f>IF(COUNTIF('CLIENT SECTOR ALLOC'!I:I, $A11) &gt; 0, "Present", "Not Present")</f>
        <v>Present</v>
      </c>
      <c r="F11" s="6" t="str">
        <f>IF(COUNTIF('CLIENT SECTOR ALLOC'!M:M, $A11) &gt; 0, "Present", "Not Present")</f>
        <v>Not Present</v>
      </c>
      <c r="G11" s="6" t="str">
        <f>IF(COUNTIF('CLIENT SECTOR ALLOC'!Q:Q, $A11) &gt; 0, "Present", "Not Present")</f>
        <v>Not Present</v>
      </c>
      <c r="H11" s="6" t="str">
        <f>IF(COUNTIF('CLIENT SECTOR ALLOC'!U:U, $A11) &gt; 0, "Present", "Not Present")</f>
        <v>Not Present</v>
      </c>
      <c r="I11" s="6" t="str">
        <f>IF(COUNTIF('CLIENT SECTOR ALLOC'!Z:Z, $A11) &gt; 0, "Present", "Not Present")</f>
        <v>Not Present</v>
      </c>
      <c r="J11" s="6" t="str">
        <f>IF(COUNTIF('CLIENT SECTOR ALLOC'!AE:AE, $A11) &gt; 0, "Present", "Not Present")</f>
        <v>Not Present</v>
      </c>
      <c r="L11" s="3">
        <f ca="1">IFERROR(__xludf.DUMMYFUNCTION("googlefinance(A4,""price"")"),296.25)</f>
        <v>296.25</v>
      </c>
      <c r="M11" s="3">
        <v>281</v>
      </c>
      <c r="N11" s="7">
        <f ca="1">L11-M11*1.05</f>
        <v>1.1999999999999886</v>
      </c>
      <c r="O11" s="7" t="str">
        <f>A11&amp;""&amp;","</f>
        <v>NSE:CAPACITE,</v>
      </c>
      <c r="Q11" s="3" t="str">
        <f>VLOOKUP(A11,'all stocks &gt; 500 cr'!$B:$H,6,0)</f>
        <v>Cement and Construction</v>
      </c>
    </row>
    <row r="12" spans="1:17">
      <c r="A12" s="5" t="s">
        <v>34</v>
      </c>
      <c r="B12" s="3">
        <f>COUNTIF(C12:J12, "Present")</f>
        <v>1</v>
      </c>
      <c r="C12" s="6" t="str">
        <f>IF(COUNTIF('CLIENT SECTOR ALLOC'!A:A, A12) &gt; 0, "Present", "Not Present")</f>
        <v>Not Present</v>
      </c>
      <c r="D12" s="6" t="str">
        <f>IF(COUNTIF('CLIENT SECTOR ALLOC'!E:E, $A12) &gt; 0, "Present", "Not Present")</f>
        <v>Not Present</v>
      </c>
      <c r="E12" s="6" t="str">
        <f>IF(COUNTIF('CLIENT SECTOR ALLOC'!I:I, $A12) &gt; 0, "Present", "Not Present")</f>
        <v>Present</v>
      </c>
      <c r="F12" s="6" t="str">
        <f>IF(COUNTIF('CLIENT SECTOR ALLOC'!M:M, $A12) &gt; 0, "Present", "Not Present")</f>
        <v>Not Present</v>
      </c>
      <c r="G12" s="6" t="str">
        <f>IF(COUNTIF('CLIENT SECTOR ALLOC'!Q:Q, $A12) &gt; 0, "Present", "Not Present")</f>
        <v>Not Present</v>
      </c>
      <c r="H12" s="6" t="str">
        <f>IF(COUNTIF('CLIENT SECTOR ALLOC'!U:U, $A12) &gt; 0, "Present", "Not Present")</f>
        <v>Not Present</v>
      </c>
      <c r="I12" s="6" t="str">
        <f>IF(COUNTIF('CLIENT SECTOR ALLOC'!Z:Z, $A12) &gt; 0, "Present", "Not Present")</f>
        <v>Not Present</v>
      </c>
      <c r="J12" s="6" t="str">
        <f>IF(COUNTIF('CLIENT SECTOR ALLOC'!AE:AE, $A12) &gt; 0, "Present", "Not Present")</f>
        <v>Not Present</v>
      </c>
      <c r="L12" s="3">
        <f ca="1">IFERROR(__xludf.DUMMYFUNCTION("googlefinance(A5,""price"")"),325.2)</f>
        <v>325.2</v>
      </c>
      <c r="M12" s="3">
        <v>260</v>
      </c>
      <c r="N12" s="7">
        <f ca="1">L12-M12*1.05</f>
        <v>52.199999999999989</v>
      </c>
      <c r="O12" s="7" t="str">
        <f>A12&amp;""&amp;","</f>
        <v>NSE:CAREERP,</v>
      </c>
      <c r="Q12" s="3" t="e">
        <f>VLOOKUP(A12,'all stocks &gt; 500 cr'!$B:$H,6,0)</f>
        <v>#N/A</v>
      </c>
    </row>
    <row r="13" spans="1:17">
      <c r="A13" s="5" t="s">
        <v>16</v>
      </c>
      <c r="B13" s="3">
        <f>COUNTIF(C13:J13, "Present")</f>
        <v>5</v>
      </c>
      <c r="C13" s="6" t="str">
        <f>IF(COUNTIF('CLIENT SECTOR ALLOC'!A:A, A13) &gt; 0, "Present", "Not Present")</f>
        <v>Present</v>
      </c>
      <c r="D13" s="6" t="str">
        <f>IF(COUNTIF('CLIENT SECTOR ALLOC'!E:E, $A13) &gt; 0, "Present", "Not Present")</f>
        <v>Not Present</v>
      </c>
      <c r="E13" s="6" t="str">
        <f>IF(COUNTIF('CLIENT SECTOR ALLOC'!I:I, $A13) &gt; 0, "Present", "Not Present")</f>
        <v>Not Present</v>
      </c>
      <c r="F13" s="6" t="str">
        <f>IF(COUNTIF('CLIENT SECTOR ALLOC'!M:M, $A13) &gt; 0, "Present", "Not Present")</f>
        <v>Present</v>
      </c>
      <c r="G13" s="6" t="str">
        <f>IF(COUNTIF('CLIENT SECTOR ALLOC'!Q:Q, $A13) &gt; 0, "Present", "Not Present")</f>
        <v>Present</v>
      </c>
      <c r="H13" s="6" t="str">
        <f>IF(COUNTIF('CLIENT SECTOR ALLOC'!U:U, $A13) &gt; 0, "Present", "Not Present")</f>
        <v>Present</v>
      </c>
      <c r="I13" s="6" t="str">
        <f>IF(COUNTIF('CLIENT SECTOR ALLOC'!Z:Z, $A13) &gt; 0, "Present", "Not Present")</f>
        <v>Not Present</v>
      </c>
      <c r="J13" s="6" t="str">
        <f>IF(COUNTIF('CLIENT SECTOR ALLOC'!AE:AE, $A13) &gt; 0, "Present", "Not Present")</f>
        <v>Present</v>
      </c>
      <c r="L13" s="3">
        <f ca="1">IFERROR(__xludf.DUMMYFUNCTION("googlefinance(A54,""price"")"),1715)</f>
        <v>1715</v>
      </c>
      <c r="M13" s="272">
        <v>1680</v>
      </c>
      <c r="N13" s="7">
        <f ca="1">L13-M13*1.05</f>
        <v>-49</v>
      </c>
      <c r="O13" s="7" t="str">
        <f>A13&amp;""&amp;","</f>
        <v>NSE:CENTUM,</v>
      </c>
      <c r="Q13" s="3" t="str">
        <f>VLOOKUP(A13,'all stocks &gt; 500 cr'!$B:$H,6,0)</f>
        <v>Commercial Services &amp; Supplies</v>
      </c>
    </row>
    <row r="14" spans="1:17">
      <c r="A14" s="5" t="s">
        <v>27</v>
      </c>
      <c r="B14" s="3">
        <f>COUNTIF(C14:J14, "Present")</f>
        <v>1</v>
      </c>
      <c r="C14" s="6" t="str">
        <f>IF(COUNTIF('CLIENT SECTOR ALLOC'!A:A, A14) &gt; 0, "Present", "Not Present")</f>
        <v>Present</v>
      </c>
      <c r="D14" s="6" t="str">
        <f>IF(COUNTIF('CLIENT SECTOR ALLOC'!E:E, $A14) &gt; 0, "Present", "Not Present")</f>
        <v>Not Present</v>
      </c>
      <c r="E14" s="6" t="str">
        <f>IF(COUNTIF('CLIENT SECTOR ALLOC'!I:I, $A14) &gt; 0, "Present", "Not Present")</f>
        <v>Not Present</v>
      </c>
      <c r="F14" s="6" t="str">
        <f>IF(COUNTIF('CLIENT SECTOR ALLOC'!M:M, $A14) &gt; 0, "Present", "Not Present")</f>
        <v>Not Present</v>
      </c>
      <c r="G14" s="6" t="str">
        <f>IF(COUNTIF('CLIENT SECTOR ALLOC'!Q:Q, $A14) &gt; 0, "Present", "Not Present")</f>
        <v>Not Present</v>
      </c>
      <c r="H14" s="6" t="str">
        <f>IF(COUNTIF('CLIENT SECTOR ALLOC'!U:U, $A14) &gt; 0, "Present", "Not Present")</f>
        <v>Not Present</v>
      </c>
      <c r="I14" s="6" t="str">
        <f>IF(COUNTIF('CLIENT SECTOR ALLOC'!Z:Z, $A14) &gt; 0, "Present", "Not Present")</f>
        <v>Not Present</v>
      </c>
      <c r="J14" s="6" t="str">
        <f>IF(COUNTIF('CLIENT SECTOR ALLOC'!AE:AE, $A14) &gt; 0, "Present", "Not Present")</f>
        <v>Not Present</v>
      </c>
      <c r="L14" s="3">
        <f ca="1">IFERROR(__xludf.DUMMYFUNCTION("googlefinance(A6,""price"")"),1788.8)</f>
        <v>1788.8</v>
      </c>
      <c r="M14" s="3">
        <v>1495</v>
      </c>
      <c r="N14" s="7">
        <f ca="1">L14-M14*1.05</f>
        <v>219.04999999999995</v>
      </c>
      <c r="O14" s="7" t="str">
        <f>A14&amp;""&amp;","</f>
        <v>NSE:CENTURYTEX,</v>
      </c>
      <c r="Q14" s="3" t="str">
        <f>VLOOKUP(A14,'all stocks &gt; 500 cr'!$B:$H,6,0)</f>
        <v>Commercial Services &amp; Supplies</v>
      </c>
    </row>
    <row r="15" spans="1:17">
      <c r="A15" s="5" t="s">
        <v>18</v>
      </c>
      <c r="B15" s="3">
        <f>COUNTIF(C15:J15, "Present")</f>
        <v>3</v>
      </c>
      <c r="C15" s="6" t="str">
        <f>IF(COUNTIF('CLIENT SECTOR ALLOC'!A:A, A15) &gt; 0, "Present", "Not Present")</f>
        <v>Not Present</v>
      </c>
      <c r="D15" s="6" t="str">
        <f>IF(COUNTIF('CLIENT SECTOR ALLOC'!E:E, $A15) &gt; 0, "Present", "Not Present")</f>
        <v>Present</v>
      </c>
      <c r="E15" s="6" t="str">
        <f>IF(COUNTIF('CLIENT SECTOR ALLOC'!I:I, $A15) &gt; 0, "Present", "Not Present")</f>
        <v>Present</v>
      </c>
      <c r="F15" s="6" t="str">
        <f>IF(COUNTIF('CLIENT SECTOR ALLOC'!M:M, $A15) &gt; 0, "Present", "Not Present")</f>
        <v>Not Present</v>
      </c>
      <c r="G15" s="6" t="str">
        <f>IF(COUNTIF('CLIENT SECTOR ALLOC'!Q:Q, $A15) &gt; 0, "Present", "Not Present")</f>
        <v>Present</v>
      </c>
      <c r="H15" s="6" t="str">
        <f>IF(COUNTIF('CLIENT SECTOR ALLOC'!U:U, $A15) &gt; 0, "Present", "Not Present")</f>
        <v>Not Present</v>
      </c>
      <c r="I15" s="6" t="str">
        <f>IF(COUNTIF('CLIENT SECTOR ALLOC'!Z:Z, $A15) &gt; 0, "Present", "Not Present")</f>
        <v>Not Present</v>
      </c>
      <c r="J15" s="6" t="str">
        <f>IF(COUNTIF('CLIENT SECTOR ALLOC'!AE:AE, $A15) &gt; 0, "Present", "Not Present")</f>
        <v>Not Present</v>
      </c>
      <c r="L15" s="3">
        <f ca="1">IFERROR(__xludf.DUMMYFUNCTION("googlefinance(A35,""price"")"),92.5)</f>
        <v>92.5</v>
      </c>
      <c r="M15" s="273">
        <v>91.8</v>
      </c>
      <c r="N15" s="7">
        <f ca="1">L15-M15*1.05</f>
        <v>-3.8900000000000006</v>
      </c>
      <c r="O15" s="7" t="str">
        <f>A15&amp;""&amp;","</f>
        <v>NSE:CONFIPET,</v>
      </c>
      <c r="Q15" s="3" t="str">
        <f>VLOOKUP(A15,'all stocks &gt; 500 cr'!$B:$H,6,0)</f>
        <v>Oil &amp; Gas</v>
      </c>
    </row>
    <row r="16" spans="1:17">
      <c r="A16" s="5" t="s">
        <v>32</v>
      </c>
      <c r="B16" s="3">
        <f>COUNTIF(C16:J16, "Present")</f>
        <v>1</v>
      </c>
      <c r="C16" s="6" t="str">
        <f>IF(COUNTIF('CLIENT SECTOR ALLOC'!A:A, A16) &gt; 0, "Present", "Not Present")</f>
        <v>Present</v>
      </c>
      <c r="D16" s="6" t="str">
        <f>IF(COUNTIF('CLIENT SECTOR ALLOC'!E:E, $A16) &gt; 0, "Present", "Not Present")</f>
        <v>Not Present</v>
      </c>
      <c r="E16" s="6" t="str">
        <f>IF(COUNTIF('CLIENT SECTOR ALLOC'!I:I, $A16) &gt; 0, "Present", "Not Present")</f>
        <v>Not Present</v>
      </c>
      <c r="F16" s="6" t="str">
        <f>IF(COUNTIF('CLIENT SECTOR ALLOC'!M:M, $A16) &gt; 0, "Present", "Not Present")</f>
        <v>Not Present</v>
      </c>
      <c r="G16" s="6" t="str">
        <f>IF(COUNTIF('CLIENT SECTOR ALLOC'!Q:Q, $A16) &gt; 0, "Present", "Not Present")</f>
        <v>Not Present</v>
      </c>
      <c r="H16" s="6" t="str">
        <f>IF(COUNTIF('CLIENT SECTOR ALLOC'!U:U, $A16) &gt; 0, "Present", "Not Present")</f>
        <v>Not Present</v>
      </c>
      <c r="I16" s="6" t="str">
        <f>IF(COUNTIF('CLIENT SECTOR ALLOC'!Z:Z, $A16) &gt; 0, "Present", "Not Present")</f>
        <v>Not Present</v>
      </c>
      <c r="J16" s="6" t="str">
        <f>IF(COUNTIF('CLIENT SECTOR ALLOC'!AE:AE, $A16) &gt; 0, "Present", "Not Present")</f>
        <v>Not Present</v>
      </c>
      <c r="L16" s="3">
        <f ca="1">IFERROR(__xludf.DUMMYFUNCTION("googlefinance(A7,""price"")"),2089.05)</f>
        <v>2089.0500000000002</v>
      </c>
      <c r="M16" s="273">
        <v>1980</v>
      </c>
      <c r="N16" s="7">
        <f ca="1">L16-M16*1.05</f>
        <v>10.050000000000182</v>
      </c>
      <c r="O16" s="7" t="str">
        <f>A16&amp;""&amp;","</f>
        <v>NSE:CYIENT,</v>
      </c>
      <c r="Q16" s="3" t="str">
        <f>VLOOKUP(A16,'all stocks &gt; 500 cr'!$B:$H,6,0)</f>
        <v>Software &amp; Services</v>
      </c>
    </row>
    <row r="17" spans="1:17">
      <c r="A17" s="5" t="s">
        <v>23</v>
      </c>
      <c r="B17" s="3">
        <f>COUNTIF(C17:J17, "Present")</f>
        <v>3</v>
      </c>
      <c r="C17" s="6" t="str">
        <f>IF(COUNTIF('CLIENT SECTOR ALLOC'!A:A, A17) &gt; 0, "Present", "Not Present")</f>
        <v>Present</v>
      </c>
      <c r="D17" s="6" t="str">
        <f>IF(COUNTIF('CLIENT SECTOR ALLOC'!E:E, $A17) &gt; 0, "Present", "Not Present")</f>
        <v>Not Present</v>
      </c>
      <c r="E17" s="6" t="str">
        <f>IF(COUNTIF('CLIENT SECTOR ALLOC'!I:I, $A17) &gt; 0, "Present", "Not Present")</f>
        <v>Present</v>
      </c>
      <c r="F17" s="6" t="str">
        <f>IF(COUNTIF('CLIENT SECTOR ALLOC'!M:M, $A17) &gt; 0, "Present", "Not Present")</f>
        <v>Not Present</v>
      </c>
      <c r="G17" s="6" t="str">
        <f>IF(COUNTIF('CLIENT SECTOR ALLOC'!Q:Q, $A17) &gt; 0, "Present", "Not Present")</f>
        <v>Not Present</v>
      </c>
      <c r="H17" s="6" t="str">
        <f>IF(COUNTIF('CLIENT SECTOR ALLOC'!U:U, $A17) &gt; 0, "Present", "Not Present")</f>
        <v>Not Present</v>
      </c>
      <c r="I17" s="6" t="str">
        <f>IF(COUNTIF('CLIENT SECTOR ALLOC'!Z:Z, $A17) &gt; 0, "Present", "Not Present")</f>
        <v>Present</v>
      </c>
      <c r="J17" s="6" t="str">
        <f>IF(COUNTIF('CLIENT SECTOR ALLOC'!AE:AE, $A17) &gt; 0, "Present", "Not Present")</f>
        <v>Not Present</v>
      </c>
      <c r="L17" s="3">
        <f ca="1">IFERROR(__xludf.DUMMYFUNCTION("googlefinance(A36,""price"")"),304)</f>
        <v>304</v>
      </c>
      <c r="M17" s="273">
        <v>285</v>
      </c>
      <c r="N17" s="7">
        <f ca="1">L17-M17*1.05</f>
        <v>4.75</v>
      </c>
      <c r="O17" s="7" t="str">
        <f>A17&amp;""&amp;","</f>
        <v>NSE:DEEPINDS,</v>
      </c>
      <c r="Q17" s="3" t="str">
        <f>VLOOKUP(A17,'all stocks &gt; 500 cr'!$B:$H,6,0)</f>
        <v>Oil &amp; Gas</v>
      </c>
    </row>
    <row r="18" spans="1:17">
      <c r="A18" s="5" t="s">
        <v>21</v>
      </c>
      <c r="B18" s="3">
        <f>COUNTIF(C18:J18, "Present")</f>
        <v>7</v>
      </c>
      <c r="C18" s="6" t="str">
        <f>IF(COUNTIF('CLIENT SECTOR ALLOC'!A:A, A18) &gt; 0, "Present", "Not Present")</f>
        <v>Present</v>
      </c>
      <c r="D18" s="6" t="str">
        <f>IF(COUNTIF('CLIENT SECTOR ALLOC'!E:E, $A18) &gt; 0, "Present", "Not Present")</f>
        <v>Not Present</v>
      </c>
      <c r="E18" s="6" t="str">
        <f>IF(COUNTIF('CLIENT SECTOR ALLOC'!I:I, $A18) &gt; 0, "Present", "Not Present")</f>
        <v>Present</v>
      </c>
      <c r="F18" s="6" t="str">
        <f>IF(COUNTIF('CLIENT SECTOR ALLOC'!M:M, $A18) &gt; 0, "Present", "Not Present")</f>
        <v>Present</v>
      </c>
      <c r="G18" s="6" t="str">
        <f>IF(COUNTIF('CLIENT SECTOR ALLOC'!Q:Q, $A18) &gt; 0, "Present", "Not Present")</f>
        <v>Present</v>
      </c>
      <c r="H18" s="6" t="str">
        <f>IF(COUNTIF('CLIENT SECTOR ALLOC'!U:U, $A18) &gt; 0, "Present", "Not Present")</f>
        <v>Present</v>
      </c>
      <c r="I18" s="6" t="str">
        <f>IF(COUNTIF('CLIENT SECTOR ALLOC'!Z:Z, $A18) &gt; 0, "Present", "Not Present")</f>
        <v>Present</v>
      </c>
      <c r="J18" s="6" t="str">
        <f>IF(COUNTIF('CLIENT SECTOR ALLOC'!AE:AE, $A18) &gt; 0, "Present", "Not Present")</f>
        <v>Present</v>
      </c>
      <c r="L18" s="3">
        <f ca="1">IFERROR(__xludf.DUMMYFUNCTION("googlefinance(A65,""price"")"),7829.95)</f>
        <v>7829.95</v>
      </c>
      <c r="M18" s="273">
        <v>7476</v>
      </c>
      <c r="N18" s="7">
        <f ca="1">L18-M18*1.05</f>
        <v>-19.850000000000364</v>
      </c>
      <c r="O18" s="7" t="str">
        <f>A18&amp;""&amp;","</f>
        <v>NSE:DIXON,</v>
      </c>
      <c r="Q18" s="3" t="str">
        <f>VLOOKUP(A18,'all stocks &gt; 500 cr'!$B:$H,6,0)</f>
        <v>Consumer Durables</v>
      </c>
    </row>
    <row r="19" spans="1:17">
      <c r="A19" s="5" t="s">
        <v>41</v>
      </c>
      <c r="B19" s="3">
        <f>COUNTIF(C19:J19, "Present")</f>
        <v>1</v>
      </c>
      <c r="C19" s="6" t="str">
        <f>IF(COUNTIF('CLIENT SECTOR ALLOC'!A:A, A19) &gt; 0, "Present", "Not Present")</f>
        <v>Present</v>
      </c>
      <c r="D19" s="6" t="str">
        <f>IF(COUNTIF('CLIENT SECTOR ALLOC'!E:E, $A19) &gt; 0, "Present", "Not Present")</f>
        <v>Not Present</v>
      </c>
      <c r="E19" s="6" t="str">
        <f>IF(COUNTIF('CLIENT SECTOR ALLOC'!I:I, $A19) &gt; 0, "Present", "Not Present")</f>
        <v>Not Present</v>
      </c>
      <c r="F19" s="6" t="str">
        <f>IF(COUNTIF('CLIENT SECTOR ALLOC'!M:M, $A19) &gt; 0, "Present", "Not Present")</f>
        <v>Not Present</v>
      </c>
      <c r="G19" s="6" t="str">
        <f>IF(COUNTIF('CLIENT SECTOR ALLOC'!Q:Q, $A19) &gt; 0, "Present", "Not Present")</f>
        <v>Not Present</v>
      </c>
      <c r="H19" s="6" t="str">
        <f>IF(COUNTIF('CLIENT SECTOR ALLOC'!U:U, $A19) &gt; 0, "Present", "Not Present")</f>
        <v>Not Present</v>
      </c>
      <c r="I19" s="6" t="str">
        <f>IF(COUNTIF('CLIENT SECTOR ALLOC'!Z:Z, $A19) &gt; 0, "Present", "Not Present")</f>
        <v>Not Present</v>
      </c>
      <c r="J19" s="6" t="str">
        <f>IF(COUNTIF('CLIENT SECTOR ALLOC'!AE:AE, $A19) &gt; 0, "Present", "Not Present")</f>
        <v>Not Present</v>
      </c>
      <c r="L19" s="3">
        <f ca="1">IFERROR(__xludf.DUMMYFUNCTION("googlefinance(A8,""price"")"),472)</f>
        <v>472</v>
      </c>
      <c r="M19" s="273">
        <v>445</v>
      </c>
      <c r="N19" s="7">
        <f ca="1">L19-M19*1.05</f>
        <v>4.75</v>
      </c>
      <c r="O19" s="7" t="str">
        <f>A19&amp;""&amp;","</f>
        <v>NSE:EIHOTEL,</v>
      </c>
      <c r="Q19" s="3" t="str">
        <f>VLOOKUP(A19,'all stocks &gt; 500 cr'!$B:$H,6,0)</f>
        <v>Hotels Restaurants &amp; Tourism</v>
      </c>
    </row>
    <row r="20" spans="1:17">
      <c r="A20" s="5" t="s">
        <v>24</v>
      </c>
      <c r="B20" s="3">
        <f>COUNTIF(C20:J20, "Present")</f>
        <v>2</v>
      </c>
      <c r="C20" s="6" t="str">
        <f>IF(COUNTIF('CLIENT SECTOR ALLOC'!A:A, A20) &gt; 0, "Present", "Not Present")</f>
        <v>Not Present</v>
      </c>
      <c r="D20" s="6" t="str">
        <f>IF(COUNTIF('CLIENT SECTOR ALLOC'!E:E, $A20) &gt; 0, "Present", "Not Present")</f>
        <v>Not Present</v>
      </c>
      <c r="E20" s="6" t="str">
        <f>IF(COUNTIF('CLIENT SECTOR ALLOC'!I:I, $A20) &gt; 0, "Present", "Not Present")</f>
        <v>Present</v>
      </c>
      <c r="F20" s="6" t="str">
        <f>IF(COUNTIF('CLIENT SECTOR ALLOC'!M:M, $A20) &gt; 0, "Present", "Not Present")</f>
        <v>Not Present</v>
      </c>
      <c r="G20" s="6" t="str">
        <f>IF(COUNTIF('CLIENT SECTOR ALLOC'!Q:Q, $A20) &gt; 0, "Present", "Not Present")</f>
        <v>Not Present</v>
      </c>
      <c r="H20" s="6" t="str">
        <f>IF(COUNTIF('CLIENT SECTOR ALLOC'!U:U, $A20) &gt; 0, "Present", "Not Present")</f>
        <v>Not Present</v>
      </c>
      <c r="I20" s="6" t="str">
        <f>IF(COUNTIF('CLIENT SECTOR ALLOC'!Z:Z, $A20) &gt; 0, "Present", "Not Present")</f>
        <v>Not Present</v>
      </c>
      <c r="J20" s="6" t="str">
        <f>IF(COUNTIF('CLIENT SECTOR ALLOC'!AE:AE, $A20) &gt; 0, "Present", "Not Present")</f>
        <v>Present</v>
      </c>
      <c r="L20" s="3">
        <f ca="1">IFERROR(__xludf.DUMMYFUNCTION("googlefinance(A18,""price"")"),896)</f>
        <v>896</v>
      </c>
      <c r="M20" s="273">
        <v>850</v>
      </c>
      <c r="N20" s="7">
        <f ca="1">L20-M20*1.05</f>
        <v>3.5</v>
      </c>
      <c r="O20" s="7" t="str">
        <f>A20&amp;""&amp;","</f>
        <v>NSE:GET&amp;D,</v>
      </c>
      <c r="Q20" s="3" t="str">
        <f>VLOOKUP(A20,'all stocks &gt; 500 cr'!$B:$H,6,0)</f>
        <v>General Industrials</v>
      </c>
    </row>
    <row r="21" spans="1:17">
      <c r="A21" s="5" t="s">
        <v>46</v>
      </c>
      <c r="B21" s="3">
        <f>COUNTIF(C21:J21, "Present")</f>
        <v>1</v>
      </c>
      <c r="C21" s="6" t="str">
        <f>IF(COUNTIF('CLIENT SECTOR ALLOC'!A:A, A21) &gt; 0, "Present", "Not Present")</f>
        <v>Present</v>
      </c>
      <c r="D21" s="6" t="str">
        <f>IF(COUNTIF('CLIENT SECTOR ALLOC'!E:E, $A21) &gt; 0, "Present", "Not Present")</f>
        <v>Not Present</v>
      </c>
      <c r="E21" s="6" t="str">
        <f>IF(COUNTIF('CLIENT SECTOR ALLOC'!I:I, $A21) &gt; 0, "Present", "Not Present")</f>
        <v>Not Present</v>
      </c>
      <c r="F21" s="6" t="str">
        <f>IF(COUNTIF('CLIENT SECTOR ALLOC'!M:M, $A21) &gt; 0, "Present", "Not Present")</f>
        <v>Not Present</v>
      </c>
      <c r="G21" s="6" t="str">
        <f>IF(COUNTIF('CLIENT SECTOR ALLOC'!Q:Q, $A21) &gt; 0, "Present", "Not Present")</f>
        <v>Not Present</v>
      </c>
      <c r="H21" s="6" t="str">
        <f>IF(COUNTIF('CLIENT SECTOR ALLOC'!U:U, $A21) &gt; 0, "Present", "Not Present")</f>
        <v>Not Present</v>
      </c>
      <c r="I21" s="6" t="str">
        <f>IF(COUNTIF('CLIENT SECTOR ALLOC'!Z:Z, $A21) &gt; 0, "Present", "Not Present")</f>
        <v>Not Present</v>
      </c>
      <c r="J21" s="6" t="str">
        <f>IF(COUNTIF('CLIENT SECTOR ALLOC'!AE:AE, $A21) &gt; 0, "Present", "Not Present")</f>
        <v>Not Present</v>
      </c>
      <c r="L21" s="3">
        <f ca="1">IFERROR(__xludf.DUMMYFUNCTION("googlefinance(A9,""price"")"),185)</f>
        <v>185</v>
      </c>
      <c r="M21" s="272" t="s">
        <v>630</v>
      </c>
      <c r="N21" s="7" t="e">
        <f ca="1">L21-M21*1.05</f>
        <v>#VALUE!</v>
      </c>
      <c r="O21" s="7" t="str">
        <f>A21&amp;""&amp;","</f>
        <v>NSE:GIPCL,</v>
      </c>
      <c r="Q21" s="3" t="str">
        <f>VLOOKUP(A21,'all stocks &gt; 500 cr'!$B:$H,6,0)</f>
        <v>Utilities</v>
      </c>
    </row>
    <row r="22" spans="1:17">
      <c r="A22" s="5" t="s">
        <v>30</v>
      </c>
      <c r="B22" s="3">
        <f>COUNTIF(C22:J22, "Present")</f>
        <v>6</v>
      </c>
      <c r="C22" s="6" t="str">
        <f>IF(COUNTIF('CLIENT SECTOR ALLOC'!A:A, A22) &gt; 0, "Present", "Not Present")</f>
        <v>Present</v>
      </c>
      <c r="D22" s="6" t="str">
        <f>IF(COUNTIF('CLIENT SECTOR ALLOC'!E:E, $A22) &gt; 0, "Present", "Not Present")</f>
        <v>Not Present</v>
      </c>
      <c r="E22" s="6" t="str">
        <f>IF(COUNTIF('CLIENT SECTOR ALLOC'!I:I, $A22) &gt; 0, "Present", "Not Present")</f>
        <v>Present</v>
      </c>
      <c r="F22" s="6" t="str">
        <f>IF(COUNTIF('CLIENT SECTOR ALLOC'!M:M, $A22) &gt; 0, "Present", "Not Present")</f>
        <v>Present</v>
      </c>
      <c r="G22" s="6" t="str">
        <f>IF(COUNTIF('CLIENT SECTOR ALLOC'!Q:Q, $A22) &gt; 0, "Present", "Not Present")</f>
        <v>Present</v>
      </c>
      <c r="H22" s="6" t="str">
        <f>IF(COUNTIF('CLIENT SECTOR ALLOC'!U:U, $A22) &gt; 0, "Present", "Not Present")</f>
        <v>Present</v>
      </c>
      <c r="I22" s="6" t="str">
        <f>IF(COUNTIF('CLIENT SECTOR ALLOC'!Z:Z, $A22) &gt; 0, "Present", "Not Present")</f>
        <v>Present</v>
      </c>
      <c r="J22" s="6" t="str">
        <f>IF(COUNTIF('CLIENT SECTOR ALLOC'!AE:AE, $A22) &gt; 0, "Present", "Not Present")</f>
        <v>Not Present</v>
      </c>
      <c r="L22" s="3">
        <f ca="1">IFERROR(__xludf.DUMMYFUNCTION("googlefinance(A59,""price"")"),61.92)</f>
        <v>61.92</v>
      </c>
      <c r="M22" s="273">
        <v>59.89</v>
      </c>
      <c r="N22" s="7">
        <f ca="1">L22-M22*1.05</f>
        <v>-0.96450000000000102</v>
      </c>
      <c r="O22" s="7" t="str">
        <f>A22&amp;""&amp;","</f>
        <v>NSE:GOLDBEES,</v>
      </c>
      <c r="Q22" s="3" t="e">
        <f>VLOOKUP(A22,'all stocks &gt; 500 cr'!$B:$H,6,0)</f>
        <v>#N/A</v>
      </c>
    </row>
    <row r="23" spans="1:17">
      <c r="A23" s="5" t="s">
        <v>50</v>
      </c>
      <c r="B23" s="3">
        <f>COUNTIF(C23:J23, "Present")</f>
        <v>2</v>
      </c>
      <c r="C23" s="6" t="str">
        <f>IF(COUNTIF('CLIENT SECTOR ALLOC'!A:A, A23) &gt; 0, "Present", "Not Present")</f>
        <v>Present</v>
      </c>
      <c r="D23" s="6" t="str">
        <f>IF(COUNTIF('CLIENT SECTOR ALLOC'!E:E, $A23) &gt; 0, "Present", "Not Present")</f>
        <v>Not Present</v>
      </c>
      <c r="E23" s="6" t="str">
        <f>IF(COUNTIF('CLIENT SECTOR ALLOC'!I:I, $A23) &gt; 0, "Present", "Not Present")</f>
        <v>Present</v>
      </c>
      <c r="F23" s="6" t="str">
        <f>IF(COUNTIF('CLIENT SECTOR ALLOC'!M:M, $A23) &gt; 0, "Present", "Not Present")</f>
        <v>Not Present</v>
      </c>
      <c r="G23" s="6" t="str">
        <f>IF(COUNTIF('CLIENT SECTOR ALLOC'!Q:Q, $A23) &gt; 0, "Present", "Not Present")</f>
        <v>Not Present</v>
      </c>
      <c r="H23" s="6" t="str">
        <f>IF(COUNTIF('CLIENT SECTOR ALLOC'!U:U, $A23) &gt; 0, "Present", "Not Present")</f>
        <v>Not Present</v>
      </c>
      <c r="I23" s="6" t="str">
        <f>IF(COUNTIF('CLIENT SECTOR ALLOC'!Z:Z, $A23) &gt; 0, "Present", "Not Present")</f>
        <v>Not Present</v>
      </c>
      <c r="J23" s="6" t="str">
        <f>IF(COUNTIF('CLIENT SECTOR ALLOC'!AE:AE, $A23) &gt; 0, "Present", "Not Present")</f>
        <v>Not Present</v>
      </c>
      <c r="L23" s="3">
        <f ca="1">IFERROR(__xludf.DUMMYFUNCTION("googlefinance(A19,""price"")"),1062)</f>
        <v>1062</v>
      </c>
      <c r="M23" s="273">
        <v>1030</v>
      </c>
      <c r="N23" s="7">
        <f ca="1">L23-M23*1.05</f>
        <v>-19.5</v>
      </c>
      <c r="O23" s="7" t="str">
        <f>A23&amp;""&amp;","</f>
        <v>NSE:GULFOILLUB,</v>
      </c>
      <c r="Q23" s="3" t="str">
        <f>VLOOKUP(A23,'all stocks &gt; 500 cr'!$B:$H,6,0)</f>
        <v>Oil &amp; Gas</v>
      </c>
    </row>
    <row r="24" spans="1:17">
      <c r="A24" s="5" t="s">
        <v>35</v>
      </c>
      <c r="B24" s="3">
        <f>COUNTIF(C24:J24, "Present")</f>
        <v>3</v>
      </c>
      <c r="C24" s="6" t="str">
        <f>IF(COUNTIF('CLIENT SECTOR ALLOC'!A:A, A24) &gt; 0, "Present", "Not Present")</f>
        <v>Present</v>
      </c>
      <c r="D24" s="6" t="str">
        <f>IF(COUNTIF('CLIENT SECTOR ALLOC'!E:E, $A24) &gt; 0, "Present", "Not Present")</f>
        <v>Not Present</v>
      </c>
      <c r="E24" s="6" t="str">
        <f>IF(COUNTIF('CLIENT SECTOR ALLOC'!I:I, $A24) &gt; 0, "Present", "Not Present")</f>
        <v>Not Present</v>
      </c>
      <c r="F24" s="6" t="str">
        <f>IF(COUNTIF('CLIENT SECTOR ALLOC'!M:M, $A24) &gt; 0, "Present", "Not Present")</f>
        <v>Present</v>
      </c>
      <c r="G24" s="6" t="str">
        <f>IF(COUNTIF('CLIENT SECTOR ALLOC'!Q:Q, $A24) &gt; 0, "Present", "Not Present")</f>
        <v>Not Present</v>
      </c>
      <c r="H24" s="6" t="str">
        <f>IF(COUNTIF('CLIENT SECTOR ALLOC'!U:U, $A24) &gt; 0, "Present", "Not Present")</f>
        <v>Not Present</v>
      </c>
      <c r="I24" s="6" t="str">
        <f>IF(COUNTIF('CLIENT SECTOR ALLOC'!Z:Z, $A24) &gt; 0, "Present", "Not Present")</f>
        <v>Present</v>
      </c>
      <c r="J24" s="6" t="str">
        <f>IF(COUNTIF('CLIENT SECTOR ALLOC'!AE:AE, $A24) &gt; 0, "Present", "Not Present")</f>
        <v>Not Present</v>
      </c>
      <c r="L24" s="3">
        <f ca="1">IFERROR(__xludf.DUMMYFUNCTION("googlefinance(A37,""price"")"),1509.6)</f>
        <v>1509.6</v>
      </c>
      <c r="M24" s="273">
        <v>1432</v>
      </c>
      <c r="N24" s="7">
        <f ca="1">L24-M24*1.05</f>
        <v>5.9999999999997726</v>
      </c>
      <c r="O24" s="7" t="str">
        <f>A24&amp;""&amp;","</f>
        <v>NSE:HAVELLS,</v>
      </c>
      <c r="Q24" s="3" t="str">
        <f>VLOOKUP(A24,'all stocks &gt; 500 cr'!$B:$H,6,0)</f>
        <v>Consumer Durables</v>
      </c>
    </row>
    <row r="25" spans="1:17">
      <c r="A25" s="5" t="s">
        <v>42</v>
      </c>
      <c r="B25" s="3">
        <f>COUNTIF(C25:J25, "Present")</f>
        <v>1</v>
      </c>
      <c r="C25" s="6" t="str">
        <f>IF(COUNTIF('CLIENT SECTOR ALLOC'!A:A, A25) &gt; 0, "Present", "Not Present")</f>
        <v>Not Present</v>
      </c>
      <c r="D25" s="6" t="str">
        <f>IF(COUNTIF('CLIENT SECTOR ALLOC'!E:E, $A25) &gt; 0, "Present", "Not Present")</f>
        <v>Not Present</v>
      </c>
      <c r="E25" s="6" t="str">
        <f>IF(COUNTIF('CLIENT SECTOR ALLOC'!I:I, $A25) &gt; 0, "Present", "Not Present")</f>
        <v>Not Present</v>
      </c>
      <c r="F25" s="6" t="str">
        <f>IF(COUNTIF('CLIENT SECTOR ALLOC'!M:M, $A25) &gt; 0, "Present", "Not Present")</f>
        <v>Not Present</v>
      </c>
      <c r="G25" s="6" t="str">
        <f>IF(COUNTIF('CLIENT SECTOR ALLOC'!Q:Q, $A25) &gt; 0, "Present", "Not Present")</f>
        <v>Present</v>
      </c>
      <c r="H25" s="6" t="str">
        <f>IF(COUNTIF('CLIENT SECTOR ALLOC'!U:U, $A25) &gt; 0, "Present", "Not Present")</f>
        <v>Not Present</v>
      </c>
      <c r="I25" s="6" t="str">
        <f>IF(COUNTIF('CLIENT SECTOR ALLOC'!Z:Z, $A25) &gt; 0, "Present", "Not Present")</f>
        <v>Not Present</v>
      </c>
      <c r="J25" s="6" t="str">
        <f>IF(COUNTIF('CLIENT SECTOR ALLOC'!AE:AE, $A25) &gt; 0, "Present", "Not Present")</f>
        <v>Not Present</v>
      </c>
      <c r="L25" s="3">
        <f ca="1">IFERROR(__xludf.DUMMYFUNCTION("googlefinance(A10,""price"")"),307.95)</f>
        <v>307.95</v>
      </c>
      <c r="M25" s="273">
        <v>306</v>
      </c>
      <c r="N25" s="7">
        <f ca="1">L25-M25*1.05</f>
        <v>-13.350000000000023</v>
      </c>
      <c r="O25" s="7" t="str">
        <f>A25&amp;""&amp;","</f>
        <v>NSE:HERITGFOOD,</v>
      </c>
      <c r="Q25" s="3" t="str">
        <f>VLOOKUP(A25,'all stocks &gt; 500 cr'!$B:$H,6,0)</f>
        <v>FMCG</v>
      </c>
    </row>
    <row r="26" spans="1:17">
      <c r="A26" s="5" t="s">
        <v>26</v>
      </c>
      <c r="B26" s="3">
        <f>COUNTIF(C26:J26, "Present")</f>
        <v>4</v>
      </c>
      <c r="C26" s="6" t="str">
        <f>IF(COUNTIF('CLIENT SECTOR ALLOC'!A:A, A26) &gt; 0, "Present", "Not Present")</f>
        <v>Not Present</v>
      </c>
      <c r="D26" s="6" t="str">
        <f>IF(COUNTIF('CLIENT SECTOR ALLOC'!E:E, $A26) &gt; 0, "Present", "Not Present")</f>
        <v>Not Present</v>
      </c>
      <c r="E26" s="6" t="str">
        <f>IF(COUNTIF('CLIENT SECTOR ALLOC'!I:I, $A26) &gt; 0, "Present", "Not Present")</f>
        <v>Not Present</v>
      </c>
      <c r="F26" s="6" t="str">
        <f>IF(COUNTIF('CLIENT SECTOR ALLOC'!M:M, $A26) &gt; 0, "Present", "Not Present")</f>
        <v>Present</v>
      </c>
      <c r="G26" s="6" t="str">
        <f>IF(COUNTIF('CLIENT SECTOR ALLOC'!Q:Q, $A26) &gt; 0, "Present", "Not Present")</f>
        <v>Present</v>
      </c>
      <c r="H26" s="6" t="str">
        <f>IF(COUNTIF('CLIENT SECTOR ALLOC'!U:U, $A26) &gt; 0, "Present", "Not Present")</f>
        <v>Present</v>
      </c>
      <c r="I26" s="6" t="str">
        <f>IF(COUNTIF('CLIENT SECTOR ALLOC'!Z:Z, $A26) &gt; 0, "Present", "Not Present")</f>
        <v>Not Present</v>
      </c>
      <c r="J26" s="6" t="str">
        <f>IF(COUNTIF('CLIENT SECTOR ALLOC'!AE:AE, $A26) &gt; 0, "Present", "Not Present")</f>
        <v>Present</v>
      </c>
      <c r="L26" s="3">
        <f ca="1">IFERROR(__xludf.DUMMYFUNCTION("googlefinance(A49,""price"")"),98.4)</f>
        <v>98.4</v>
      </c>
      <c r="M26" s="273">
        <v>95.3</v>
      </c>
      <c r="N26" s="7">
        <f ca="1">L26-M26*1.05</f>
        <v>-1.664999999999992</v>
      </c>
      <c r="O26" s="7" t="str">
        <f>A26&amp;""&amp;","</f>
        <v>NSE:HFCL,</v>
      </c>
      <c r="Q26" s="3" t="str">
        <f>VLOOKUP(A26,'all stocks &gt; 500 cr'!$B:$H,6,0)</f>
        <v>Telecommunications Equipment</v>
      </c>
    </row>
    <row r="27" spans="1:17">
      <c r="A27" s="5" t="s">
        <v>37</v>
      </c>
      <c r="B27" s="3">
        <f>COUNTIF(C27:J27, "Present")</f>
        <v>2</v>
      </c>
      <c r="C27" s="6" t="str">
        <f>IF(COUNTIF('CLIENT SECTOR ALLOC'!A:A, A27) &gt; 0, "Present", "Not Present")</f>
        <v>Not Present</v>
      </c>
      <c r="D27" s="6" t="str">
        <f>IF(COUNTIF('CLIENT SECTOR ALLOC'!E:E, $A27) &gt; 0, "Present", "Not Present")</f>
        <v>Not Present</v>
      </c>
      <c r="E27" s="6" t="str">
        <f>IF(COUNTIF('CLIENT SECTOR ALLOC'!I:I, $A27) &gt; 0, "Present", "Not Present")</f>
        <v>Present</v>
      </c>
      <c r="F27" s="6" t="str">
        <f>IF(COUNTIF('CLIENT SECTOR ALLOC'!M:M, $A27) &gt; 0, "Present", "Not Present")</f>
        <v>Not Present</v>
      </c>
      <c r="G27" s="6" t="str">
        <f>IF(COUNTIF('CLIENT SECTOR ALLOC'!Q:Q, $A27) &gt; 0, "Present", "Not Present")</f>
        <v>Not Present</v>
      </c>
      <c r="H27" s="6" t="str">
        <f>IF(COUNTIF('CLIENT SECTOR ALLOC'!U:U, $A27) &gt; 0, "Present", "Not Present")</f>
        <v>Not Present</v>
      </c>
      <c r="I27" s="6" t="str">
        <f>IF(COUNTIF('CLIENT SECTOR ALLOC'!Z:Z, $A27) &gt; 0, "Present", "Not Present")</f>
        <v>Present</v>
      </c>
      <c r="J27" s="6" t="str">
        <f>IF(COUNTIF('CLIENT SECTOR ALLOC'!AE:AE, $A27) &gt; 0, "Present", "Not Present")</f>
        <v>Not Present</v>
      </c>
      <c r="L27" s="3">
        <f ca="1">IFERROR(__xludf.DUMMYFUNCTION("googlefinance(A20,""price"")"),1062)</f>
        <v>1062</v>
      </c>
      <c r="M27" s="3">
        <v>986</v>
      </c>
      <c r="N27" s="7">
        <f ca="1">L27-M27*1.05</f>
        <v>26.700000000000045</v>
      </c>
      <c r="O27" s="7" t="str">
        <f>A27&amp;""&amp;","</f>
        <v>NSE:HGINFRA,</v>
      </c>
      <c r="Q27" s="3" t="str">
        <f>VLOOKUP(A27,'all stocks &gt; 500 cr'!$B:$H,6,0)</f>
        <v>Cement and Construction</v>
      </c>
    </row>
    <row r="28" spans="1:17">
      <c r="A28" s="5" t="s">
        <v>39</v>
      </c>
      <c r="B28" s="3">
        <f>COUNTIF(C28:J28, "Present")</f>
        <v>3</v>
      </c>
      <c r="C28" s="6" t="str">
        <f>IF(COUNTIF('CLIENT SECTOR ALLOC'!A:A, A28) &gt; 0, "Present", "Not Present")</f>
        <v>Present</v>
      </c>
      <c r="D28" s="6" t="str">
        <f>IF(COUNTIF('CLIENT SECTOR ALLOC'!E:E, $A28) &gt; 0, "Present", "Not Present")</f>
        <v>Not Present</v>
      </c>
      <c r="E28" s="6" t="str">
        <f>IF(COUNTIF('CLIENT SECTOR ALLOC'!I:I, $A28) &gt; 0, "Present", "Not Present")</f>
        <v>Present</v>
      </c>
      <c r="F28" s="6" t="str">
        <f>IF(COUNTIF('CLIENT SECTOR ALLOC'!M:M, $A28) &gt; 0, "Present", "Not Present")</f>
        <v>Not Present</v>
      </c>
      <c r="G28" s="6" t="str">
        <f>IF(COUNTIF('CLIENT SECTOR ALLOC'!Q:Q, $A28) &gt; 0, "Present", "Not Present")</f>
        <v>Not Present</v>
      </c>
      <c r="H28" s="6" t="str">
        <f>IF(COUNTIF('CLIENT SECTOR ALLOC'!U:U, $A28) &gt; 0, "Present", "Not Present")</f>
        <v>Not Present</v>
      </c>
      <c r="I28" s="6" t="str">
        <f>IF(COUNTIF('CLIENT SECTOR ALLOC'!Z:Z, $A28) &gt; 0, "Present", "Not Present")</f>
        <v>Present</v>
      </c>
      <c r="J28" s="6" t="str">
        <f>IF(COUNTIF('CLIENT SECTOR ALLOC'!AE:AE, $A28) &gt; 0, "Present", "Not Present")</f>
        <v>Not Present</v>
      </c>
      <c r="L28" s="3">
        <f ca="1">IFERROR(__xludf.DUMMYFUNCTION("googlefinance(A38,""price"")"),362.6)</f>
        <v>362.6</v>
      </c>
      <c r="M28" s="3">
        <v>300</v>
      </c>
      <c r="N28" s="7">
        <f ca="1">L28-M28*1.05</f>
        <v>47.600000000000023</v>
      </c>
      <c r="O28" s="7" t="str">
        <f>A28&amp;""&amp;","</f>
        <v>NSE:HINDCOPPER,</v>
      </c>
      <c r="Q28" s="3" t="str">
        <f>VLOOKUP(A28,'all stocks &gt; 500 cr'!$B:$H,6,0)</f>
        <v>Metals &amp; Mining</v>
      </c>
    </row>
    <row r="29" spans="1:17">
      <c r="A29" s="5" t="s">
        <v>43</v>
      </c>
      <c r="B29" s="3">
        <f>COUNTIF(C29:J29, "Present")</f>
        <v>3</v>
      </c>
      <c r="C29" s="6" t="str">
        <f>IF(COUNTIF('CLIENT SECTOR ALLOC'!A:A, A29) &gt; 0, "Present", "Not Present")</f>
        <v>Present</v>
      </c>
      <c r="D29" s="6" t="str">
        <f>IF(COUNTIF('CLIENT SECTOR ALLOC'!E:E, $A29) &gt; 0, "Present", "Not Present")</f>
        <v>Not Present</v>
      </c>
      <c r="E29" s="6" t="str">
        <f>IF(COUNTIF('CLIENT SECTOR ALLOC'!I:I, $A29) &gt; 0, "Present", "Not Present")</f>
        <v>Not Present</v>
      </c>
      <c r="F29" s="6" t="str">
        <f>IF(COUNTIF('CLIENT SECTOR ALLOC'!M:M, $A29) &gt; 0, "Present", "Not Present")</f>
        <v>Not Present</v>
      </c>
      <c r="G29" s="6" t="str">
        <f>IF(COUNTIF('CLIENT SECTOR ALLOC'!Q:Q, $A29) &gt; 0, "Present", "Not Present")</f>
        <v>Present</v>
      </c>
      <c r="H29" s="6" t="str">
        <f>IF(COUNTIF('CLIENT SECTOR ALLOC'!U:U, $A29) &gt; 0, "Present", "Not Present")</f>
        <v>Present</v>
      </c>
      <c r="I29" s="6" t="str">
        <f>IF(COUNTIF('CLIENT SECTOR ALLOC'!Z:Z, $A29) &gt; 0, "Present", "Not Present")</f>
        <v>Not Present</v>
      </c>
      <c r="J29" s="6" t="str">
        <f>IF(COUNTIF('CLIENT SECTOR ALLOC'!AE:AE, $A29) &gt; 0, "Present", "Not Present")</f>
        <v>Not Present</v>
      </c>
      <c r="L29" s="3">
        <f ca="1">IFERROR(__xludf.DUMMYFUNCTION("googlefinance(A39,""price"")"),205)</f>
        <v>205</v>
      </c>
      <c r="M29" s="273">
        <v>200</v>
      </c>
      <c r="N29" s="7">
        <f ca="1">L29-M29*1.05</f>
        <v>-5</v>
      </c>
      <c r="O29" s="7" t="str">
        <f>A29&amp;""&amp;","</f>
        <v>NSE:HUDCO,</v>
      </c>
      <c r="Q29" s="3" t="str">
        <f>VLOOKUP(A29,'all stocks &gt; 500 cr'!$B:$H,6,0)</f>
        <v>Banking and Finance</v>
      </c>
    </row>
    <row r="30" spans="1:17">
      <c r="A30" s="5" t="s">
        <v>31</v>
      </c>
      <c r="B30" s="3">
        <f>COUNTIF(C30:J30, "Present")</f>
        <v>3</v>
      </c>
      <c r="C30" s="6" t="str">
        <f>IF(COUNTIF('CLIENT SECTOR ALLOC'!A:A, A30) &gt; 0, "Present", "Not Present")</f>
        <v>Present</v>
      </c>
      <c r="D30" s="6" t="str">
        <f>IF(COUNTIF('CLIENT SECTOR ALLOC'!E:E, $A30) &gt; 0, "Present", "Not Present")</f>
        <v>Not Present</v>
      </c>
      <c r="E30" s="6" t="str">
        <f>IF(COUNTIF('CLIENT SECTOR ALLOC'!I:I, $A30) &gt; 0, "Present", "Not Present")</f>
        <v>Not Present</v>
      </c>
      <c r="F30" s="6" t="str">
        <f>IF(COUNTIF('CLIENT SECTOR ALLOC'!M:M, $A30) &gt; 0, "Present", "Not Present")</f>
        <v>Not Present</v>
      </c>
      <c r="G30" s="6" t="str">
        <f>IF(COUNTIF('CLIENT SECTOR ALLOC'!Q:Q, $A30) &gt; 0, "Present", "Not Present")</f>
        <v>Present</v>
      </c>
      <c r="H30" s="6" t="str">
        <f>IF(COUNTIF('CLIENT SECTOR ALLOC'!U:U, $A30) &gt; 0, "Present", "Not Present")</f>
        <v>Not Present</v>
      </c>
      <c r="I30" s="6" t="str">
        <f>IF(COUNTIF('CLIENT SECTOR ALLOC'!Z:Z, $A30) &gt; 0, "Present", "Not Present")</f>
        <v>Not Present</v>
      </c>
      <c r="J30" s="6" t="str">
        <f>IF(COUNTIF('CLIENT SECTOR ALLOC'!AE:AE, $A30) &gt; 0, "Present", "Not Present")</f>
        <v>Present</v>
      </c>
      <c r="L30" s="3">
        <f ca="1">IFERROR(__xludf.DUMMYFUNCTION("googlefinance(A40,""price"")"),385)</f>
        <v>385</v>
      </c>
      <c r="M30" s="3">
        <v>340</v>
      </c>
      <c r="N30" s="7">
        <f ca="1">L30-M30*1.05</f>
        <v>28</v>
      </c>
      <c r="O30" s="7" t="str">
        <f>A30&amp;""&amp;","</f>
        <v>NSE:ICIL,</v>
      </c>
      <c r="Q30" s="3" t="str">
        <f>VLOOKUP(A30,'all stocks &gt; 500 cr'!$B:$H,6,0)</f>
        <v>Textiles Apparels &amp; Accessories</v>
      </c>
    </row>
    <row r="31" spans="1:17" ht="17.25" customHeight="1">
      <c r="A31" s="5" t="s">
        <v>44</v>
      </c>
      <c r="B31" s="3">
        <f>COUNTIF(C31:J31, "Present")</f>
        <v>3</v>
      </c>
      <c r="C31" s="6" t="str">
        <f>IF(COUNTIF('CLIENT SECTOR ALLOC'!A:A, A31) &gt; 0, "Present", "Not Present")</f>
        <v>Present</v>
      </c>
      <c r="D31" s="6" t="str">
        <f>IF(COUNTIF('CLIENT SECTOR ALLOC'!E:E, $A31) &gt; 0, "Present", "Not Present")</f>
        <v>Not Present</v>
      </c>
      <c r="E31" s="6" t="str">
        <f>IF(COUNTIF('CLIENT SECTOR ALLOC'!I:I, $A31) &gt; 0, "Present", "Not Present")</f>
        <v>Present</v>
      </c>
      <c r="F31" s="6" t="str">
        <f>IF(COUNTIF('CLIENT SECTOR ALLOC'!M:M, $A31) &gt; 0, "Present", "Not Present")</f>
        <v>Not Present</v>
      </c>
      <c r="G31" s="6" t="str">
        <f>IF(COUNTIF('CLIENT SECTOR ALLOC'!Q:Q, $A31) &gt; 0, "Present", "Not Present")</f>
        <v>Not Present</v>
      </c>
      <c r="H31" s="6" t="str">
        <f>IF(COUNTIF('CLIENT SECTOR ALLOC'!U:U, $A31) &gt; 0, "Present", "Not Present")</f>
        <v>Not Present</v>
      </c>
      <c r="I31" s="6" t="str">
        <f>IF(COUNTIF('CLIENT SECTOR ALLOC'!Z:Z, $A31) &gt; 0, "Present", "Not Present")</f>
        <v>Present</v>
      </c>
      <c r="J31" s="6" t="str">
        <f>IF(COUNTIF('CLIENT SECTOR ALLOC'!AE:AE, $A31) &gt; 0, "Present", "Not Present")</f>
        <v>Not Present</v>
      </c>
      <c r="L31" s="3">
        <f ca="1">IFERROR(__xludf.DUMMYFUNCTION("googlefinance(A41,""price"")"),719.7)</f>
        <v>719.7</v>
      </c>
      <c r="M31" s="273">
        <v>634</v>
      </c>
      <c r="N31" s="7">
        <f ca="1">L31-M31*1.05</f>
        <v>54</v>
      </c>
      <c r="O31" s="7" t="str">
        <f>A31&amp;""&amp;","</f>
        <v>NSE:IMFA,</v>
      </c>
      <c r="Q31" s="3" t="str">
        <f>VLOOKUP(A31,'all stocks &gt; 500 cr'!$B:$H,6,0)</f>
        <v>Metals &amp; Mining</v>
      </c>
    </row>
    <row r="32" spans="1:17">
      <c r="A32" s="5" t="s">
        <v>47</v>
      </c>
      <c r="B32" s="3">
        <f>COUNTIF(C32:J32, "Present")</f>
        <v>3</v>
      </c>
      <c r="C32" s="6" t="str">
        <f>IF(COUNTIF('CLIENT SECTOR ALLOC'!A:A, A32) &gt; 0, "Present", "Not Present")</f>
        <v>Present</v>
      </c>
      <c r="D32" s="6" t="str">
        <f>IF(COUNTIF('CLIENT SECTOR ALLOC'!E:E, $A32) &gt; 0, "Present", "Not Present")</f>
        <v>Not Present</v>
      </c>
      <c r="E32" s="6" t="str">
        <f>IF(COUNTIF('CLIENT SECTOR ALLOC'!I:I, $A32) &gt; 0, "Present", "Not Present")</f>
        <v>Present</v>
      </c>
      <c r="F32" s="6" t="str">
        <f>IF(COUNTIF('CLIENT SECTOR ALLOC'!M:M, $A32) &gt; 0, "Present", "Not Present")</f>
        <v>Not Present</v>
      </c>
      <c r="G32" s="6" t="str">
        <f>IF(COUNTIF('CLIENT SECTOR ALLOC'!Q:Q, $A32) &gt; 0, "Present", "Not Present")</f>
        <v>Not Present</v>
      </c>
      <c r="H32" s="6" t="str">
        <f>IF(COUNTIF('CLIENT SECTOR ALLOC'!U:U, $A32) &gt; 0, "Present", "Not Present")</f>
        <v>Not Present</v>
      </c>
      <c r="I32" s="6" t="str">
        <f>IF(COUNTIF('CLIENT SECTOR ALLOC'!Z:Z, $A32) &gt; 0, "Present", "Not Present")</f>
        <v>Present</v>
      </c>
      <c r="J32" s="6" t="str">
        <f>IF(COUNTIF('CLIENT SECTOR ALLOC'!AE:AE, $A32) &gt; 0, "Present", "Not Present")</f>
        <v>Not Present</v>
      </c>
      <c r="L32" s="3">
        <f ca="1">IFERROR(__xludf.DUMMYFUNCTION("googlefinance(A42,""price"")"),608)</f>
        <v>608</v>
      </c>
      <c r="M32" s="3">
        <v>595</v>
      </c>
      <c r="N32" s="7">
        <f ca="1">L32-M32*1.05</f>
        <v>-16.75</v>
      </c>
      <c r="O32" s="7" t="str">
        <f>A32&amp;""&amp;","</f>
        <v>NSE:INDHOTEL,</v>
      </c>
      <c r="Q32" s="3" t="str">
        <f>VLOOKUP(A32,'all stocks &gt; 500 cr'!$B:$H,6,0)</f>
        <v>Hotels Restaurants &amp; Tourism</v>
      </c>
    </row>
    <row r="33" spans="1:24">
      <c r="A33" s="5" t="s">
        <v>36</v>
      </c>
      <c r="B33" s="3">
        <f>COUNTIF(C33:J33, "Present")</f>
        <v>7</v>
      </c>
      <c r="C33" s="6" t="str">
        <f>IF(COUNTIF('CLIENT SECTOR ALLOC'!A:A, A33) &gt; 0, "Present", "Not Present")</f>
        <v>Present</v>
      </c>
      <c r="D33" s="6" t="str">
        <f>IF(COUNTIF('CLIENT SECTOR ALLOC'!E:E, $A33) &gt; 0, "Present", "Not Present")</f>
        <v>Not Present</v>
      </c>
      <c r="E33" s="6" t="str">
        <f>IF(COUNTIF('CLIENT SECTOR ALLOC'!I:I, $A33) &gt; 0, "Present", "Not Present")</f>
        <v>Present</v>
      </c>
      <c r="F33" s="6" t="str">
        <f>IF(COUNTIF('CLIENT SECTOR ALLOC'!M:M, $A33) &gt; 0, "Present", "Not Present")</f>
        <v>Present</v>
      </c>
      <c r="G33" s="6" t="str">
        <f>IF(COUNTIF('CLIENT SECTOR ALLOC'!Q:Q, $A33) &gt; 0, "Present", "Not Present")</f>
        <v>Present</v>
      </c>
      <c r="H33" s="6" t="str">
        <f>IF(COUNTIF('CLIENT SECTOR ALLOC'!U:U, $A33) &gt; 0, "Present", "Not Present")</f>
        <v>Present</v>
      </c>
      <c r="I33" s="6" t="str">
        <f>IF(COUNTIF('CLIENT SECTOR ALLOC'!Z:Z, $A33) &gt; 0, "Present", "Not Present")</f>
        <v>Present</v>
      </c>
      <c r="J33" s="6" t="str">
        <f>IF(COUNTIF('CLIENT SECTOR ALLOC'!AE:AE, $A33) &gt; 0, "Present", "Not Present")</f>
        <v>Present</v>
      </c>
      <c r="L33" s="3">
        <f ca="1">IFERROR(__xludf.DUMMYFUNCTION("googlefinance(A66,""price"")"),524.6)</f>
        <v>524.6</v>
      </c>
      <c r="M33" s="273">
        <v>520</v>
      </c>
      <c r="N33" s="7">
        <f ca="1">L33-M33*1.05</f>
        <v>-21.399999999999977</v>
      </c>
      <c r="O33" s="7" t="str">
        <f>A33&amp;""&amp;","</f>
        <v>NSE:INDIANB,</v>
      </c>
      <c r="Q33" s="3" t="str">
        <f>VLOOKUP(A33,'all stocks &gt; 500 cr'!$B:$H,6,0)</f>
        <v>Banking and Finance</v>
      </c>
    </row>
    <row r="34" spans="1:24">
      <c r="A34" s="5" t="s">
        <v>65</v>
      </c>
      <c r="B34" s="3">
        <f>COUNTIF(C34:J34, "Present")</f>
        <v>2</v>
      </c>
      <c r="C34" s="6" t="str">
        <f>IF(COUNTIF('CLIENT SECTOR ALLOC'!A:A, A34) &gt; 0, "Present", "Not Present")</f>
        <v>Present</v>
      </c>
      <c r="D34" s="6" t="str">
        <f>IF(COUNTIF('CLIENT SECTOR ALLOC'!E:E, $A34) &gt; 0, "Present", "Not Present")</f>
        <v>Not Present</v>
      </c>
      <c r="E34" s="6" t="str">
        <f>IF(COUNTIF('CLIENT SECTOR ALLOC'!I:I, $A34) &gt; 0, "Present", "Not Present")</f>
        <v>Present</v>
      </c>
      <c r="F34" s="6" t="str">
        <f>IF(COUNTIF('CLIENT SECTOR ALLOC'!M:M, $A34) &gt; 0, "Present", "Not Present")</f>
        <v>Not Present</v>
      </c>
      <c r="G34" s="6" t="str">
        <f>IF(COUNTIF('CLIENT SECTOR ALLOC'!Q:Q, $A34) &gt; 0, "Present", "Not Present")</f>
        <v>Not Present</v>
      </c>
      <c r="H34" s="6" t="str">
        <f>IF(COUNTIF('CLIENT SECTOR ALLOC'!U:U, $A34) &gt; 0, "Present", "Not Present")</f>
        <v>Not Present</v>
      </c>
      <c r="I34" s="6" t="str">
        <f>IF(COUNTIF('CLIENT SECTOR ALLOC'!Z:Z, $A34) &gt; 0, "Present", "Not Present")</f>
        <v>Not Present</v>
      </c>
      <c r="J34" s="6" t="str">
        <f>IF(COUNTIF('CLIENT SECTOR ALLOC'!AE:AE, $A34) &gt; 0, "Present", "Not Present")</f>
        <v>Not Present</v>
      </c>
      <c r="L34" s="3">
        <f ca="1">IFERROR(__xludf.DUMMYFUNCTION("googlefinance(A21,""price"")"),1342.55)</f>
        <v>1342.55</v>
      </c>
      <c r="M34" s="3">
        <v>1026</v>
      </c>
      <c r="N34" s="7">
        <f ca="1">L34-M34*1.05</f>
        <v>265.25</v>
      </c>
      <c r="O34" s="7" t="str">
        <f>A34&amp;""&amp;","</f>
        <v>NSE:INDOTECH,</v>
      </c>
      <c r="Q34" s="3" t="str">
        <f>VLOOKUP(A34,'all stocks &gt; 500 cr'!$B:$H,6,0)</f>
        <v>General Industrials</v>
      </c>
    </row>
    <row r="35" spans="1:24">
      <c r="A35" s="5" t="s">
        <v>22</v>
      </c>
      <c r="B35" s="3">
        <f>COUNTIF(C35:J35, "Present")</f>
        <v>6</v>
      </c>
      <c r="C35" s="6" t="str">
        <f>IF(COUNTIF('CLIENT SECTOR ALLOC'!A:A, A35) &gt; 0, "Present", "Not Present")</f>
        <v>Present</v>
      </c>
      <c r="D35" s="6" t="str">
        <f>IF(COUNTIF('CLIENT SECTOR ALLOC'!E:E, $A35) &gt; 0, "Present", "Not Present")</f>
        <v>Present</v>
      </c>
      <c r="E35" s="6" t="str">
        <f>IF(COUNTIF('CLIENT SECTOR ALLOC'!I:I, $A35) &gt; 0, "Present", "Not Present")</f>
        <v>Present</v>
      </c>
      <c r="F35" s="6" t="str">
        <f>IF(COUNTIF('CLIENT SECTOR ALLOC'!M:M, $A35) &gt; 0, "Present", "Not Present")</f>
        <v>Present</v>
      </c>
      <c r="G35" s="6" t="str">
        <f>IF(COUNTIF('CLIENT SECTOR ALLOC'!Q:Q, $A35) &gt; 0, "Present", "Not Present")</f>
        <v>Present</v>
      </c>
      <c r="H35" s="6" t="str">
        <f>IF(COUNTIF('CLIENT SECTOR ALLOC'!U:U, $A35) &gt; 0, "Present", "Not Present")</f>
        <v>Present</v>
      </c>
      <c r="I35" s="6" t="str">
        <f>IF(COUNTIF('CLIENT SECTOR ALLOC'!Z:Z, $A35) &gt; 0, "Present", "Not Present")</f>
        <v>Not Present</v>
      </c>
      <c r="J35" s="6" t="str">
        <f>IF(COUNTIF('CLIENT SECTOR ALLOC'!AE:AE, $A35) &gt; 0, "Present", "Not Present")</f>
        <v>Not Present</v>
      </c>
      <c r="L35" s="3">
        <f ca="1">IFERROR(__xludf.DUMMYFUNCTION("googlefinance(A60,""price"")"),122)</f>
        <v>122</v>
      </c>
      <c r="M35" s="273">
        <v>122</v>
      </c>
      <c r="N35" s="7">
        <f ca="1">L35-M35*1.05</f>
        <v>-6.0999999999999943</v>
      </c>
      <c r="O35" s="7" t="str">
        <f>A35&amp;""&amp;","</f>
        <v>NSE:JAYBARMARU,</v>
      </c>
      <c r="Q35" s="3" t="str">
        <f>VLOOKUP(A35,'all stocks &gt; 500 cr'!$B:$H,6,0)</f>
        <v>Automobiles &amp; Auto Components</v>
      </c>
    </row>
    <row r="36" spans="1:24">
      <c r="A36" s="5" t="s">
        <v>51</v>
      </c>
      <c r="B36" s="3">
        <f>COUNTIF(C36:J36, "Present")</f>
        <v>3</v>
      </c>
      <c r="C36" s="6" t="str">
        <f>IF(COUNTIF('CLIENT SECTOR ALLOC'!A:A, A36) &gt; 0, "Present", "Not Present")</f>
        <v>Present</v>
      </c>
      <c r="D36" s="6" t="str">
        <f>IF(COUNTIF('CLIENT SECTOR ALLOC'!E:E, $A36) &gt; 0, "Present", "Not Present")</f>
        <v>Not Present</v>
      </c>
      <c r="E36" s="6" t="str">
        <f>IF(COUNTIF('CLIENT SECTOR ALLOC'!I:I, $A36) &gt; 0, "Present", "Not Present")</f>
        <v>Present</v>
      </c>
      <c r="F36" s="6" t="str">
        <f>IF(COUNTIF('CLIENT SECTOR ALLOC'!M:M, $A36) &gt; 0, "Present", "Not Present")</f>
        <v>Not Present</v>
      </c>
      <c r="G36" s="6" t="str">
        <f>IF(COUNTIF('CLIENT SECTOR ALLOC'!Q:Q, $A36) &gt; 0, "Present", "Not Present")</f>
        <v>Not Present</v>
      </c>
      <c r="H36" s="6" t="str">
        <f>IF(COUNTIF('CLIENT SECTOR ALLOC'!U:U, $A36) &gt; 0, "Present", "Not Present")</f>
        <v>Not Present</v>
      </c>
      <c r="I36" s="6" t="str">
        <f>IF(COUNTIF('CLIENT SECTOR ALLOC'!Z:Z, $A36) &gt; 0, "Present", "Not Present")</f>
        <v>Present</v>
      </c>
      <c r="J36" s="6" t="str">
        <f>IF(COUNTIF('CLIENT SECTOR ALLOC'!AE:AE, $A36) &gt; 0, "Present", "Not Present")</f>
        <v>Not Present</v>
      </c>
      <c r="L36" s="3">
        <f ca="1">IFERROR(__xludf.DUMMYFUNCTION("googlefinance(A43,""price"")"),614.8)</f>
        <v>614.79999999999995</v>
      </c>
      <c r="M36" s="3">
        <v>504</v>
      </c>
      <c r="N36" s="7">
        <f ca="1">L36-M36*1.05</f>
        <v>85.599999999999909</v>
      </c>
      <c r="O36" s="7" t="str">
        <f>A36&amp;""&amp;","</f>
        <v>NSE:JSWENERGY,</v>
      </c>
      <c r="Q36" s="3" t="str">
        <f>VLOOKUP(A36,'all stocks &gt; 500 cr'!$B:$H,6,0)</f>
        <v>Utilities</v>
      </c>
    </row>
    <row r="37" spans="1:24">
      <c r="A37" s="5" t="s">
        <v>53</v>
      </c>
      <c r="B37" s="3">
        <f>COUNTIF(C37:J37, "Present")</f>
        <v>4</v>
      </c>
      <c r="C37" s="6" t="str">
        <f>IF(COUNTIF('CLIENT SECTOR ALLOC'!A:A, A37) &gt; 0, "Present", "Not Present")</f>
        <v>Present</v>
      </c>
      <c r="D37" s="6" t="str">
        <f>IF(COUNTIF('CLIENT SECTOR ALLOC'!E:E, $A37) &gt; 0, "Present", "Not Present")</f>
        <v>Not Present</v>
      </c>
      <c r="E37" s="6" t="str">
        <f>IF(COUNTIF('CLIENT SECTOR ALLOC'!I:I, $A37) &gt; 0, "Present", "Not Present")</f>
        <v>Not Present</v>
      </c>
      <c r="F37" s="6" t="str">
        <f>IF(COUNTIF('CLIENT SECTOR ALLOC'!M:M, $A37) &gt; 0, "Present", "Not Present")</f>
        <v>Present</v>
      </c>
      <c r="G37" s="6" t="str">
        <f>IF(COUNTIF('CLIENT SECTOR ALLOC'!Q:Q, $A37) &gt; 0, "Present", "Not Present")</f>
        <v>Present</v>
      </c>
      <c r="H37" s="6" t="str">
        <f>IF(COUNTIF('CLIENT SECTOR ALLOC'!U:U, $A37) &gt; 0, "Present", "Not Present")</f>
        <v>Not Present</v>
      </c>
      <c r="I37" s="6" t="str">
        <f>IF(COUNTIF('CLIENT SECTOR ALLOC'!Z:Z, $A37) &gt; 0, "Present", "Not Present")</f>
        <v>Present</v>
      </c>
      <c r="J37" s="6" t="str">
        <f>IF(COUNTIF('CLIENT SECTOR ALLOC'!AE:AE, $A37) &gt; 0, "Present", "Not Present")</f>
        <v>Not Present</v>
      </c>
      <c r="L37" s="3">
        <f ca="1">IFERROR(__xludf.DUMMYFUNCTION("googlefinance(A50,""price"")"),3989)</f>
        <v>3989</v>
      </c>
      <c r="M37" s="273">
        <v>3317</v>
      </c>
      <c r="N37" s="7">
        <f ca="1">L37-M37*1.05</f>
        <v>506.14999999999964</v>
      </c>
      <c r="O37" s="7" t="str">
        <f>A37&amp;""&amp;","</f>
        <v>NSE:KEI,</v>
      </c>
      <c r="Q37" s="3" t="str">
        <f>VLOOKUP(A37,'all stocks &gt; 500 cr'!$B:$H,6,0)</f>
        <v>Consumer Durables</v>
      </c>
    </row>
    <row r="38" spans="1:24">
      <c r="A38" s="5" t="s">
        <v>57</v>
      </c>
      <c r="B38" s="3">
        <f>COUNTIF(C38:J38, "Present")</f>
        <v>1</v>
      </c>
      <c r="C38" s="6" t="str">
        <f>IF(COUNTIF('CLIENT SECTOR ALLOC'!A:A, A38) &gt; 0, "Present", "Not Present")</f>
        <v>Not Present</v>
      </c>
      <c r="D38" s="6" t="str">
        <f>IF(COUNTIF('CLIENT SECTOR ALLOC'!E:E, $A38) &gt; 0, "Present", "Not Present")</f>
        <v>Not Present</v>
      </c>
      <c r="E38" s="6" t="str">
        <f>IF(COUNTIF('CLIENT SECTOR ALLOC'!I:I, $A38) &gt; 0, "Present", "Not Present")</f>
        <v>Not Present</v>
      </c>
      <c r="F38" s="6" t="str">
        <f>IF(COUNTIF('CLIENT SECTOR ALLOC'!M:M, $A38) &gt; 0, "Present", "Not Present")</f>
        <v>Not Present</v>
      </c>
      <c r="G38" s="6" t="str">
        <f>IF(COUNTIF('CLIENT SECTOR ALLOC'!Q:Q, $A38) &gt; 0, "Present", "Not Present")</f>
        <v>Not Present</v>
      </c>
      <c r="H38" s="6" t="str">
        <f>IF(COUNTIF('CLIENT SECTOR ALLOC'!U:U, $A38) &gt; 0, "Present", "Not Present")</f>
        <v>Not Present</v>
      </c>
      <c r="I38" s="6" t="str">
        <f>IF(COUNTIF('CLIENT SECTOR ALLOC'!Z:Z, $A38) &gt; 0, "Present", "Not Present")</f>
        <v>Present</v>
      </c>
      <c r="J38" s="6" t="str">
        <f>IF(COUNTIF('CLIENT SECTOR ALLOC'!AE:AE, $A38) &gt; 0, "Present", "Not Present")</f>
        <v>Not Present</v>
      </c>
      <c r="L38" s="3">
        <f ca="1">IFERROR(__xludf.DUMMYFUNCTION("googlefinance(A11,""price"")"),4355)</f>
        <v>4355</v>
      </c>
      <c r="M38" s="3">
        <v>3947</v>
      </c>
      <c r="N38" s="7">
        <f ca="1">L38-M38*1.05</f>
        <v>210.64999999999964</v>
      </c>
      <c r="O38" s="7" t="str">
        <f>A38&amp;""&amp;","</f>
        <v>NSE:KSB,</v>
      </c>
      <c r="Q38" s="3" t="str">
        <f>VLOOKUP(A38,'all stocks &gt; 500 cr'!$B:$H,6,0)</f>
        <v>General Industrials</v>
      </c>
    </row>
    <row r="39" spans="1:24">
      <c r="A39" s="5" t="s">
        <v>70</v>
      </c>
      <c r="B39" s="3">
        <f>COUNTIF(C39:J39, "Present")</f>
        <v>2</v>
      </c>
      <c r="C39" s="6" t="str">
        <f>IF(COUNTIF('CLIENT SECTOR ALLOC'!A:A, A39) &gt; 0, "Present", "Not Present")</f>
        <v>Present</v>
      </c>
      <c r="D39" s="6" t="str">
        <f>IF(COUNTIF('CLIENT SECTOR ALLOC'!E:E, $A39) &gt; 0, "Present", "Not Present")</f>
        <v>Not Present</v>
      </c>
      <c r="E39" s="6" t="str">
        <f>IF(COUNTIF('CLIENT SECTOR ALLOC'!I:I, $A39) &gt; 0, "Present", "Not Present")</f>
        <v>Present</v>
      </c>
      <c r="F39" s="6" t="str">
        <f>IF(COUNTIF('CLIENT SECTOR ALLOC'!M:M, $A39) &gt; 0, "Present", "Not Present")</f>
        <v>Not Present</v>
      </c>
      <c r="G39" s="6" t="str">
        <f>IF(COUNTIF('CLIENT SECTOR ALLOC'!Q:Q, $A39) &gt; 0, "Present", "Not Present")</f>
        <v>Not Present</v>
      </c>
      <c r="H39" s="6" t="str">
        <f>IF(COUNTIF('CLIENT SECTOR ALLOC'!U:U, $A39) &gt; 0, "Present", "Not Present")</f>
        <v>Not Present</v>
      </c>
      <c r="I39" s="6" t="str">
        <f>IF(COUNTIF('CLIENT SECTOR ALLOC'!Z:Z, $A39) &gt; 0, "Present", "Not Present")</f>
        <v>Not Present</v>
      </c>
      <c r="J39" s="6" t="str">
        <f>IF(COUNTIF('CLIENT SECTOR ALLOC'!AE:AE, $A39) &gt; 0, "Present", "Not Present")</f>
        <v>Not Present</v>
      </c>
      <c r="L39" s="3">
        <f ca="1">IFERROR(__xludf.DUMMYFUNCTION("googlefinance(A22,""price"")"),431.9)</f>
        <v>431.9</v>
      </c>
      <c r="M39" s="3">
        <v>375</v>
      </c>
      <c r="N39" s="7">
        <f ca="1">L39-M39*1.05</f>
        <v>38.149999999999977</v>
      </c>
      <c r="O39" s="7" t="str">
        <f>A39&amp;""&amp;","</f>
        <v>NSE:LOKESHMACH,</v>
      </c>
      <c r="Q39" s="3" t="str">
        <f>VLOOKUP(A39,'all stocks &gt; 500 cr'!$B:$H,6,0)</f>
        <v>General Industrials</v>
      </c>
    </row>
    <row r="40" spans="1:24">
      <c r="A40" s="5" t="s">
        <v>55</v>
      </c>
      <c r="B40" s="3">
        <f>COUNTIF(C40:J40, "Present")</f>
        <v>2</v>
      </c>
      <c r="C40" s="6" t="str">
        <f>IF(COUNTIF('CLIENT SECTOR ALLOC'!A:A, A40) &gt; 0, "Present", "Not Present")</f>
        <v>Present</v>
      </c>
      <c r="D40" s="6" t="str">
        <f>IF(COUNTIF('CLIENT SECTOR ALLOC'!E:E, $A40) &gt; 0, "Present", "Not Present")</f>
        <v>Not Present</v>
      </c>
      <c r="E40" s="6" t="str">
        <f>IF(COUNTIF('CLIENT SECTOR ALLOC'!I:I, $A40) &gt; 0, "Present", "Not Present")</f>
        <v>Not Present</v>
      </c>
      <c r="F40" s="6" t="str">
        <f>IF(COUNTIF('CLIENT SECTOR ALLOC'!M:M, $A40) &gt; 0, "Present", "Not Present")</f>
        <v>Present</v>
      </c>
      <c r="G40" s="6" t="str">
        <f>IF(COUNTIF('CLIENT SECTOR ALLOC'!Q:Q, $A40) &gt; 0, "Present", "Not Present")</f>
        <v>Not Present</v>
      </c>
      <c r="H40" s="6" t="str">
        <f>IF(COUNTIF('CLIENT SECTOR ALLOC'!U:U, $A40) &gt; 0, "Present", "Not Present")</f>
        <v>Not Present</v>
      </c>
      <c r="I40" s="6" t="str">
        <f>IF(COUNTIF('CLIENT SECTOR ALLOC'!Z:Z, $A40) &gt; 0, "Present", "Not Present")</f>
        <v>Not Present</v>
      </c>
      <c r="J40" s="6" t="str">
        <f>IF(COUNTIF('CLIENT SECTOR ALLOC'!AE:AE, $A40) &gt; 0, "Present", "Not Present")</f>
        <v>Not Present</v>
      </c>
      <c r="L40" s="3">
        <f ca="1">IFERROR(__xludf.DUMMYFUNCTION("googlefinance(A23,""price"")"),162.5)</f>
        <v>162.5</v>
      </c>
      <c r="M40" s="273">
        <v>158</v>
      </c>
      <c r="N40" s="7">
        <f ca="1">L40-M40*1.05</f>
        <v>-3.4000000000000057</v>
      </c>
      <c r="O40" s="7" t="str">
        <f>A40&amp;""&amp;","</f>
        <v>NSE:MARKSANS,</v>
      </c>
      <c r="Q40" s="3" t="str">
        <f>VLOOKUP(A40,'all stocks &gt; 500 cr'!$B:$H,6,0)</f>
        <v>Pharmaceuticals &amp; Biotechnology</v>
      </c>
    </row>
    <row r="41" spans="1:24">
      <c r="A41" s="5" t="s">
        <v>40</v>
      </c>
      <c r="B41" s="3">
        <f>COUNTIF(C41:J41, "Present")</f>
        <v>4</v>
      </c>
      <c r="C41" s="6" t="str">
        <f>IF(COUNTIF('CLIENT SECTOR ALLOC'!A:A, A41) &gt; 0, "Present", "Not Present")</f>
        <v>Present</v>
      </c>
      <c r="D41" s="6" t="str">
        <f>IF(COUNTIF('CLIENT SECTOR ALLOC'!E:E, $A41) &gt; 0, "Present", "Not Present")</f>
        <v>Not Present</v>
      </c>
      <c r="E41" s="6" t="str">
        <f>IF(COUNTIF('CLIENT SECTOR ALLOC'!I:I, $A41) &gt; 0, "Present", "Not Present")</f>
        <v>Not Present</v>
      </c>
      <c r="F41" s="6" t="str">
        <f>IF(COUNTIF('CLIENT SECTOR ALLOC'!M:M, $A41) &gt; 0, "Present", "Not Present")</f>
        <v>Not Present</v>
      </c>
      <c r="G41" s="6" t="str">
        <f>IF(COUNTIF('CLIENT SECTOR ALLOC'!Q:Q, $A41) &gt; 0, "Present", "Not Present")</f>
        <v>Present</v>
      </c>
      <c r="H41" s="6" t="str">
        <f>IF(COUNTIF('CLIENT SECTOR ALLOC'!U:U, $A41) &gt; 0, "Present", "Not Present")</f>
        <v>Present</v>
      </c>
      <c r="I41" s="6" t="str">
        <f>IF(COUNTIF('CLIENT SECTOR ALLOC'!Z:Z, $A41) &gt; 0, "Present", "Not Present")</f>
        <v>Not Present</v>
      </c>
      <c r="J41" s="6" t="str">
        <f>IF(COUNTIF('CLIENT SECTOR ALLOC'!AE:AE, $A41) &gt; 0, "Present", "Not Present")</f>
        <v>Present</v>
      </c>
      <c r="L41" s="3">
        <f ca="1">IFERROR(__xludf.DUMMYFUNCTION("googlefinance(A51,""price"")"),20.6)</f>
        <v>20.6</v>
      </c>
      <c r="M41" s="3">
        <v>20</v>
      </c>
      <c r="N41" s="7">
        <f ca="1">L41-M41*1.05</f>
        <v>-0.39999999999999858</v>
      </c>
      <c r="O41" s="7" t="str">
        <f>A41&amp;""&amp;","</f>
        <v>NSE:MIRCELECTR,</v>
      </c>
      <c r="Q41" s="3" t="e">
        <f>VLOOKUP(A41,'all stocks &gt; 500 cr'!$B:$H,6,0)</f>
        <v>#N/A</v>
      </c>
    </row>
    <row r="42" spans="1:24">
      <c r="A42" s="5" t="s">
        <v>60</v>
      </c>
      <c r="B42" s="3">
        <f>COUNTIF(C42:J42, "Present")</f>
        <v>2</v>
      </c>
      <c r="C42" s="6" t="str">
        <f>IF(COUNTIF('CLIENT SECTOR ALLOC'!A:A, A42) &gt; 0, "Present", "Not Present")</f>
        <v>Not Present</v>
      </c>
      <c r="D42" s="6" t="str">
        <f>IF(COUNTIF('CLIENT SECTOR ALLOC'!E:E, $A42) &gt; 0, "Present", "Not Present")</f>
        <v>Not Present</v>
      </c>
      <c r="E42" s="6" t="str">
        <f>IF(COUNTIF('CLIENT SECTOR ALLOC'!I:I, $A42) &gt; 0, "Present", "Not Present")</f>
        <v>Present</v>
      </c>
      <c r="F42" s="6" t="str">
        <f>IF(COUNTIF('CLIENT SECTOR ALLOC'!M:M, $A42) &gt; 0, "Present", "Not Present")</f>
        <v>Not Present</v>
      </c>
      <c r="G42" s="6" t="str">
        <f>IF(COUNTIF('CLIENT SECTOR ALLOC'!Q:Q, $A42) &gt; 0, "Present", "Not Present")</f>
        <v>Not Present</v>
      </c>
      <c r="H42" s="6" t="str">
        <f>IF(COUNTIF('CLIENT SECTOR ALLOC'!U:U, $A42) &gt; 0, "Present", "Not Present")</f>
        <v>Not Present</v>
      </c>
      <c r="I42" s="6" t="str">
        <f>IF(COUNTIF('CLIENT SECTOR ALLOC'!Z:Z, $A42) &gt; 0, "Present", "Not Present")</f>
        <v>Present</v>
      </c>
      <c r="J42" s="6" t="str">
        <f>IF(COUNTIF('CLIENT SECTOR ALLOC'!AE:AE, $A42) &gt; 0, "Present", "Not Present")</f>
        <v>Not Present</v>
      </c>
      <c r="L42" s="3">
        <f ca="1">IFERROR(__xludf.DUMMYFUNCTION("googlefinance(A12,""price"")"),2070.2)</f>
        <v>2070.1999999999998</v>
      </c>
      <c r="M42" s="273">
        <v>1868</v>
      </c>
      <c r="N42" s="7">
        <f ca="1">L42-M42*1.05</f>
        <v>108.79999999999973</v>
      </c>
      <c r="O42" s="7" t="str">
        <f>A42&amp;""&amp;","</f>
        <v>NSE:MOTILALOFS,</v>
      </c>
      <c r="Q42" s="3" t="str">
        <f>VLOOKUP(A42,'all stocks &gt; 500 cr'!$B:$H,6,0)</f>
        <v>Banking and Finance</v>
      </c>
    </row>
    <row r="43" spans="1:24">
      <c r="A43" s="5" t="s">
        <v>62</v>
      </c>
      <c r="B43" s="3">
        <f>COUNTIF(C43:J43, "Present")</f>
        <v>3</v>
      </c>
      <c r="C43" s="6" t="str">
        <f>IF(COUNTIF('CLIENT SECTOR ALLOC'!A:A, A43) &gt; 0, "Present", "Not Present")</f>
        <v>Present</v>
      </c>
      <c r="D43" s="6" t="str">
        <f>IF(COUNTIF('CLIENT SECTOR ALLOC'!E:E, $A43) &gt; 0, "Present", "Not Present")</f>
        <v>Not Present</v>
      </c>
      <c r="E43" s="6" t="str">
        <f>IF(COUNTIF('CLIENT SECTOR ALLOC'!I:I, $A43) &gt; 0, "Present", "Not Present")</f>
        <v>Present</v>
      </c>
      <c r="F43" s="6" t="str">
        <f>IF(COUNTIF('CLIENT SECTOR ALLOC'!M:M, $A43) &gt; 0, "Present", "Not Present")</f>
        <v>Not Present</v>
      </c>
      <c r="G43" s="6" t="str">
        <f>IF(COUNTIF('CLIENT SECTOR ALLOC'!Q:Q, $A43) &gt; 0, "Present", "Not Present")</f>
        <v>Not Present</v>
      </c>
      <c r="H43" s="6" t="str">
        <f>IF(COUNTIF('CLIENT SECTOR ALLOC'!U:U, $A43) &gt; 0, "Present", "Not Present")</f>
        <v>Not Present</v>
      </c>
      <c r="I43" s="6" t="str">
        <f>IF(COUNTIF('CLIENT SECTOR ALLOC'!Z:Z, $A43) &gt; 0, "Present", "Not Present")</f>
        <v>Present</v>
      </c>
      <c r="J43" s="6" t="str">
        <f>IF(COUNTIF('CLIENT SECTOR ALLOC'!AE:AE, $A43) &gt; 0, "Present", "Not Present")</f>
        <v>Not Present</v>
      </c>
      <c r="L43" s="3">
        <f ca="1">IFERROR(__xludf.DUMMYFUNCTION("googlefinance(A44,""price"")"),1659.05)</f>
        <v>1659.05</v>
      </c>
      <c r="M43" s="3">
        <v>1643</v>
      </c>
      <c r="N43" s="7">
        <f ca="1">L43-M43*1.05</f>
        <v>-66.100000000000136</v>
      </c>
      <c r="O43" s="7" t="str">
        <f>A43&amp;""&amp;","</f>
        <v>NSE:MUTHOOTFIN,</v>
      </c>
      <c r="Q43" s="3" t="str">
        <f>VLOOKUP(A43,'all stocks &gt; 500 cr'!$B:$H,6,0)</f>
        <v>Banking and Finance</v>
      </c>
    </row>
    <row r="44" spans="1:24">
      <c r="A44" s="5" t="s">
        <v>64</v>
      </c>
      <c r="B44" s="3">
        <f>COUNTIF(C44:J44, "Present")</f>
        <v>2</v>
      </c>
      <c r="C44" s="6" t="str">
        <f>IF(COUNTIF('CLIENT SECTOR ALLOC'!A:A, A44) &gt; 0, "Present", "Not Present")</f>
        <v>Not Present</v>
      </c>
      <c r="D44" s="6" t="str">
        <f>IF(COUNTIF('CLIENT SECTOR ALLOC'!E:E, $A44) &gt; 0, "Present", "Not Present")</f>
        <v>Not Present</v>
      </c>
      <c r="E44" s="6" t="str">
        <f>IF(COUNTIF('CLIENT SECTOR ALLOC'!I:I, $A44) &gt; 0, "Present", "Not Present")</f>
        <v>Present</v>
      </c>
      <c r="F44" s="6" t="str">
        <f>IF(COUNTIF('CLIENT SECTOR ALLOC'!M:M, $A44) &gt; 0, "Present", "Not Present")</f>
        <v>Not Present</v>
      </c>
      <c r="G44" s="6" t="str">
        <f>IF(COUNTIF('CLIENT SECTOR ALLOC'!Q:Q, $A44) &gt; 0, "Present", "Not Present")</f>
        <v>Not Present</v>
      </c>
      <c r="H44" s="6" t="str">
        <f>IF(COUNTIF('CLIENT SECTOR ALLOC'!U:U, $A44) &gt; 0, "Present", "Not Present")</f>
        <v>Not Present</v>
      </c>
      <c r="I44" s="6" t="str">
        <f>IF(COUNTIF('CLIENT SECTOR ALLOC'!Z:Z, $A44) &gt; 0, "Present", "Not Present")</f>
        <v>Present</v>
      </c>
      <c r="J44" s="6" t="str">
        <f>IF(COUNTIF('CLIENT SECTOR ALLOC'!AE:AE, $A44) &gt; 0, "Present", "Not Present")</f>
        <v>Not Present</v>
      </c>
      <c r="L44" s="3">
        <f ca="1">IFERROR(__xludf.DUMMYFUNCTION("googlefinance(A24,""price"")"),543)</f>
        <v>543</v>
      </c>
      <c r="M44" s="3">
        <v>515</v>
      </c>
      <c r="N44" s="7">
        <f ca="1">L44-M44*1.05</f>
        <v>2.25</v>
      </c>
      <c r="O44" s="7" t="str">
        <f>A44&amp;""&amp;","</f>
        <v>NSE:NAM-INDIA,</v>
      </c>
      <c r="Q44" s="3" t="str">
        <f>VLOOKUP(A44,'all stocks &gt; 500 cr'!$B:$H,6,0)</f>
        <v>Banking and Finance</v>
      </c>
    </row>
    <row r="45" spans="1:24">
      <c r="A45" s="5" t="s">
        <v>78</v>
      </c>
      <c r="B45" s="3">
        <f>COUNTIF(C45:J45, "Present")</f>
        <v>2</v>
      </c>
      <c r="C45" s="6" t="str">
        <f>IF(COUNTIF('CLIENT SECTOR ALLOC'!A:A, A45) &gt; 0, "Present", "Not Present")</f>
        <v>Present</v>
      </c>
      <c r="D45" s="6" t="str">
        <f>IF(COUNTIF('CLIENT SECTOR ALLOC'!E:E, $A45) &gt; 0, "Present", "Not Present")</f>
        <v>Not Present</v>
      </c>
      <c r="E45" s="6" t="str">
        <f>IF(COUNTIF('CLIENT SECTOR ALLOC'!I:I, $A45) &gt; 0, "Present", "Not Present")</f>
        <v>Present</v>
      </c>
      <c r="F45" s="6" t="str">
        <f>IF(COUNTIF('CLIENT SECTOR ALLOC'!M:M, $A45) &gt; 0, "Present", "Not Present")</f>
        <v>Not Present</v>
      </c>
      <c r="G45" s="6" t="str">
        <f>IF(COUNTIF('CLIENT SECTOR ALLOC'!Q:Q, $A45) &gt; 0, "Present", "Not Present")</f>
        <v>Not Present</v>
      </c>
      <c r="H45" s="6" t="str">
        <f>IF(COUNTIF('CLIENT SECTOR ALLOC'!U:U, $A45) &gt; 0, "Present", "Not Present")</f>
        <v>Not Present</v>
      </c>
      <c r="I45" s="6" t="str">
        <f>IF(COUNTIF('CLIENT SECTOR ALLOC'!Z:Z, $A45) &gt; 0, "Present", "Not Present")</f>
        <v>Not Present</v>
      </c>
      <c r="J45" s="6" t="str">
        <f>IF(COUNTIF('CLIENT SECTOR ALLOC'!AE:AE, $A45) &gt; 0, "Present", "Not Present")</f>
        <v>Not Present</v>
      </c>
      <c r="L45" s="3">
        <f ca="1">IFERROR(__xludf.DUMMYFUNCTION("googlefinance(A25,""price"")"),258.35)</f>
        <v>258.35000000000002</v>
      </c>
      <c r="M45" s="3">
        <v>255</v>
      </c>
      <c r="N45" s="7">
        <f ca="1">L45-M45*1.05</f>
        <v>-9.3999999999999773</v>
      </c>
      <c r="O45" s="7" t="str">
        <f>A45&amp;""&amp;","</f>
        <v>NSE:NCC,</v>
      </c>
      <c r="Q45" s="3" t="str">
        <f>VLOOKUP(A45,'all stocks &gt; 500 cr'!$B:$H,6,0)</f>
        <v>Cement and Construction</v>
      </c>
      <c r="X45" s="8"/>
    </row>
    <row r="46" spans="1:24">
      <c r="A46" s="5" t="s">
        <v>67</v>
      </c>
      <c r="B46" s="3">
        <f>COUNTIF(C46:J46, "Present")</f>
        <v>1</v>
      </c>
      <c r="C46" s="6" t="str">
        <f>IF(COUNTIF('CLIENT SECTOR ALLOC'!A:A, A46) &gt; 0, "Present", "Not Present")</f>
        <v>Not Present</v>
      </c>
      <c r="D46" s="6" t="str">
        <f>IF(COUNTIF('CLIENT SECTOR ALLOC'!E:E, $A46) &gt; 0, "Present", "Not Present")</f>
        <v>Not Present</v>
      </c>
      <c r="E46" s="6" t="str">
        <f>IF(COUNTIF('CLIENT SECTOR ALLOC'!I:I, $A46) &gt; 0, "Present", "Not Present")</f>
        <v>Not Present</v>
      </c>
      <c r="F46" s="6" t="str">
        <f>IF(COUNTIF('CLIENT SECTOR ALLOC'!M:M, $A46) &gt; 0, "Present", "Not Present")</f>
        <v>Not Present</v>
      </c>
      <c r="G46" s="6" t="str">
        <f>IF(COUNTIF('CLIENT SECTOR ALLOC'!Q:Q, $A46) &gt; 0, "Present", "Not Present")</f>
        <v>Not Present</v>
      </c>
      <c r="H46" s="6" t="str">
        <f>IF(COUNTIF('CLIENT SECTOR ALLOC'!U:U, $A46) &gt; 0, "Present", "Not Present")</f>
        <v>Not Present</v>
      </c>
      <c r="I46" s="6" t="str">
        <f>IF(COUNTIF('CLIENT SECTOR ALLOC'!Z:Z, $A46) &gt; 0, "Present", "Not Present")</f>
        <v>Present</v>
      </c>
      <c r="J46" s="6" t="str">
        <f>IF(COUNTIF('CLIENT SECTOR ALLOC'!AE:AE, $A46) &gt; 0, "Present", "Not Present")</f>
        <v>Not Present</v>
      </c>
      <c r="L46" s="3">
        <f ca="1">IFERROR(__xludf.DUMMYFUNCTION("googlefinance(A13,""price"")"),235.7)</f>
        <v>235.7</v>
      </c>
      <c r="M46" s="273">
        <v>228</v>
      </c>
      <c r="N46" s="7">
        <f ca="1">L46-M46*1.05</f>
        <v>-3.7000000000000171</v>
      </c>
      <c r="O46" s="7" t="str">
        <f>A46&amp;""&amp;","</f>
        <v>NSE:NLCINDIA,</v>
      </c>
      <c r="Q46" s="3" t="str">
        <f>VLOOKUP(A46,'all stocks &gt; 500 cr'!$B:$H,6,0)</f>
        <v>Utilities</v>
      </c>
    </row>
    <row r="47" spans="1:24">
      <c r="A47" s="5" t="s">
        <v>63</v>
      </c>
      <c r="B47" s="3">
        <f>COUNTIF(C47:J47, "Present")</f>
        <v>1</v>
      </c>
      <c r="C47" s="6" t="str">
        <f>IF(COUNTIF('CLIENT SECTOR ALLOC'!A:A, A47) &gt; 0, "Present", "Not Present")</f>
        <v>Not Present</v>
      </c>
      <c r="D47" s="6" t="str">
        <f>IF(COUNTIF('CLIENT SECTOR ALLOC'!E:E, $A47) &gt; 0, "Present", "Not Present")</f>
        <v>Not Present</v>
      </c>
      <c r="E47" s="6" t="str">
        <f>IF(COUNTIF('CLIENT SECTOR ALLOC'!I:I, $A47) &gt; 0, "Present", "Not Present")</f>
        <v>Not Present</v>
      </c>
      <c r="F47" s="6" t="str">
        <f>IF(COUNTIF('CLIENT SECTOR ALLOC'!M:M, $A47) &gt; 0, "Present", "Not Present")</f>
        <v>Not Present</v>
      </c>
      <c r="G47" s="6" t="str">
        <f>IF(COUNTIF('CLIENT SECTOR ALLOC'!Q:Q, $A47) &gt; 0, "Present", "Not Present")</f>
        <v>Present</v>
      </c>
      <c r="H47" s="6" t="str">
        <f>IF(COUNTIF('CLIENT SECTOR ALLOC'!U:U, $A47) &gt; 0, "Present", "Not Present")</f>
        <v>Not Present</v>
      </c>
      <c r="I47" s="6" t="str">
        <f>IF(COUNTIF('CLIENT SECTOR ALLOC'!Z:Z, $A47) &gt; 0, "Present", "Not Present")</f>
        <v>Not Present</v>
      </c>
      <c r="J47" s="6" t="str">
        <f>IF(COUNTIF('CLIENT SECTOR ALLOC'!AE:AE, $A47) &gt; 0, "Present", "Not Present")</f>
        <v>Not Present</v>
      </c>
      <c r="L47" s="3">
        <f ca="1">IFERROR(__xludf.DUMMYFUNCTION("googlefinance(A14,""price"")"),53)</f>
        <v>53</v>
      </c>
      <c r="M47" s="273">
        <v>51.4</v>
      </c>
      <c r="N47" s="7">
        <f ca="1">L47-M47*1.05</f>
        <v>-0.96999999999999886</v>
      </c>
      <c r="O47" s="7" t="str">
        <f>A47&amp;""&amp;","</f>
        <v>NSE:ORIENTCER,</v>
      </c>
      <c r="Q47" s="3" t="str">
        <f>VLOOKUP(A47,'all stocks &gt; 500 cr'!$B:$H,6,0)</f>
        <v>General Industrials</v>
      </c>
    </row>
    <row r="48" spans="1:24">
      <c r="A48" s="5" t="s">
        <v>69</v>
      </c>
      <c r="B48" s="3">
        <f>COUNTIF(C48:J48, "Present")</f>
        <v>2</v>
      </c>
      <c r="C48" s="6" t="str">
        <f>IF(COUNTIF('CLIENT SECTOR ALLOC'!A:A, A48) &gt; 0, "Present", "Not Present")</f>
        <v>Not Present</v>
      </c>
      <c r="D48" s="6" t="str">
        <f>IF(COUNTIF('CLIENT SECTOR ALLOC'!E:E, $A48) &gt; 0, "Present", "Not Present")</f>
        <v>Not Present</v>
      </c>
      <c r="E48" s="6" t="str">
        <f>IF(COUNTIF('CLIENT SECTOR ALLOC'!I:I, $A48) &gt; 0, "Present", "Not Present")</f>
        <v>Present</v>
      </c>
      <c r="F48" s="6" t="str">
        <f>IF(COUNTIF('CLIENT SECTOR ALLOC'!M:M, $A48) &gt; 0, "Present", "Not Present")</f>
        <v>Not Present</v>
      </c>
      <c r="G48" s="6" t="str">
        <f>IF(COUNTIF('CLIENT SECTOR ALLOC'!Q:Q, $A48) &gt; 0, "Present", "Not Present")</f>
        <v>Not Present</v>
      </c>
      <c r="H48" s="6" t="str">
        <f>IF(COUNTIF('CLIENT SECTOR ALLOC'!U:U, $A48) &gt; 0, "Present", "Not Present")</f>
        <v>Not Present</v>
      </c>
      <c r="I48" s="6" t="str">
        <f>IF(COUNTIF('CLIENT SECTOR ALLOC'!Z:Z, $A48) &gt; 0, "Present", "Not Present")</f>
        <v>Present</v>
      </c>
      <c r="J48" s="6" t="str">
        <f>IF(COUNTIF('CLIENT SECTOR ALLOC'!AE:AE, $A48) &gt; 0, "Present", "Not Present")</f>
        <v>Not Present</v>
      </c>
      <c r="L48" s="3">
        <f ca="1">IFERROR(__xludf.DUMMYFUNCTION("googlefinance(A26,""price"")"),305.3)</f>
        <v>305.3</v>
      </c>
      <c r="M48" s="3">
        <v>270</v>
      </c>
      <c r="N48" s="7">
        <f ca="1">L48-M48*1.05</f>
        <v>21.800000000000011</v>
      </c>
      <c r="O48" s="7" t="str">
        <f>A48&amp;""&amp;","</f>
        <v>NSE:PETRONET,</v>
      </c>
      <c r="Q48" s="3" t="str">
        <f>VLOOKUP(A48,'all stocks &gt; 500 cr'!$B:$H,6,0)</f>
        <v>Oil &amp; Gas</v>
      </c>
    </row>
    <row r="49" spans="1:17">
      <c r="A49" s="5" t="s">
        <v>25</v>
      </c>
      <c r="B49" s="3">
        <f>COUNTIF(C49:J49, "Present")</f>
        <v>7</v>
      </c>
      <c r="C49" s="6" t="str">
        <f>IF(COUNTIF('CLIENT SECTOR ALLOC'!A:A, A49) &gt; 0, "Present", "Not Present")</f>
        <v>Present</v>
      </c>
      <c r="D49" s="6" t="str">
        <f>IF(COUNTIF('CLIENT SECTOR ALLOC'!E:E, $A49) &gt; 0, "Present", "Not Present")</f>
        <v>Present</v>
      </c>
      <c r="E49" s="6" t="str">
        <f>IF(COUNTIF('CLIENT SECTOR ALLOC'!I:I, $A49) &gt; 0, "Present", "Not Present")</f>
        <v>Present</v>
      </c>
      <c r="F49" s="6" t="str">
        <f>IF(COUNTIF('CLIENT SECTOR ALLOC'!M:M, $A49) &gt; 0, "Present", "Not Present")</f>
        <v>Present</v>
      </c>
      <c r="G49" s="6" t="str">
        <f>IF(COUNTIF('CLIENT SECTOR ALLOC'!Q:Q, $A49) &gt; 0, "Present", "Not Present")</f>
        <v>Present</v>
      </c>
      <c r="H49" s="6" t="str">
        <f>IF(COUNTIF('CLIENT SECTOR ALLOC'!U:U, $A49) &gt; 0, "Present", "Not Present")</f>
        <v>Present</v>
      </c>
      <c r="I49" s="6" t="str">
        <f>IF(COUNTIF('CLIENT SECTOR ALLOC'!Z:Z, $A49) &gt; 0, "Present", "Not Present")</f>
        <v>Present</v>
      </c>
      <c r="J49" s="6" t="str">
        <f>IF(COUNTIF('CLIENT SECTOR ALLOC'!AE:AE, $A49) &gt; 0, "Present", "Not Present")</f>
        <v>Not Present</v>
      </c>
      <c r="L49" s="3">
        <f ca="1">IFERROR(__xludf.DUMMYFUNCTION("googlefinance(A67,""price"")"),104.85)</f>
        <v>104.85</v>
      </c>
      <c r="M49" s="273">
        <v>103</v>
      </c>
      <c r="N49" s="7">
        <f ca="1">L49-M49*1.05</f>
        <v>-3.3000000000000114</v>
      </c>
      <c r="O49" s="7" t="str">
        <f>A49&amp;""&amp;","</f>
        <v>NSE:PFOCUS,</v>
      </c>
      <c r="Q49" s="3" t="str">
        <f>VLOOKUP(A49,'all stocks &gt; 500 cr'!$B:$H,6,0)</f>
        <v>Media</v>
      </c>
    </row>
    <row r="50" spans="1:17">
      <c r="A50" s="5" t="s">
        <v>45</v>
      </c>
      <c r="B50" s="3">
        <f>COUNTIF(C50:J50, "Present")</f>
        <v>2</v>
      </c>
      <c r="C50" s="6" t="str">
        <f>IF(COUNTIF('CLIENT SECTOR ALLOC'!A:A, A50) &gt; 0, "Present", "Not Present")</f>
        <v>Not Present</v>
      </c>
      <c r="D50" s="6" t="str">
        <f>IF(COUNTIF('CLIENT SECTOR ALLOC'!E:E, $A50) &gt; 0, "Present", "Not Present")</f>
        <v>Not Present</v>
      </c>
      <c r="E50" s="6" t="str">
        <f>IF(COUNTIF('CLIENT SECTOR ALLOC'!I:I, $A50) &gt; 0, "Present", "Not Present")</f>
        <v>Present</v>
      </c>
      <c r="F50" s="6" t="str">
        <f>IF(COUNTIF('CLIENT SECTOR ALLOC'!M:M, $A50) &gt; 0, "Present", "Not Present")</f>
        <v>Not Present</v>
      </c>
      <c r="G50" s="6" t="str">
        <f>IF(COUNTIF('CLIENT SECTOR ALLOC'!Q:Q, $A50) &gt; 0, "Present", "Not Present")</f>
        <v>Not Present</v>
      </c>
      <c r="H50" s="6" t="str">
        <f>IF(COUNTIF('CLIENT SECTOR ALLOC'!U:U, $A50) &gt; 0, "Present", "Not Present")</f>
        <v>Not Present</v>
      </c>
      <c r="I50" s="6" t="str">
        <f>IF(COUNTIF('CLIENT SECTOR ALLOC'!Z:Z, $A50) &gt; 0, "Present", "Not Present")</f>
        <v>Not Present</v>
      </c>
      <c r="J50" s="6" t="str">
        <f>IF(COUNTIF('CLIENT SECTOR ALLOC'!AE:AE, $A50) &gt; 0, "Present", "Not Present")</f>
        <v>Present</v>
      </c>
      <c r="L50" s="3">
        <f ca="1">IFERROR(__xludf.DUMMYFUNCTION("googlefinance(A27,""price"")"),175.6)</f>
        <v>175.6</v>
      </c>
      <c r="M50" s="272" t="s">
        <v>6171</v>
      </c>
      <c r="N50" s="7" t="e">
        <f ca="1">L50-M50*1.05</f>
        <v>#VALUE!</v>
      </c>
      <c r="O50" s="7" t="str">
        <f>A50&amp;""&amp;","</f>
        <v>NSE:PRSMJOHNSN,</v>
      </c>
      <c r="Q50" s="3" t="str">
        <f>VLOOKUP(A50,'all stocks &gt; 500 cr'!$B:$H,6,0)</f>
        <v>Cement and Construction</v>
      </c>
    </row>
    <row r="51" spans="1:17">
      <c r="A51" s="5" t="s">
        <v>72</v>
      </c>
      <c r="B51" s="3">
        <f>COUNTIF(C51:J51, "Present")</f>
        <v>2</v>
      </c>
      <c r="C51" s="6" t="str">
        <f>IF(COUNTIF('CLIENT SECTOR ALLOC'!A:A, A51) &gt; 0, "Present", "Not Present")</f>
        <v>Present</v>
      </c>
      <c r="D51" s="6" t="str">
        <f>IF(COUNTIF('CLIENT SECTOR ALLOC'!E:E, $A51) &gt; 0, "Present", "Not Present")</f>
        <v>Not Present</v>
      </c>
      <c r="E51" s="6" t="str">
        <f>IF(COUNTIF('CLIENT SECTOR ALLOC'!I:I, $A51) &gt; 0, "Present", "Not Present")</f>
        <v>Not Present</v>
      </c>
      <c r="F51" s="6" t="str">
        <f>IF(COUNTIF('CLIENT SECTOR ALLOC'!M:M, $A51) &gt; 0, "Present", "Not Present")</f>
        <v>Not Present</v>
      </c>
      <c r="G51" s="6" t="str">
        <f>IF(COUNTIF('CLIENT SECTOR ALLOC'!Q:Q, $A51) &gt; 0, "Present", "Not Present")</f>
        <v>Not Present</v>
      </c>
      <c r="H51" s="6" t="str">
        <f>IF(COUNTIF('CLIENT SECTOR ALLOC'!U:U, $A51) &gt; 0, "Present", "Not Present")</f>
        <v>Not Present</v>
      </c>
      <c r="I51" s="6" t="str">
        <f>IF(COUNTIF('CLIENT SECTOR ALLOC'!Z:Z, $A51) &gt; 0, "Present", "Not Present")</f>
        <v>Present</v>
      </c>
      <c r="J51" s="6" t="str">
        <f>IF(COUNTIF('CLIENT SECTOR ALLOC'!AE:AE, $A51) &gt; 0, "Present", "Not Present")</f>
        <v>Not Present</v>
      </c>
      <c r="L51" s="3">
        <f ca="1">IFERROR(__xludf.DUMMYFUNCTION("googlefinance(A28,""price"")"),141.95)</f>
        <v>141.94999999999999</v>
      </c>
      <c r="M51" s="273">
        <v>137</v>
      </c>
      <c r="N51" s="7">
        <f ca="1">L51-M51*1.05</f>
        <v>-1.9000000000000057</v>
      </c>
      <c r="O51" s="7" t="str">
        <f>A51&amp;""&amp;","</f>
        <v>NSE:RICOAUTO,</v>
      </c>
      <c r="Q51" s="3" t="str">
        <f>VLOOKUP(A51,'all stocks &gt; 500 cr'!$B:$H,6,0)</f>
        <v>Automobiles &amp; Auto Components</v>
      </c>
    </row>
    <row r="52" spans="1:17">
      <c r="A52" s="5" t="s">
        <v>80</v>
      </c>
      <c r="B52" s="3">
        <f>COUNTIF(C52:J52, "Present")</f>
        <v>1</v>
      </c>
      <c r="C52" s="6" t="str">
        <f>IF(COUNTIF('CLIENT SECTOR ALLOC'!A:A, A52) &gt; 0, "Present", "Not Present")</f>
        <v>Not Present</v>
      </c>
      <c r="D52" s="6" t="str">
        <f>IF(COUNTIF('CLIENT SECTOR ALLOC'!E:E, $A52) &gt; 0, "Present", "Not Present")</f>
        <v>Not Present</v>
      </c>
      <c r="E52" s="6" t="str">
        <f>IF(COUNTIF('CLIENT SECTOR ALLOC'!I:I, $A52) &gt; 0, "Present", "Not Present")</f>
        <v>Present</v>
      </c>
      <c r="F52" s="6" t="str">
        <f>IF(COUNTIF('CLIENT SECTOR ALLOC'!M:M, $A52) &gt; 0, "Present", "Not Present")</f>
        <v>Not Present</v>
      </c>
      <c r="G52" s="6" t="str">
        <f>IF(COUNTIF('CLIENT SECTOR ALLOC'!Q:Q, $A52) &gt; 0, "Present", "Not Present")</f>
        <v>Not Present</v>
      </c>
      <c r="H52" s="6" t="str">
        <f>IF(COUNTIF('CLIENT SECTOR ALLOC'!U:U, $A52) &gt; 0, "Present", "Not Present")</f>
        <v>Not Present</v>
      </c>
      <c r="I52" s="6" t="str">
        <f>IF(COUNTIF('CLIENT SECTOR ALLOC'!Z:Z, $A52) &gt; 0, "Present", "Not Present")</f>
        <v>Not Present</v>
      </c>
      <c r="J52" s="6" t="str">
        <f>IF(COUNTIF('CLIENT SECTOR ALLOC'!AE:AE, $A52) &gt; 0, "Present", "Not Present")</f>
        <v>Not Present</v>
      </c>
      <c r="L52" s="3">
        <f ca="1">IFERROR(__xludf.DUMMYFUNCTION("googlefinance(A15,""price"")"),155.35)</f>
        <v>155.35</v>
      </c>
      <c r="M52" s="273">
        <v>134</v>
      </c>
      <c r="N52" s="7">
        <f ca="1">L52-M52*1.05</f>
        <v>14.649999999999977</v>
      </c>
      <c r="O52" s="7" t="str">
        <f>A52&amp;""&amp;","</f>
        <v>NSE:SAIL,</v>
      </c>
      <c r="Q52" s="3" t="str">
        <f>VLOOKUP(A52,'all stocks &gt; 500 cr'!$B:$H,6,0)</f>
        <v>Metals &amp; Mining</v>
      </c>
    </row>
    <row r="53" spans="1:17">
      <c r="A53" s="5" t="s">
        <v>28</v>
      </c>
      <c r="B53" s="3">
        <f>COUNTIF(C53:J53, "Present")</f>
        <v>5</v>
      </c>
      <c r="C53" s="6" t="str">
        <f>IF(COUNTIF('CLIENT SECTOR ALLOC'!A:A, A53) &gt; 0, "Present", "Not Present")</f>
        <v>Present</v>
      </c>
      <c r="D53" s="6" t="str">
        <f>IF(COUNTIF('CLIENT SECTOR ALLOC'!E:E, $A53) &gt; 0, "Present", "Not Present")</f>
        <v>Present</v>
      </c>
      <c r="E53" s="6" t="str">
        <f>IF(COUNTIF('CLIENT SECTOR ALLOC'!I:I, $A53) &gt; 0, "Present", "Not Present")</f>
        <v>Not Present</v>
      </c>
      <c r="F53" s="6" t="str">
        <f>IF(COUNTIF('CLIENT SECTOR ALLOC'!M:M, $A53) &gt; 0, "Present", "Not Present")</f>
        <v>Present</v>
      </c>
      <c r="G53" s="6" t="str">
        <f>IF(COUNTIF('CLIENT SECTOR ALLOC'!Q:Q, $A53) &gt; 0, "Present", "Not Present")</f>
        <v>Not Present</v>
      </c>
      <c r="H53" s="6" t="str">
        <f>IF(COUNTIF('CLIENT SECTOR ALLOC'!U:U, $A53) &gt; 0, "Present", "Not Present")</f>
        <v>Not Present</v>
      </c>
      <c r="I53" s="6" t="str">
        <f>IF(COUNTIF('CLIENT SECTOR ALLOC'!Z:Z, $A53) &gt; 0, "Present", "Not Present")</f>
        <v>Present</v>
      </c>
      <c r="J53" s="6" t="str">
        <f>IF(COUNTIF('CLIENT SECTOR ALLOC'!AE:AE, $A53) &gt; 0, "Present", "Not Present")</f>
        <v>Present</v>
      </c>
      <c r="L53" s="3">
        <f ca="1">IFERROR(__xludf.DUMMYFUNCTION("googlefinance(A55,""price"")"),513.5)</f>
        <v>513.5</v>
      </c>
      <c r="M53" s="273">
        <v>500</v>
      </c>
      <c r="N53" s="7">
        <f ca="1">L53-M53*1.05</f>
        <v>-11.5</v>
      </c>
      <c r="O53" s="7" t="str">
        <f>A53&amp;""&amp;","</f>
        <v>NSE:SANDHAR,</v>
      </c>
      <c r="Q53" s="3" t="str">
        <f>VLOOKUP(A53,'all stocks &gt; 500 cr'!$B:$H,6,0)</f>
        <v>Automobiles &amp; Auto Components</v>
      </c>
    </row>
    <row r="54" spans="1:17">
      <c r="A54" s="5" t="s">
        <v>59</v>
      </c>
      <c r="B54" s="3">
        <f>COUNTIF(C54:J54, "Present")</f>
        <v>4</v>
      </c>
      <c r="C54" s="6" t="str">
        <f>IF(COUNTIF('CLIENT SECTOR ALLOC'!A:A, A54) &gt; 0, "Present", "Not Present")</f>
        <v>Present</v>
      </c>
      <c r="D54" s="6" t="str">
        <f>IF(COUNTIF('CLIENT SECTOR ALLOC'!E:E, $A54) &gt; 0, "Present", "Not Present")</f>
        <v>Not Present</v>
      </c>
      <c r="E54" s="6" t="str">
        <f>IF(COUNTIF('CLIENT SECTOR ALLOC'!I:I, $A54) &gt; 0, "Present", "Not Present")</f>
        <v>Present</v>
      </c>
      <c r="F54" s="6" t="str">
        <f>IF(COUNTIF('CLIENT SECTOR ALLOC'!M:M, $A54) &gt; 0, "Present", "Not Present")</f>
        <v>Not Present</v>
      </c>
      <c r="G54" s="6" t="str">
        <f>IF(COUNTIF('CLIENT SECTOR ALLOC'!Q:Q, $A54) &gt; 0, "Present", "Not Present")</f>
        <v>Present</v>
      </c>
      <c r="H54" s="6" t="str">
        <f>IF(COUNTIF('CLIENT SECTOR ALLOC'!U:U, $A54) &gt; 0, "Present", "Not Present")</f>
        <v>Present</v>
      </c>
      <c r="I54" s="6" t="str">
        <f>IF(COUNTIF('CLIENT SECTOR ALLOC'!Z:Z, $A54) &gt; 0, "Present", "Not Present")</f>
        <v>Not Present</v>
      </c>
      <c r="J54" s="6" t="str">
        <f>IF(COUNTIF('CLIENT SECTOR ALLOC'!AE:AE, $A54) &gt; 0, "Present", "Not Present")</f>
        <v>Not Present</v>
      </c>
      <c r="L54" s="3">
        <f ca="1">IFERROR(__xludf.DUMMYFUNCTION("googlefinance(A52,""price"")"),1636.55)</f>
        <v>1636.55</v>
      </c>
      <c r="M54" s="273">
        <v>1596</v>
      </c>
      <c r="N54" s="7">
        <f ca="1">L54-M54*1.05</f>
        <v>-39.250000000000227</v>
      </c>
      <c r="O54" s="7" t="str">
        <f>A54&amp;""&amp;","</f>
        <v>NSE:SASKEN,</v>
      </c>
      <c r="Q54" s="3" t="str">
        <f>VLOOKUP(A54,'all stocks &gt; 500 cr'!$B:$H,6,0)</f>
        <v>Software &amp; Services</v>
      </c>
    </row>
    <row r="55" spans="1:17">
      <c r="A55" s="5" t="s">
        <v>61</v>
      </c>
      <c r="B55" s="3">
        <f>COUNTIF(C55:J55, "Present")</f>
        <v>2</v>
      </c>
      <c r="C55" s="6" t="str">
        <f>IF(COUNTIF('CLIENT SECTOR ALLOC'!A:A, A55) &gt; 0, "Present", "Not Present")</f>
        <v>Not Present</v>
      </c>
      <c r="D55" s="6" t="str">
        <f>IF(COUNTIF('CLIENT SECTOR ALLOC'!E:E, $A55) &gt; 0, "Present", "Not Present")</f>
        <v>Not Present</v>
      </c>
      <c r="E55" s="6" t="str">
        <f>IF(COUNTIF('CLIENT SECTOR ALLOC'!I:I, $A55) &gt; 0, "Present", "Not Present")</f>
        <v>Present</v>
      </c>
      <c r="F55" s="6" t="str">
        <f>IF(COUNTIF('CLIENT SECTOR ALLOC'!M:M, $A55) &gt; 0, "Present", "Not Present")</f>
        <v>Not Present</v>
      </c>
      <c r="G55" s="6" t="str">
        <f>IF(COUNTIF('CLIENT SECTOR ALLOC'!Q:Q, $A55) &gt; 0, "Present", "Not Present")</f>
        <v>Not Present</v>
      </c>
      <c r="H55" s="6" t="str">
        <f>IF(COUNTIF('CLIENT SECTOR ALLOC'!U:U, $A55) &gt; 0, "Present", "Not Present")</f>
        <v>Present</v>
      </c>
      <c r="I55" s="6" t="str">
        <f>IF(COUNTIF('CLIENT SECTOR ALLOC'!Z:Z, $A55) &gt; 0, "Present", "Not Present")</f>
        <v>Not Present</v>
      </c>
      <c r="J55" s="6" t="str">
        <f>IF(COUNTIF('CLIENT SECTOR ALLOC'!AE:AE, $A55) &gt; 0, "Present", "Not Present")</f>
        <v>Not Present</v>
      </c>
      <c r="L55" s="3">
        <f ca="1">IFERROR(__xludf.DUMMYFUNCTION("googlefinance(A29,""price"")"),116.05)</f>
        <v>116.05</v>
      </c>
      <c r="M55" s="273">
        <v>111</v>
      </c>
      <c r="N55" s="7">
        <f ca="1">L55-M55*1.05</f>
        <v>-0.50000000000001421</v>
      </c>
      <c r="O55" s="7" t="str">
        <f>A55&amp;""&amp;","</f>
        <v>NSE:SHREDIGCEM,</v>
      </c>
      <c r="Q55" s="3" t="str">
        <f>VLOOKUP(A55,'all stocks &gt; 500 cr'!$B:$H,6,0)</f>
        <v>Cement and Construction</v>
      </c>
    </row>
    <row r="56" spans="1:17">
      <c r="A56" s="5" t="s">
        <v>81</v>
      </c>
      <c r="B56" s="3">
        <f>COUNTIF(C56:J56, "Present")</f>
        <v>2</v>
      </c>
      <c r="C56" s="6" t="str">
        <f>IF(COUNTIF('CLIENT SECTOR ALLOC'!A:A, A56) &gt; 0, "Present", "Not Present")</f>
        <v>Present</v>
      </c>
      <c r="D56" s="6" t="str">
        <f>IF(COUNTIF('CLIENT SECTOR ALLOC'!E:E, $A56) &gt; 0, "Present", "Not Present")</f>
        <v>Not Present</v>
      </c>
      <c r="E56" s="6" t="str">
        <f>IF(COUNTIF('CLIENT SECTOR ALLOC'!I:I, $A56) &gt; 0, "Present", "Not Present")</f>
        <v>Present</v>
      </c>
      <c r="F56" s="6" t="str">
        <f>IF(COUNTIF('CLIENT SECTOR ALLOC'!M:M, $A56) &gt; 0, "Present", "Not Present")</f>
        <v>Not Present</v>
      </c>
      <c r="G56" s="6" t="str">
        <f>IF(COUNTIF('CLIENT SECTOR ALLOC'!Q:Q, $A56) &gt; 0, "Present", "Not Present")</f>
        <v>Not Present</v>
      </c>
      <c r="H56" s="6" t="str">
        <f>IF(COUNTIF('CLIENT SECTOR ALLOC'!U:U, $A56) &gt; 0, "Present", "Not Present")</f>
        <v>Not Present</v>
      </c>
      <c r="I56" s="6" t="str">
        <f>IF(COUNTIF('CLIENT SECTOR ALLOC'!Z:Z, $A56) &gt; 0, "Present", "Not Present")</f>
        <v>Not Present</v>
      </c>
      <c r="J56" s="6" t="str">
        <f>IF(COUNTIF('CLIENT SECTOR ALLOC'!AE:AE, $A56) &gt; 0, "Present", "Not Present")</f>
        <v>Not Present</v>
      </c>
      <c r="L56" s="3">
        <f ca="1">IFERROR(__xludf.DUMMYFUNCTION("googlefinance(A30,""price"")"),2087)</f>
        <v>2087</v>
      </c>
      <c r="M56" s="272" t="s">
        <v>6172</v>
      </c>
      <c r="N56" s="7" t="e">
        <f ca="1">L56-M56*1.05</f>
        <v>#VALUE!</v>
      </c>
      <c r="O56" s="7" t="str">
        <f>A56&amp;""&amp;","</f>
        <v>NSE:SHRIPISTON,</v>
      </c>
      <c r="Q56" s="3" t="str">
        <f>VLOOKUP(A56,'all stocks &gt; 500 cr'!$B:$H,6,0)</f>
        <v>General Industrials</v>
      </c>
    </row>
    <row r="57" spans="1:17">
      <c r="A57" s="5" t="s">
        <v>76</v>
      </c>
      <c r="B57" s="3">
        <f>COUNTIF(C57:J57, "Present")</f>
        <v>2</v>
      </c>
      <c r="C57" s="6" t="str">
        <f>IF(COUNTIF('CLIENT SECTOR ALLOC'!A:A, A57) &gt; 0, "Present", "Not Present")</f>
        <v>Not Present</v>
      </c>
      <c r="D57" s="6" t="str">
        <f>IF(COUNTIF('CLIENT SECTOR ALLOC'!E:E, $A57) &gt; 0, "Present", "Not Present")</f>
        <v>Not Present</v>
      </c>
      <c r="E57" s="6" t="str">
        <f>IF(COUNTIF('CLIENT SECTOR ALLOC'!I:I, $A57) &gt; 0, "Present", "Not Present")</f>
        <v>Present</v>
      </c>
      <c r="F57" s="6" t="str">
        <f>IF(COUNTIF('CLIENT SECTOR ALLOC'!M:M, $A57) &gt; 0, "Present", "Not Present")</f>
        <v>Not Present</v>
      </c>
      <c r="G57" s="6" t="str">
        <f>IF(COUNTIF('CLIENT SECTOR ALLOC'!Q:Q, $A57) &gt; 0, "Present", "Not Present")</f>
        <v>Not Present</v>
      </c>
      <c r="H57" s="6" t="str">
        <f>IF(COUNTIF('CLIENT SECTOR ALLOC'!U:U, $A57) &gt; 0, "Present", "Not Present")</f>
        <v>Not Present</v>
      </c>
      <c r="I57" s="6" t="str">
        <f>IF(COUNTIF('CLIENT SECTOR ALLOC'!Z:Z, $A57) &gt; 0, "Present", "Not Present")</f>
        <v>Present</v>
      </c>
      <c r="J57" s="6" t="str">
        <f>IF(COUNTIF('CLIENT SECTOR ALLOC'!AE:AE, $A57) &gt; 0, "Present", "Not Present")</f>
        <v>Not Present</v>
      </c>
      <c r="L57" s="3">
        <f ca="1">IFERROR(__xludf.DUMMYFUNCTION("googlefinance(A16,""price"")"),2486)</f>
        <v>2486</v>
      </c>
      <c r="M57" s="3">
        <v>2455</v>
      </c>
      <c r="N57" s="7">
        <f ca="1">L57-M57*1.05</f>
        <v>-91.75</v>
      </c>
      <c r="O57" s="7" t="str">
        <f>A57&amp;""&amp;","</f>
        <v>NSE:SHRIRAMFIN,</v>
      </c>
      <c r="Q57" s="3" t="str">
        <f>VLOOKUP(A57,'all stocks &gt; 500 cr'!$B:$H,6,0)</f>
        <v>Banking and Finance</v>
      </c>
    </row>
    <row r="58" spans="1:17">
      <c r="A58" s="5" t="s">
        <v>49</v>
      </c>
      <c r="B58" s="3">
        <f>COUNTIF(C58:J58, "Present")</f>
        <v>6</v>
      </c>
      <c r="C58" s="6" t="str">
        <f>IF(COUNTIF('CLIENT SECTOR ALLOC'!A:A, A58) &gt; 0, "Present", "Not Present")</f>
        <v>Present</v>
      </c>
      <c r="D58" s="6" t="str">
        <f>IF(COUNTIF('CLIENT SECTOR ALLOC'!E:E, $A58) &gt; 0, "Present", "Not Present")</f>
        <v>Not Present</v>
      </c>
      <c r="E58" s="6" t="str">
        <f>IF(COUNTIF('CLIENT SECTOR ALLOC'!I:I, $A58) &gt; 0, "Present", "Not Present")</f>
        <v>Present</v>
      </c>
      <c r="F58" s="6" t="str">
        <f>IF(COUNTIF('CLIENT SECTOR ALLOC'!M:M, $A58) &gt; 0, "Present", "Not Present")</f>
        <v>Present</v>
      </c>
      <c r="G58" s="6" t="str">
        <f>IF(COUNTIF('CLIENT SECTOR ALLOC'!Q:Q, $A58) &gt; 0, "Present", "Not Present")</f>
        <v>Not Present</v>
      </c>
      <c r="H58" s="6" t="str">
        <f>IF(COUNTIF('CLIENT SECTOR ALLOC'!U:U, $A58) &gt; 0, "Present", "Not Present")</f>
        <v>Present</v>
      </c>
      <c r="I58" s="6" t="str">
        <f>IF(COUNTIF('CLIENT SECTOR ALLOC'!Z:Z, $A58) &gt; 0, "Present", "Not Present")</f>
        <v>Present</v>
      </c>
      <c r="J58" s="6" t="str">
        <f>IF(COUNTIF('CLIENT SECTOR ALLOC'!AE:AE, $A58) &gt; 0, "Present", "Not Present")</f>
        <v>Present</v>
      </c>
      <c r="L58" s="3">
        <f ca="1">IFERROR(__xludf.DUMMYFUNCTION("googlefinance(A61,""price"")"),2030)</f>
        <v>2030</v>
      </c>
      <c r="M58" s="273">
        <v>1908</v>
      </c>
      <c r="N58" s="7">
        <f ca="1">L58-M58*1.05</f>
        <v>26.599999999999909</v>
      </c>
      <c r="O58" s="7" t="str">
        <f>A58&amp;""&amp;","</f>
        <v>NSE:SMLISUZU,</v>
      </c>
      <c r="Q58" s="3" t="str">
        <f>VLOOKUP(A58,'all stocks &gt; 500 cr'!$B:$H,6,0)</f>
        <v>Automobiles &amp; Auto Components</v>
      </c>
    </row>
    <row r="59" spans="1:17">
      <c r="A59" s="5" t="s">
        <v>66</v>
      </c>
      <c r="B59" s="3">
        <f>COUNTIF(C59:J59, "Present")</f>
        <v>6</v>
      </c>
      <c r="C59" s="6" t="str">
        <f>IF(COUNTIF('CLIENT SECTOR ALLOC'!A:A, A59) &gt; 0, "Present", "Not Present")</f>
        <v>Present</v>
      </c>
      <c r="D59" s="6" t="str">
        <f>IF(COUNTIF('CLIENT SECTOR ALLOC'!E:E, $A59) &gt; 0, "Present", "Not Present")</f>
        <v>Not Present</v>
      </c>
      <c r="E59" s="6" t="str">
        <f>IF(COUNTIF('CLIENT SECTOR ALLOC'!I:I, $A59) &gt; 0, "Present", "Not Present")</f>
        <v>Present</v>
      </c>
      <c r="F59" s="6" t="str">
        <f>IF(COUNTIF('CLIENT SECTOR ALLOC'!M:M, $A59) &gt; 0, "Present", "Not Present")</f>
        <v>Present</v>
      </c>
      <c r="G59" s="6" t="str">
        <f>IF(COUNTIF('CLIENT SECTOR ALLOC'!Q:Q, $A59) &gt; 0, "Present", "Not Present")</f>
        <v>Present</v>
      </c>
      <c r="H59" s="6" t="str">
        <f>IF(COUNTIF('CLIENT SECTOR ALLOC'!U:U, $A59) &gt; 0, "Present", "Not Present")</f>
        <v>Present</v>
      </c>
      <c r="I59" s="6" t="str">
        <f>IF(COUNTIF('CLIENT SECTOR ALLOC'!Z:Z, $A59) &gt; 0, "Present", "Not Present")</f>
        <v>Present</v>
      </c>
      <c r="J59" s="6" t="str">
        <f>IF(COUNTIF('CLIENT SECTOR ALLOC'!AE:AE, $A59) &gt; 0, "Present", "Not Present")</f>
        <v>Not Present</v>
      </c>
      <c r="L59" s="3">
        <f ca="1">IFERROR(__xludf.DUMMYFUNCTION("googlefinance(A62,""price"")"),8540)</f>
        <v>8540</v>
      </c>
      <c r="M59" s="273">
        <v>8377</v>
      </c>
      <c r="N59" s="7">
        <f ca="1">L59-M59*1.05</f>
        <v>-255.85000000000036</v>
      </c>
      <c r="O59" s="7" t="str">
        <f>A59&amp;""&amp;","</f>
        <v>NSE:SOLARINDS,</v>
      </c>
      <c r="Q59" s="3" t="str">
        <f>VLOOKUP(A59,'all stocks &gt; 500 cr'!$B:$H,6,0)</f>
        <v>General Industrials</v>
      </c>
    </row>
    <row r="60" spans="1:17">
      <c r="A60" s="5" t="s">
        <v>68</v>
      </c>
      <c r="B60" s="3">
        <f>COUNTIF(C60:J60, "Present")</f>
        <v>3</v>
      </c>
      <c r="C60" s="6" t="str">
        <f>IF(COUNTIF('CLIENT SECTOR ALLOC'!A:A, A60) &gt; 0, "Present", "Not Present")</f>
        <v>Present</v>
      </c>
      <c r="D60" s="6" t="str">
        <f>IF(COUNTIF('CLIENT SECTOR ALLOC'!E:E, $A60) &gt; 0, "Present", "Not Present")</f>
        <v>Not Present</v>
      </c>
      <c r="E60" s="6" t="str">
        <f>IF(COUNTIF('CLIENT SECTOR ALLOC'!I:I, $A60) &gt; 0, "Present", "Not Present")</f>
        <v>Not Present</v>
      </c>
      <c r="F60" s="6" t="str">
        <f>IF(COUNTIF('CLIENT SECTOR ALLOC'!M:M, $A60) &gt; 0, "Present", "Not Present")</f>
        <v>Not Present</v>
      </c>
      <c r="G60" s="6" t="str">
        <f>IF(COUNTIF('CLIENT SECTOR ALLOC'!Q:Q, $A60) &gt; 0, "Present", "Not Present")</f>
        <v>Present</v>
      </c>
      <c r="H60" s="6" t="str">
        <f>IF(COUNTIF('CLIENT SECTOR ALLOC'!U:U, $A60) &gt; 0, "Present", "Not Present")</f>
        <v>Present</v>
      </c>
      <c r="I60" s="6" t="str">
        <f>IF(COUNTIF('CLIENT SECTOR ALLOC'!Z:Z, $A60) &gt; 0, "Present", "Not Present")</f>
        <v>Not Present</v>
      </c>
      <c r="J60" s="6" t="str">
        <f>IF(COUNTIF('CLIENT SECTOR ALLOC'!AE:AE, $A60) &gt; 0, "Present", "Not Present")</f>
        <v>Not Present</v>
      </c>
      <c r="L60" s="3">
        <f ca="1">IFERROR(__xludf.DUMMYFUNCTION("googlefinance(A45,""price"")"),30.2)</f>
        <v>30.2</v>
      </c>
      <c r="M60" s="272" t="s">
        <v>6173</v>
      </c>
      <c r="N60" s="7" t="e">
        <f ca="1">L60-M60*1.05</f>
        <v>#VALUE!</v>
      </c>
      <c r="O60" s="7" t="str">
        <f>A60&amp;""&amp;","</f>
        <v>NSE:SPCENET,</v>
      </c>
      <c r="Q60" s="3" t="str">
        <f>VLOOKUP(A60,'all stocks &gt; 500 cr'!$B:$H,6,0)</f>
        <v>Software &amp; Services</v>
      </c>
    </row>
    <row r="61" spans="1:17">
      <c r="A61" s="5" t="s">
        <v>52</v>
      </c>
      <c r="B61" s="3">
        <f>COUNTIF(C61:J61, "Present")</f>
        <v>4</v>
      </c>
      <c r="C61" s="6" t="str">
        <f>IF(COUNTIF('CLIENT SECTOR ALLOC'!A:A, A61) &gt; 0, "Present", "Not Present")</f>
        <v>Present</v>
      </c>
      <c r="D61" s="6" t="str">
        <f>IF(COUNTIF('CLIENT SECTOR ALLOC'!E:E, $A61) &gt; 0, "Present", "Not Present")</f>
        <v>Not Present</v>
      </c>
      <c r="E61" s="6" t="str">
        <f>IF(COUNTIF('CLIENT SECTOR ALLOC'!I:I, $A61) &gt; 0, "Present", "Not Present")</f>
        <v>Not Present</v>
      </c>
      <c r="F61" s="6" t="str">
        <f>IF(COUNTIF('CLIENT SECTOR ALLOC'!M:M, $A61) &gt; 0, "Present", "Not Present")</f>
        <v>Present</v>
      </c>
      <c r="G61" s="6" t="str">
        <f>IF(COUNTIF('CLIENT SECTOR ALLOC'!Q:Q, $A61) &gt; 0, "Present", "Not Present")</f>
        <v>Not Present</v>
      </c>
      <c r="H61" s="6" t="str">
        <f>IF(COUNTIF('CLIENT SECTOR ALLOC'!U:U, $A61) &gt; 0, "Present", "Not Present")</f>
        <v>Present</v>
      </c>
      <c r="I61" s="6" t="str">
        <f>IF(COUNTIF('CLIENT SECTOR ALLOC'!Z:Z, $A61) &gt; 0, "Present", "Not Present")</f>
        <v>Not Present</v>
      </c>
      <c r="J61" s="6" t="str">
        <f>IF(COUNTIF('CLIENT SECTOR ALLOC'!AE:AE, $A61) &gt; 0, "Present", "Not Present")</f>
        <v>Present</v>
      </c>
      <c r="L61" s="3">
        <f ca="1">IFERROR(__xludf.DUMMYFUNCTION("googlefinance(A53,""price"")"),658)</f>
        <v>658</v>
      </c>
      <c r="M61" s="273">
        <v>632</v>
      </c>
      <c r="N61" s="7">
        <f ca="1">L61-M61*1.05</f>
        <v>-5.6000000000000227</v>
      </c>
      <c r="O61" s="7" t="str">
        <f>A61&amp;""&amp;","</f>
        <v>NSE:SPLPETRO,</v>
      </c>
      <c r="Q61" s="3" t="str">
        <f>VLOOKUP(A61,'all stocks &gt; 500 cr'!$B:$H,6,0)</f>
        <v>Chemicals &amp; Petrochemicals</v>
      </c>
    </row>
    <row r="62" spans="1:17">
      <c r="A62" s="5" t="s">
        <v>71</v>
      </c>
      <c r="B62" s="3">
        <f>COUNTIF(C62:J62, "Present")</f>
        <v>2</v>
      </c>
      <c r="C62" s="6" t="str">
        <f>IF(COUNTIF('CLIENT SECTOR ALLOC'!A:A, A62) &gt; 0, "Present", "Not Present")</f>
        <v>Not Present</v>
      </c>
      <c r="D62" s="6" t="str">
        <f>IF(COUNTIF('CLIENT SECTOR ALLOC'!E:E, $A62) &gt; 0, "Present", "Not Present")</f>
        <v>Not Present</v>
      </c>
      <c r="E62" s="6" t="str">
        <f>IF(COUNTIF('CLIENT SECTOR ALLOC'!I:I, $A62) &gt; 0, "Present", "Not Present")</f>
        <v>Not Present</v>
      </c>
      <c r="F62" s="6" t="str">
        <f>IF(COUNTIF('CLIENT SECTOR ALLOC'!M:M, $A62) &gt; 0, "Present", "Not Present")</f>
        <v>Not Present</v>
      </c>
      <c r="G62" s="6" t="str">
        <f>IF(COUNTIF('CLIENT SECTOR ALLOC'!Q:Q, $A62) &gt; 0, "Present", "Not Present")</f>
        <v>Present</v>
      </c>
      <c r="H62" s="6" t="str">
        <f>IF(COUNTIF('CLIENT SECTOR ALLOC'!U:U, $A62) &gt; 0, "Present", "Not Present")</f>
        <v>Present</v>
      </c>
      <c r="I62" s="6" t="str">
        <f>IF(COUNTIF('CLIENT SECTOR ALLOC'!Z:Z, $A62) &gt; 0, "Present", "Not Present")</f>
        <v>Not Present</v>
      </c>
      <c r="J62" s="6" t="str">
        <f>IF(COUNTIF('CLIENT SECTOR ALLOC'!AE:AE, $A62) &gt; 0, "Present", "Not Present")</f>
        <v>Not Present</v>
      </c>
      <c r="L62" s="3">
        <f ca="1">IFERROR(__xludf.DUMMYFUNCTION("googlefinance(A31,""price"")"),228.25)</f>
        <v>228.25</v>
      </c>
      <c r="M62" s="273">
        <v>215</v>
      </c>
      <c r="N62" s="7">
        <f ca="1">L62-M62*1.05</f>
        <v>2.5</v>
      </c>
      <c r="O62" s="7" t="str">
        <f>A62&amp;""&amp;","</f>
        <v>NSE:STARCEMENT,</v>
      </c>
      <c r="Q62" s="3" t="str">
        <f>VLOOKUP(A62,'all stocks &gt; 500 cr'!$B:$H,6,0)</f>
        <v>Cement and Construction</v>
      </c>
    </row>
    <row r="63" spans="1:17">
      <c r="A63" s="5" t="s">
        <v>54</v>
      </c>
      <c r="B63" s="3">
        <f>COUNTIF(C63:J63, "Present")</f>
        <v>5</v>
      </c>
      <c r="C63" s="6" t="str">
        <f>IF(COUNTIF('CLIENT SECTOR ALLOC'!A:A, A63) &gt; 0, "Present", "Not Present")</f>
        <v>Present</v>
      </c>
      <c r="D63" s="6" t="str">
        <f>IF(COUNTIF('CLIENT SECTOR ALLOC'!E:E, $A63) &gt; 0, "Present", "Not Present")</f>
        <v>Not Present</v>
      </c>
      <c r="E63" s="6" t="str">
        <f>IF(COUNTIF('CLIENT SECTOR ALLOC'!I:I, $A63) &gt; 0, "Present", "Not Present")</f>
        <v>Not Present</v>
      </c>
      <c r="F63" s="6" t="str">
        <f>IF(COUNTIF('CLIENT SECTOR ALLOC'!M:M, $A63) &gt; 0, "Present", "Not Present")</f>
        <v>Present</v>
      </c>
      <c r="G63" s="6" t="str">
        <f>IF(COUNTIF('CLIENT SECTOR ALLOC'!Q:Q, $A63) &gt; 0, "Present", "Not Present")</f>
        <v>Present</v>
      </c>
      <c r="H63" s="6" t="str">
        <f>IF(COUNTIF('CLIENT SECTOR ALLOC'!U:U, $A63) &gt; 0, "Present", "Not Present")</f>
        <v>Present</v>
      </c>
      <c r="I63" s="6" t="str">
        <f>IF(COUNTIF('CLIENT SECTOR ALLOC'!Z:Z, $A63) &gt; 0, "Present", "Not Present")</f>
        <v>Not Present</v>
      </c>
      <c r="J63" s="6" t="str">
        <f>IF(COUNTIF('CLIENT SECTOR ALLOC'!AE:AE, $A63) &gt; 0, "Present", "Not Present")</f>
        <v>Present</v>
      </c>
      <c r="L63" s="3">
        <f ca="1">IFERROR(__xludf.DUMMYFUNCTION("googlefinance(A56,""price"")"),2410)</f>
        <v>2410</v>
      </c>
      <c r="M63" s="273">
        <v>2379</v>
      </c>
      <c r="N63" s="7">
        <f ca="1">L63-M63*1.05</f>
        <v>-87.950000000000273</v>
      </c>
      <c r="O63" s="7" t="str">
        <f>A63&amp;""&amp;","</f>
        <v>NSE:SWARAJENG,</v>
      </c>
      <c r="Q63" s="3" t="str">
        <f>VLOOKUP(A63,'all stocks &gt; 500 cr'!$B:$H,6,0)</f>
        <v>Automobiles &amp; Auto Components</v>
      </c>
    </row>
    <row r="64" spans="1:17">
      <c r="A64" s="5" t="s">
        <v>73</v>
      </c>
      <c r="B64" s="3">
        <f>COUNTIF(C64:J64, "Present")</f>
        <v>5</v>
      </c>
      <c r="C64" s="6" t="str">
        <f>IF(COUNTIF('CLIENT SECTOR ALLOC'!A:A, A64) &gt; 0, "Present", "Not Present")</f>
        <v>Present</v>
      </c>
      <c r="D64" s="6" t="str">
        <f>IF(COUNTIF('CLIENT SECTOR ALLOC'!E:E, $A64) &gt; 0, "Present", "Not Present")</f>
        <v>Not Present</v>
      </c>
      <c r="E64" s="6" t="str">
        <f>IF(COUNTIF('CLIENT SECTOR ALLOC'!I:I, $A64) &gt; 0, "Present", "Not Present")</f>
        <v>Not Present</v>
      </c>
      <c r="F64" s="6" t="str">
        <f>IF(COUNTIF('CLIENT SECTOR ALLOC'!M:M, $A64) &gt; 0, "Present", "Not Present")</f>
        <v>Present</v>
      </c>
      <c r="G64" s="6" t="str">
        <f>IF(COUNTIF('CLIENT SECTOR ALLOC'!Q:Q, $A64) &gt; 0, "Present", "Not Present")</f>
        <v>Present</v>
      </c>
      <c r="H64" s="6" t="str">
        <f>IF(COUNTIF('CLIENT SECTOR ALLOC'!U:U, $A64) &gt; 0, "Present", "Not Present")</f>
        <v>Present</v>
      </c>
      <c r="I64" s="6" t="str">
        <f>IF(COUNTIF('CLIENT SECTOR ALLOC'!Z:Z, $A64) &gt; 0, "Present", "Not Present")</f>
        <v>Present</v>
      </c>
      <c r="J64" s="6" t="str">
        <f>IF(COUNTIF('CLIENT SECTOR ALLOC'!AE:AE, $A64) &gt; 0, "Present", "Not Present")</f>
        <v>Not Present</v>
      </c>
      <c r="L64" s="3">
        <f ca="1">IFERROR(__xludf.DUMMYFUNCTION("googlefinance(A57,""price"")"),4003.8)</f>
        <v>4003.8</v>
      </c>
      <c r="M64" s="273">
        <v>3876</v>
      </c>
      <c r="N64" s="7">
        <f ca="1">L64-M64*1.05</f>
        <v>-66</v>
      </c>
      <c r="O64" s="7" t="str">
        <f>A64&amp;""&amp;","</f>
        <v>NSE:TCS,</v>
      </c>
      <c r="Q64" s="3" t="str">
        <f>VLOOKUP(A64,'all stocks &gt; 500 cr'!$B:$H,6,0)</f>
        <v>Software &amp; Services</v>
      </c>
    </row>
    <row r="65" spans="1:17">
      <c r="A65" s="5" t="s">
        <v>77</v>
      </c>
      <c r="B65" s="3">
        <f>COUNTIF(C65:J65, "Present")</f>
        <v>3</v>
      </c>
      <c r="C65" s="6" t="str">
        <f>IF(COUNTIF('CLIENT SECTOR ALLOC'!A:A, A65) &gt; 0, "Present", "Not Present")</f>
        <v>Present</v>
      </c>
      <c r="D65" s="6" t="str">
        <f>IF(COUNTIF('CLIENT SECTOR ALLOC'!E:E, $A65) &gt; 0, "Present", "Not Present")</f>
        <v>Not Present</v>
      </c>
      <c r="E65" s="6" t="str">
        <f>IF(COUNTIF('CLIENT SECTOR ALLOC'!I:I, $A65) &gt; 0, "Present", "Not Present")</f>
        <v>Not Present</v>
      </c>
      <c r="F65" s="6" t="str">
        <f>IF(COUNTIF('CLIENT SECTOR ALLOC'!M:M, $A65) &gt; 0, "Present", "Not Present")</f>
        <v>Not Present</v>
      </c>
      <c r="G65" s="6" t="str">
        <f>IF(COUNTIF('CLIENT SECTOR ALLOC'!Q:Q, $A65) &gt; 0, "Present", "Not Present")</f>
        <v>Present</v>
      </c>
      <c r="H65" s="6" t="str">
        <f>IF(COUNTIF('CLIENT SECTOR ALLOC'!U:U, $A65) &gt; 0, "Present", "Not Present")</f>
        <v>Present</v>
      </c>
      <c r="I65" s="6" t="str">
        <f>IF(COUNTIF('CLIENT SECTOR ALLOC'!Z:Z, $A65) &gt; 0, "Present", "Not Present")</f>
        <v>Not Present</v>
      </c>
      <c r="J65" s="6" t="str">
        <f>IF(COUNTIF('CLIENT SECTOR ALLOC'!AE:AE, $A65) &gt; 0, "Present", "Not Present")</f>
        <v>Not Present</v>
      </c>
      <c r="L65" s="3">
        <f ca="1">IFERROR(__xludf.DUMMYFUNCTION("googlefinance(A46,""price"")"),170.2)</f>
        <v>170.2</v>
      </c>
      <c r="M65" s="273">
        <v>166</v>
      </c>
      <c r="N65" s="7">
        <f ca="1">L65-M65*1.05</f>
        <v>-4.1000000000000227</v>
      </c>
      <c r="O65" s="7" t="str">
        <f>A65&amp;""&amp;","</f>
        <v>NSE:TEXRAIL,</v>
      </c>
      <c r="Q65" s="3" t="str">
        <f>VLOOKUP(A65,'all stocks &gt; 500 cr'!$B:$H,6,0)</f>
        <v>Cement and Construction</v>
      </c>
    </row>
    <row r="66" spans="1:17">
      <c r="A66" s="5" t="s">
        <v>79</v>
      </c>
      <c r="B66" s="3">
        <f>COUNTIF(C66:J66, "Present")</f>
        <v>3</v>
      </c>
      <c r="C66" s="6" t="str">
        <f>IF(COUNTIF('CLIENT SECTOR ALLOC'!A:A, A66) &gt; 0, "Present", "Not Present")</f>
        <v>Present</v>
      </c>
      <c r="D66" s="6" t="str">
        <f>IF(COUNTIF('CLIENT SECTOR ALLOC'!E:E, $A66) &gt; 0, "Present", "Not Present")</f>
        <v>Not Present</v>
      </c>
      <c r="E66" s="6" t="str">
        <f>IF(COUNTIF('CLIENT SECTOR ALLOC'!I:I, $A66) &gt; 0, "Present", "Not Present")</f>
        <v>Present</v>
      </c>
      <c r="F66" s="6" t="str">
        <f>IF(COUNTIF('CLIENT SECTOR ALLOC'!M:M, $A66) &gt; 0, "Present", "Not Present")</f>
        <v>Not Present</v>
      </c>
      <c r="G66" s="6" t="str">
        <f>IF(COUNTIF('CLIENT SECTOR ALLOC'!Q:Q, $A66) &gt; 0, "Present", "Not Present")</f>
        <v>Present</v>
      </c>
      <c r="H66" s="6" t="str">
        <f>IF(COUNTIF('CLIENT SECTOR ALLOC'!U:U, $A66) &gt; 0, "Present", "Not Present")</f>
        <v>Not Present</v>
      </c>
      <c r="I66" s="6" t="str">
        <f>IF(COUNTIF('CLIENT SECTOR ALLOC'!Z:Z, $A66) &gt; 0, "Present", "Not Present")</f>
        <v>Not Present</v>
      </c>
      <c r="J66" s="6" t="str">
        <f>IF(COUNTIF('CLIENT SECTOR ALLOC'!AE:AE, $A66) &gt; 0, "Present", "Not Present")</f>
        <v>Not Present</v>
      </c>
      <c r="L66" s="3">
        <f ca="1">IFERROR(__xludf.DUMMYFUNCTION("googlefinance(A47,""price"")"),465)</f>
        <v>465</v>
      </c>
      <c r="M66" s="273">
        <v>450</v>
      </c>
      <c r="N66" s="7">
        <f ca="1">L66-M66*1.05</f>
        <v>-7.5</v>
      </c>
      <c r="O66" s="7" t="str">
        <f>A66&amp;""&amp;","</f>
        <v>NSE:TIPSINDLTD,</v>
      </c>
      <c r="Q66" s="3" t="str">
        <f>VLOOKUP(A66,'all stocks &gt; 500 cr'!$B:$H,6,0)</f>
        <v>Media</v>
      </c>
    </row>
    <row r="67" spans="1:17">
      <c r="A67" s="5" t="s">
        <v>58</v>
      </c>
      <c r="B67" s="3">
        <f>COUNTIF(C67:J67, "Present")</f>
        <v>6</v>
      </c>
      <c r="C67" s="6" t="str">
        <f>IF(COUNTIF('CLIENT SECTOR ALLOC'!A:A, A67) &gt; 0, "Present", "Not Present")</f>
        <v>Present</v>
      </c>
      <c r="D67" s="6" t="str">
        <f>IF(COUNTIF('CLIENT SECTOR ALLOC'!E:E, $A67) &gt; 0, "Present", "Not Present")</f>
        <v>Not Present</v>
      </c>
      <c r="E67" s="6" t="str">
        <f>IF(COUNTIF('CLIENT SECTOR ALLOC'!I:I, $A67) &gt; 0, "Present", "Not Present")</f>
        <v>Present</v>
      </c>
      <c r="F67" s="6" t="str">
        <f>IF(COUNTIF('CLIENT SECTOR ALLOC'!M:M, $A67) &gt; 0, "Present", "Not Present")</f>
        <v>Present</v>
      </c>
      <c r="G67" s="6" t="str">
        <f>IF(COUNTIF('CLIENT SECTOR ALLOC'!Q:Q, $A67) &gt; 0, "Present", "Not Present")</f>
        <v>Present</v>
      </c>
      <c r="H67" s="6" t="str">
        <f>IF(COUNTIF('CLIENT SECTOR ALLOC'!U:U, $A67) &gt; 0, "Present", "Not Present")</f>
        <v>Present</v>
      </c>
      <c r="I67" s="6" t="str">
        <f>IF(COUNTIF('CLIENT SECTOR ALLOC'!Z:Z, $A67) &gt; 0, "Present", "Not Present")</f>
        <v>Not Present</v>
      </c>
      <c r="J67" s="6" t="str">
        <f>IF(COUNTIF('CLIENT SECTOR ALLOC'!AE:AE, $A67) &gt; 0, "Present", "Not Present")</f>
        <v>Present</v>
      </c>
      <c r="L67" s="3">
        <f ca="1">IFERROR(__xludf.DUMMYFUNCTION("googlefinance(A63,""price"")"),612.55)</f>
        <v>612.54999999999995</v>
      </c>
      <c r="M67" s="273">
        <v>600</v>
      </c>
      <c r="N67" s="7">
        <f ca="1">L67-M67*1.05</f>
        <v>-17.450000000000045</v>
      </c>
      <c r="O67" s="7" t="str">
        <f>A67&amp;""&amp;","</f>
        <v>NSE:ZENSARTECH,</v>
      </c>
      <c r="Q67" s="3" t="str">
        <f>VLOOKUP(A67,'all stocks &gt; 500 cr'!$B:$H,6,0)</f>
        <v>Software &amp; Services</v>
      </c>
    </row>
    <row r="68" spans="1:17" ht="13">
      <c r="A68" s="5"/>
    </row>
    <row r="69" spans="1:17" ht="13">
      <c r="A69" s="5"/>
    </row>
    <row r="70" spans="1:17" ht="13">
      <c r="A70" s="5"/>
    </row>
    <row r="71" spans="1:17" ht="13">
      <c r="A71" s="5"/>
    </row>
    <row r="72" spans="1:17" ht="13">
      <c r="A72" s="5"/>
    </row>
    <row r="73" spans="1:17" ht="13">
      <c r="A73" s="5"/>
    </row>
    <row r="74" spans="1:17" ht="13">
      <c r="A74" s="5"/>
    </row>
    <row r="75" spans="1:17" ht="13">
      <c r="A75" s="5"/>
    </row>
    <row r="76" spans="1:17" ht="13">
      <c r="A76" s="5"/>
    </row>
    <row r="77" spans="1:17" ht="13">
      <c r="A77" s="5"/>
    </row>
    <row r="78" spans="1:17" ht="13">
      <c r="A78" s="5"/>
    </row>
    <row r="79" spans="1:17" ht="13">
      <c r="A79" s="5"/>
    </row>
    <row r="80" spans="1:17" ht="13">
      <c r="A80" s="5"/>
    </row>
    <row r="81" spans="1:1" ht="13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</sheetData>
  <sortState xmlns:xlrd2="http://schemas.microsoft.com/office/spreadsheetml/2017/richdata2" ref="A2:O933">
    <sortCondition ref="A1:A933"/>
  </sortState>
  <conditionalFormatting sqref="C1:H933 I2:J67">
    <cfRule type="containsText" dxfId="147" priority="1" operator="containsText" text="Not">
      <formula>NOT(ISERROR(SEARCH(("Not"),(C1))))</formula>
    </cfRule>
    <cfRule type="cellIs" dxfId="146" priority="2" operator="equal">
      <formula>"Present"</formula>
    </cfRule>
  </conditionalFormatting>
  <conditionalFormatting sqref="N1:N933">
    <cfRule type="cellIs" dxfId="145" priority="3" operator="lessThan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N9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cols>
    <col min="1" max="4" width="12.6640625" customWidth="1"/>
  </cols>
  <sheetData>
    <row r="1" spans="1:40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9" t="s">
        <v>89</v>
      </c>
      <c r="F1" s="10" t="s">
        <v>95</v>
      </c>
      <c r="G1" s="11" t="s">
        <v>96</v>
      </c>
      <c r="H1" s="11" t="s">
        <v>97</v>
      </c>
      <c r="I1" s="9" t="s">
        <v>98</v>
      </c>
      <c r="J1" s="12" t="s">
        <v>99</v>
      </c>
      <c r="K1" s="10" t="s">
        <v>100</v>
      </c>
      <c r="L1" s="9" t="s">
        <v>101</v>
      </c>
      <c r="M1" s="13" t="s">
        <v>102</v>
      </c>
      <c r="N1" s="9" t="s">
        <v>103</v>
      </c>
      <c r="O1" s="3" t="s">
        <v>104</v>
      </c>
      <c r="P1" s="14">
        <f ca="1">P4/P2</f>
        <v>0.33333333333333331</v>
      </c>
      <c r="Q1" s="15"/>
      <c r="R1" s="3"/>
      <c r="S1" s="15"/>
      <c r="T1" s="3"/>
      <c r="U1" s="9"/>
      <c r="V1" s="16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15.75" customHeight="1">
      <c r="B2" s="17" t="s">
        <v>105</v>
      </c>
      <c r="C2" s="18">
        <v>45166</v>
      </c>
      <c r="D2" s="19">
        <f ca="1">TODAY()</f>
        <v>45396</v>
      </c>
      <c r="E2" s="20"/>
      <c r="F2" s="21" t="s">
        <v>106</v>
      </c>
      <c r="G2" s="21" t="e">
        <f ca="1">_xludf.DAYS(D2,C2)</f>
        <v>#NAME?</v>
      </c>
      <c r="H2" s="22"/>
      <c r="I2" s="23">
        <f ca="1">SUM(F2:F857)</f>
        <v>-42330.500000000015</v>
      </c>
      <c r="J2" s="12"/>
      <c r="K2" s="24"/>
      <c r="L2" s="25">
        <f>SUM(K2:K81)</f>
        <v>981090.5</v>
      </c>
      <c r="M2" s="26">
        <f ca="1">N2/L2</f>
        <v>1.0020808783695285</v>
      </c>
      <c r="N2" s="25">
        <f ca="1">I2+T5</f>
        <v>983132.02999999991</v>
      </c>
      <c r="O2" s="27" t="s">
        <v>107</v>
      </c>
      <c r="P2" s="28">
        <f ca="1">P3+P4</f>
        <v>6</v>
      </c>
      <c r="Q2" s="15"/>
      <c r="S2" s="15"/>
      <c r="V2" s="16"/>
    </row>
    <row r="3" spans="1:40" ht="15.75" customHeight="1">
      <c r="L3" s="29" t="s">
        <v>108</v>
      </c>
      <c r="O3" s="28" t="s">
        <v>109</v>
      </c>
      <c r="P3" s="28">
        <f ca="1">COUNTIF(F:F, "&lt;0")</f>
        <v>4</v>
      </c>
      <c r="Q3" s="15"/>
      <c r="S3" s="15"/>
      <c r="V3" s="16"/>
    </row>
    <row r="4" spans="1:40" ht="15.75" customHeight="1">
      <c r="M4" s="30">
        <f ca="1">I2/L2</f>
        <v>-4.3146376404623238E-2</v>
      </c>
      <c r="O4" s="28" t="s">
        <v>110</v>
      </c>
      <c r="P4" s="28">
        <f ca="1">COUNTIF(F:F, "&gt;0")</f>
        <v>2</v>
      </c>
      <c r="S4" s="15"/>
      <c r="V4" s="16"/>
    </row>
    <row r="5" spans="1:40" ht="15.75" customHeight="1">
      <c r="A5" s="31" t="s">
        <v>18</v>
      </c>
      <c r="B5" s="32">
        <v>45260</v>
      </c>
      <c r="C5" s="3">
        <v>100</v>
      </c>
      <c r="D5" s="3">
        <v>1300</v>
      </c>
      <c r="E5" s="8">
        <f ca="1">IFERROR(__xludf.DUMMYFUNCTION("GOOGLEFINANCE(A5,""price"")"),92.5)</f>
        <v>92.5</v>
      </c>
      <c r="F5" s="10">
        <f t="shared" ref="F5:F10" ca="1" si="0">(E5-C5)*D5</f>
        <v>-9750</v>
      </c>
      <c r="G5" s="22"/>
      <c r="H5" s="22"/>
      <c r="J5" s="12">
        <f t="shared" ref="J5:J10" ca="1" si="1">(E5-C5)*100/C5</f>
        <v>-7.5</v>
      </c>
      <c r="K5" s="24">
        <f t="shared" ref="K5:K10" si="2">C5*D5</f>
        <v>130000</v>
      </c>
      <c r="S5" s="33" t="s">
        <v>111</v>
      </c>
      <c r="T5" s="34">
        <f>SUM(T9:T247)</f>
        <v>1025462.5299999999</v>
      </c>
      <c r="V5" s="34">
        <f>SUM(V9:V247)</f>
        <v>11730114.620000001</v>
      </c>
    </row>
    <row r="6" spans="1:40" ht="15.75" customHeight="1">
      <c r="A6" s="17" t="s">
        <v>11</v>
      </c>
      <c r="B6" s="32">
        <v>45289</v>
      </c>
      <c r="C6" s="3">
        <v>112.95</v>
      </c>
      <c r="D6" s="3">
        <v>1250</v>
      </c>
      <c r="E6" s="8">
        <f ca="1">IFERROR(__xludf.DUMMYFUNCTION("GOOGLEFINANCE(A6,""price"")"),143.1)</f>
        <v>143.1</v>
      </c>
      <c r="F6" s="10">
        <f t="shared" ca="1" si="0"/>
        <v>37687.499999999993</v>
      </c>
      <c r="G6" s="22"/>
      <c r="H6" s="22"/>
      <c r="J6" s="12">
        <f t="shared" ca="1" si="1"/>
        <v>26.693227091633457</v>
      </c>
      <c r="K6" s="24">
        <f t="shared" si="2"/>
        <v>141187.5</v>
      </c>
      <c r="S6" s="15"/>
      <c r="V6" s="16"/>
    </row>
    <row r="7" spans="1:40" ht="15.75" customHeight="1">
      <c r="A7" s="17" t="s">
        <v>13</v>
      </c>
      <c r="B7" s="35">
        <v>45294</v>
      </c>
      <c r="C7" s="3">
        <v>73.599999999999994</v>
      </c>
      <c r="D7" s="3">
        <v>2000</v>
      </c>
      <c r="E7" s="8">
        <f ca="1">IFERROR(__xludf.DUMMYFUNCTION("GOOGLEFINANCE(A7,""price"")"),67.95)</f>
        <v>67.95</v>
      </c>
      <c r="F7" s="10">
        <f t="shared" ca="1" si="0"/>
        <v>-11299.999999999984</v>
      </c>
      <c r="G7" s="22"/>
      <c r="H7" s="22"/>
      <c r="J7" s="12">
        <f t="shared" ca="1" si="1"/>
        <v>-7.6766304347825969</v>
      </c>
      <c r="K7" s="24">
        <f t="shared" si="2"/>
        <v>147200</v>
      </c>
      <c r="S7" s="15"/>
      <c r="V7" s="16"/>
    </row>
    <row r="8" spans="1:40" ht="15.75" customHeight="1">
      <c r="A8" s="3" t="s">
        <v>22</v>
      </c>
      <c r="B8" s="35">
        <v>45314</v>
      </c>
      <c r="C8" s="3">
        <v>142</v>
      </c>
      <c r="D8" s="3">
        <v>1500</v>
      </c>
      <c r="E8" s="8">
        <f ca="1">IFERROR(__xludf.DUMMYFUNCTION("GOOGLEFINANCE(A8,""price"")"),122)</f>
        <v>122</v>
      </c>
      <c r="F8" s="10">
        <f t="shared" ca="1" si="0"/>
        <v>-30000</v>
      </c>
      <c r="G8" s="22"/>
      <c r="H8" s="22"/>
      <c r="J8" s="12">
        <f t="shared" ca="1" si="1"/>
        <v>-14.084507042253522</v>
      </c>
      <c r="K8" s="24">
        <f t="shared" si="2"/>
        <v>213000</v>
      </c>
      <c r="M8" s="36" t="s">
        <v>112</v>
      </c>
      <c r="N8" s="17" t="s">
        <v>113</v>
      </c>
      <c r="O8" s="17" t="s">
        <v>93</v>
      </c>
      <c r="P8" s="17" t="s">
        <v>114</v>
      </c>
      <c r="Q8" s="3" t="s">
        <v>115</v>
      </c>
      <c r="R8" s="3" t="s">
        <v>116</v>
      </c>
      <c r="S8" s="15" t="s">
        <v>117</v>
      </c>
      <c r="T8" s="3" t="s">
        <v>118</v>
      </c>
      <c r="U8" s="17" t="s">
        <v>119</v>
      </c>
      <c r="V8" s="16" t="s">
        <v>100</v>
      </c>
      <c r="W8" s="17" t="s">
        <v>120</v>
      </c>
    </row>
    <row r="9" spans="1:40" ht="15.75" customHeight="1">
      <c r="A9" s="17" t="s">
        <v>25</v>
      </c>
      <c r="B9" s="35">
        <v>45327</v>
      </c>
      <c r="C9" s="3">
        <v>138.65</v>
      </c>
      <c r="D9" s="3">
        <v>1100</v>
      </c>
      <c r="E9" s="8">
        <f ca="1">IFERROR(__xludf.DUMMYFUNCTION("GOOGLEFINANCE(A9,""price"")"),104.85)</f>
        <v>104.85</v>
      </c>
      <c r="F9" s="10">
        <f t="shared" ca="1" si="0"/>
        <v>-37180.000000000015</v>
      </c>
      <c r="G9" s="22"/>
      <c r="H9" s="22"/>
      <c r="J9" s="12">
        <f t="shared" ca="1" si="1"/>
        <v>-24.377930039668236</v>
      </c>
      <c r="K9" s="24">
        <f t="shared" si="2"/>
        <v>152515</v>
      </c>
      <c r="N9" s="18"/>
      <c r="S9" s="15"/>
      <c r="T9" s="1"/>
      <c r="U9" s="22"/>
      <c r="V9" s="16"/>
      <c r="W9" s="22"/>
      <c r="X9" s="29"/>
      <c r="Y9" s="24"/>
    </row>
    <row r="10" spans="1:40" ht="15.75" customHeight="1">
      <c r="A10" s="17" t="s">
        <v>28</v>
      </c>
      <c r="B10" s="35">
        <v>45337</v>
      </c>
      <c r="C10" s="3">
        <v>492.97</v>
      </c>
      <c r="D10" s="3">
        <v>400</v>
      </c>
      <c r="E10" s="8">
        <f ca="1">IFERROR(__xludf.DUMMYFUNCTION("GOOGLEFINANCE(A10,""price"")"),513.5)</f>
        <v>513.5</v>
      </c>
      <c r="F10" s="10">
        <f t="shared" ca="1" si="0"/>
        <v>8211.9999999999891</v>
      </c>
      <c r="G10" s="22"/>
      <c r="H10" s="22"/>
      <c r="J10" s="12">
        <f t="shared" ca="1" si="1"/>
        <v>4.1645536239527701</v>
      </c>
      <c r="K10" s="24">
        <f t="shared" si="2"/>
        <v>197188</v>
      </c>
      <c r="M10" s="9" t="s">
        <v>121</v>
      </c>
      <c r="N10" s="18">
        <v>45173</v>
      </c>
      <c r="O10" s="3">
        <v>510</v>
      </c>
      <c r="P10" s="3">
        <v>400</v>
      </c>
      <c r="Q10" s="3">
        <v>467.5</v>
      </c>
      <c r="R10" s="3">
        <v>400</v>
      </c>
      <c r="S10" s="15">
        <f t="shared" ref="S10:S85" si="3">T10/V10</f>
        <v>-8.3333333333333329E-2</v>
      </c>
      <c r="T10" s="1">
        <f t="shared" ref="T10:T85" si="4">(Q10-O10)*R10</f>
        <v>-17000</v>
      </c>
      <c r="U10" s="37">
        <v>45182</v>
      </c>
      <c r="V10" s="16">
        <f t="shared" ref="V10:V85" si="5">P10*O10</f>
        <v>204000</v>
      </c>
      <c r="X10" s="29"/>
      <c r="Y10" s="24"/>
    </row>
    <row r="11" spans="1:40" ht="15.75" customHeight="1">
      <c r="A11" s="17"/>
      <c r="G11" s="22"/>
      <c r="H11" s="22"/>
      <c r="J11" s="12"/>
      <c r="K11" s="24"/>
      <c r="M11" s="9" t="s">
        <v>122</v>
      </c>
      <c r="N11" s="18">
        <v>45175</v>
      </c>
      <c r="O11" s="3">
        <v>32</v>
      </c>
      <c r="P11" s="3">
        <v>6200</v>
      </c>
      <c r="Q11" s="3">
        <v>32</v>
      </c>
      <c r="R11" s="3">
        <v>6200</v>
      </c>
      <c r="S11" s="15">
        <f t="shared" si="3"/>
        <v>0</v>
      </c>
      <c r="T11" s="1">
        <f t="shared" si="4"/>
        <v>0</v>
      </c>
      <c r="U11" s="37">
        <v>45182</v>
      </c>
      <c r="V11" s="16">
        <f t="shared" si="5"/>
        <v>198400</v>
      </c>
      <c r="X11" s="29"/>
      <c r="Y11" s="24"/>
    </row>
    <row r="12" spans="1:40" ht="15.75" customHeight="1">
      <c r="A12" s="17"/>
      <c r="M12" s="9" t="s">
        <v>123</v>
      </c>
      <c r="N12" s="38">
        <v>45177</v>
      </c>
      <c r="O12" s="3">
        <v>710</v>
      </c>
      <c r="P12" s="3">
        <v>300</v>
      </c>
      <c r="Q12" s="3">
        <v>840</v>
      </c>
      <c r="R12" s="3">
        <v>300</v>
      </c>
      <c r="S12" s="15">
        <f t="shared" si="3"/>
        <v>0.18309859154929578</v>
      </c>
      <c r="T12" s="1">
        <f t="shared" si="4"/>
        <v>39000</v>
      </c>
      <c r="U12" s="37">
        <v>45182</v>
      </c>
      <c r="V12" s="16">
        <f t="shared" si="5"/>
        <v>213000</v>
      </c>
      <c r="X12" s="29"/>
      <c r="Y12" s="24"/>
    </row>
    <row r="13" spans="1:40" ht="15.75" customHeight="1">
      <c r="A13" s="17"/>
      <c r="M13" s="9" t="s">
        <v>124</v>
      </c>
      <c r="N13" s="18">
        <v>45167</v>
      </c>
      <c r="O13" s="17">
        <v>97.7</v>
      </c>
      <c r="P13" s="17">
        <v>1200</v>
      </c>
      <c r="Q13" s="3">
        <v>130</v>
      </c>
      <c r="R13" s="3">
        <v>1200</v>
      </c>
      <c r="S13" s="15">
        <f t="shared" si="3"/>
        <v>0.330603889457523</v>
      </c>
      <c r="T13" s="1">
        <f t="shared" si="4"/>
        <v>38760</v>
      </c>
      <c r="U13" s="37">
        <v>45197</v>
      </c>
      <c r="V13" s="16">
        <f t="shared" si="5"/>
        <v>117240</v>
      </c>
      <c r="X13" s="29"/>
      <c r="Y13" s="24"/>
    </row>
    <row r="14" spans="1:40" ht="15.75" customHeight="1">
      <c r="A14" s="17"/>
      <c r="M14" s="9" t="s">
        <v>125</v>
      </c>
      <c r="N14" s="18">
        <v>45187</v>
      </c>
      <c r="O14" s="3">
        <v>1775</v>
      </c>
      <c r="P14" s="3">
        <v>70</v>
      </c>
      <c r="Q14" s="3">
        <v>2095</v>
      </c>
      <c r="R14" s="3">
        <v>70</v>
      </c>
      <c r="S14" s="15">
        <f t="shared" si="3"/>
        <v>0.18028169014084508</v>
      </c>
      <c r="T14" s="1">
        <f t="shared" si="4"/>
        <v>22400</v>
      </c>
      <c r="U14" s="37">
        <v>45197</v>
      </c>
      <c r="V14" s="16">
        <f t="shared" si="5"/>
        <v>124250</v>
      </c>
      <c r="X14" s="29"/>
      <c r="Y14" s="24"/>
    </row>
    <row r="15" spans="1:40" ht="15.75" customHeight="1">
      <c r="A15" s="17"/>
      <c r="M15" s="9" t="s">
        <v>126</v>
      </c>
      <c r="N15" s="38">
        <v>45197</v>
      </c>
      <c r="O15" s="3">
        <v>580.9</v>
      </c>
      <c r="P15" s="3">
        <v>500</v>
      </c>
      <c r="Q15" s="3">
        <v>594</v>
      </c>
      <c r="R15" s="3">
        <v>500</v>
      </c>
      <c r="S15" s="15">
        <f t="shared" si="3"/>
        <v>2.2551213634016219E-2</v>
      </c>
      <c r="T15" s="1">
        <f t="shared" si="4"/>
        <v>6550.0000000000109</v>
      </c>
      <c r="U15" s="37">
        <v>45202</v>
      </c>
      <c r="V15" s="16">
        <f t="shared" si="5"/>
        <v>290450</v>
      </c>
      <c r="X15" s="29"/>
      <c r="Y15" s="24"/>
      <c r="AG15" s="15"/>
      <c r="AN15" s="3" t="s">
        <v>127</v>
      </c>
    </row>
    <row r="16" spans="1:40" ht="15.75" customHeight="1">
      <c r="A16" s="17"/>
      <c r="M16" s="9" t="s">
        <v>128</v>
      </c>
      <c r="O16" s="3">
        <v>3080</v>
      </c>
      <c r="P16" s="3">
        <v>65</v>
      </c>
      <c r="Q16" s="3">
        <v>2630</v>
      </c>
      <c r="R16" s="1">
        <v>65</v>
      </c>
      <c r="S16" s="15">
        <f t="shared" si="3"/>
        <v>-0.1461038961038961</v>
      </c>
      <c r="T16" s="1">
        <f t="shared" si="4"/>
        <v>-29250</v>
      </c>
      <c r="U16" s="37">
        <v>45203</v>
      </c>
      <c r="V16" s="16">
        <f t="shared" si="5"/>
        <v>200200</v>
      </c>
      <c r="W16" s="24"/>
    </row>
    <row r="17" spans="1:40" ht="15.75" customHeight="1">
      <c r="A17" s="17"/>
      <c r="M17" s="9" t="s">
        <v>129</v>
      </c>
      <c r="N17" s="18">
        <v>45184</v>
      </c>
      <c r="O17" s="3">
        <v>69.8</v>
      </c>
      <c r="P17" s="3">
        <v>2000</v>
      </c>
      <c r="Q17" s="3">
        <v>62</v>
      </c>
      <c r="R17" s="3">
        <v>2000</v>
      </c>
      <c r="S17" s="15">
        <f t="shared" si="3"/>
        <v>-0.11174785100286529</v>
      </c>
      <c r="T17" s="1">
        <f t="shared" si="4"/>
        <v>-15599.999999999995</v>
      </c>
      <c r="U17" s="37">
        <v>45204</v>
      </c>
      <c r="V17" s="16">
        <f t="shared" si="5"/>
        <v>139600</v>
      </c>
      <c r="W17" s="24"/>
    </row>
    <row r="18" spans="1:40" ht="15.75" customHeight="1">
      <c r="A18" s="17"/>
      <c r="M18" s="9" t="s">
        <v>130</v>
      </c>
      <c r="N18" s="18">
        <v>45173</v>
      </c>
      <c r="O18" s="3">
        <v>266.8</v>
      </c>
      <c r="P18" s="3">
        <v>700</v>
      </c>
      <c r="Q18" s="3">
        <v>300</v>
      </c>
      <c r="R18" s="3">
        <v>700</v>
      </c>
      <c r="S18" s="15">
        <f t="shared" si="3"/>
        <v>0.12443778110944524</v>
      </c>
      <c r="T18" s="1">
        <f t="shared" si="4"/>
        <v>23239.999999999993</v>
      </c>
      <c r="U18" s="37">
        <v>45205</v>
      </c>
      <c r="V18" s="16">
        <f t="shared" si="5"/>
        <v>186760</v>
      </c>
      <c r="W18" s="24"/>
    </row>
    <row r="19" spans="1:40" ht="15.75" customHeight="1">
      <c r="A19" s="17"/>
      <c r="M19" s="9" t="s">
        <v>131</v>
      </c>
      <c r="N19" s="18">
        <v>45196</v>
      </c>
      <c r="O19" s="3">
        <v>685</v>
      </c>
      <c r="P19" s="3">
        <v>300</v>
      </c>
      <c r="Q19" s="3">
        <v>648</v>
      </c>
      <c r="R19" s="3">
        <v>300</v>
      </c>
      <c r="S19" s="15">
        <f t="shared" si="3"/>
        <v>-5.4014598540145987E-2</v>
      </c>
      <c r="T19" s="1">
        <f t="shared" si="4"/>
        <v>-11100</v>
      </c>
      <c r="U19" s="37">
        <v>45206</v>
      </c>
      <c r="V19" s="16">
        <f t="shared" si="5"/>
        <v>205500</v>
      </c>
      <c r="W19" s="24"/>
    </row>
    <row r="20" spans="1:40" ht="15.75" customHeight="1">
      <c r="A20" s="17"/>
      <c r="M20" s="9" t="s">
        <v>132</v>
      </c>
      <c r="N20" s="18">
        <v>45166</v>
      </c>
      <c r="O20" s="17">
        <v>165</v>
      </c>
      <c r="P20" s="17">
        <v>1500</v>
      </c>
      <c r="Q20" s="3">
        <v>152</v>
      </c>
      <c r="R20" s="3">
        <v>1500</v>
      </c>
      <c r="S20" s="15">
        <f t="shared" si="3"/>
        <v>-7.8787878787878782E-2</v>
      </c>
      <c r="T20" s="1">
        <f t="shared" si="4"/>
        <v>-19500</v>
      </c>
      <c r="U20" s="37">
        <v>45207</v>
      </c>
      <c r="V20" s="16">
        <f t="shared" si="5"/>
        <v>247500</v>
      </c>
      <c r="W20" s="24"/>
    </row>
    <row r="21" spans="1:40" ht="15.75" customHeight="1">
      <c r="A21" s="17"/>
      <c r="M21" s="9" t="s">
        <v>133</v>
      </c>
      <c r="N21" s="18">
        <v>45169</v>
      </c>
      <c r="O21" s="17">
        <v>455</v>
      </c>
      <c r="P21" s="17">
        <v>300</v>
      </c>
      <c r="Q21" s="3">
        <v>424</v>
      </c>
      <c r="R21" s="3">
        <v>300</v>
      </c>
      <c r="S21" s="15">
        <f t="shared" si="3"/>
        <v>-6.8131868131868126E-2</v>
      </c>
      <c r="T21" s="1">
        <f t="shared" si="4"/>
        <v>-9300</v>
      </c>
      <c r="U21" s="37">
        <v>45208</v>
      </c>
      <c r="V21" s="16">
        <f t="shared" si="5"/>
        <v>136500</v>
      </c>
      <c r="W21" s="24"/>
    </row>
    <row r="22" spans="1:40" ht="15.75" customHeight="1">
      <c r="A22" s="17"/>
      <c r="M22" s="9" t="s">
        <v>134</v>
      </c>
      <c r="N22" s="18">
        <v>45173</v>
      </c>
      <c r="O22" s="3">
        <v>249.8</v>
      </c>
      <c r="P22" s="3">
        <v>800</v>
      </c>
      <c r="Q22" s="3">
        <v>273</v>
      </c>
      <c r="R22" s="1">
        <v>800</v>
      </c>
      <c r="S22" s="15">
        <f t="shared" si="3"/>
        <v>9.2874299439551611E-2</v>
      </c>
      <c r="T22" s="1">
        <f t="shared" si="4"/>
        <v>18559.999999999993</v>
      </c>
      <c r="U22" s="37">
        <v>45247</v>
      </c>
      <c r="V22" s="16">
        <f t="shared" si="5"/>
        <v>199840</v>
      </c>
      <c r="W22" s="24"/>
    </row>
    <row r="23" spans="1:40" ht="15.75" customHeight="1">
      <c r="A23" s="17"/>
      <c r="L23" s="39"/>
      <c r="M23" s="9" t="s">
        <v>135</v>
      </c>
      <c r="N23" s="18">
        <v>45184</v>
      </c>
      <c r="O23" s="3">
        <v>238</v>
      </c>
      <c r="P23" s="3">
        <v>900</v>
      </c>
      <c r="Q23" s="3">
        <v>195.75</v>
      </c>
      <c r="R23" s="1">
        <v>900</v>
      </c>
      <c r="S23" s="15">
        <f t="shared" si="3"/>
        <v>-0.17752100840336135</v>
      </c>
      <c r="T23" s="1">
        <f t="shared" si="4"/>
        <v>-38025</v>
      </c>
      <c r="U23" s="37">
        <v>45247</v>
      </c>
      <c r="V23" s="16">
        <f t="shared" si="5"/>
        <v>214200</v>
      </c>
      <c r="W23" s="17" t="s">
        <v>136</v>
      </c>
    </row>
    <row r="24" spans="1:40" ht="15.75" customHeight="1">
      <c r="A24" s="17"/>
      <c r="L24" s="39"/>
      <c r="M24" s="9" t="s">
        <v>137</v>
      </c>
      <c r="N24" s="18">
        <v>45175</v>
      </c>
      <c r="O24" s="3">
        <v>633</v>
      </c>
      <c r="P24" s="3">
        <v>400</v>
      </c>
      <c r="Q24" s="3">
        <v>665.75</v>
      </c>
      <c r="R24" s="1">
        <v>400</v>
      </c>
      <c r="S24" s="15">
        <f t="shared" si="3"/>
        <v>5.1737756714060029E-2</v>
      </c>
      <c r="T24" s="1">
        <f t="shared" si="4"/>
        <v>13100</v>
      </c>
      <c r="U24" s="37">
        <v>45247</v>
      </c>
      <c r="V24" s="16">
        <f t="shared" si="5"/>
        <v>253200</v>
      </c>
      <c r="W24" s="24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ht="15.75" customHeight="1">
      <c r="A25" s="17"/>
      <c r="L25" s="39"/>
      <c r="M25" s="9" t="s">
        <v>138</v>
      </c>
      <c r="N25" s="18">
        <v>45187</v>
      </c>
      <c r="O25" s="3">
        <v>1130</v>
      </c>
      <c r="P25" s="3">
        <v>80</v>
      </c>
      <c r="Q25" s="3">
        <v>1120</v>
      </c>
      <c r="R25" s="1">
        <v>80</v>
      </c>
      <c r="S25" s="15">
        <f t="shared" si="3"/>
        <v>-8.8495575221238937E-3</v>
      </c>
      <c r="T25" s="1">
        <f t="shared" si="4"/>
        <v>-800</v>
      </c>
      <c r="U25" s="37">
        <v>45247</v>
      </c>
      <c r="V25" s="16">
        <f t="shared" si="5"/>
        <v>90400</v>
      </c>
      <c r="W25" s="24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ht="15.75" customHeight="1">
      <c r="A26" s="17"/>
      <c r="L26" s="39"/>
      <c r="M26" s="3" t="s">
        <v>139</v>
      </c>
      <c r="N26" s="38">
        <v>45203</v>
      </c>
      <c r="O26" s="3">
        <f>535/10</f>
        <v>53.5</v>
      </c>
      <c r="P26" s="3">
        <f>280*10</f>
        <v>2800</v>
      </c>
      <c r="Q26" s="39">
        <v>58</v>
      </c>
      <c r="R26" s="1">
        <v>2800</v>
      </c>
      <c r="S26" s="15">
        <f t="shared" si="3"/>
        <v>8.4112149532710276E-2</v>
      </c>
      <c r="T26" s="1">
        <f t="shared" si="4"/>
        <v>12600</v>
      </c>
      <c r="U26" s="37">
        <v>45247</v>
      </c>
      <c r="V26" s="16">
        <f t="shared" si="5"/>
        <v>149800</v>
      </c>
      <c r="W26" s="24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ht="13">
      <c r="A27" s="17"/>
      <c r="L27" s="39"/>
      <c r="M27" s="9" t="s">
        <v>140</v>
      </c>
      <c r="N27" s="38">
        <v>45203</v>
      </c>
      <c r="O27" s="3">
        <v>511.5</v>
      </c>
      <c r="P27" s="3">
        <v>290</v>
      </c>
      <c r="Q27" s="39">
        <v>455</v>
      </c>
      <c r="R27" s="1">
        <v>290</v>
      </c>
      <c r="S27" s="15">
        <f t="shared" si="3"/>
        <v>-0.1104594330400782</v>
      </c>
      <c r="T27" s="1">
        <f t="shared" si="4"/>
        <v>-16385</v>
      </c>
      <c r="U27" s="37">
        <v>45247</v>
      </c>
      <c r="V27" s="16">
        <f t="shared" si="5"/>
        <v>148335</v>
      </c>
      <c r="W27" s="24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ht="15.75" customHeight="1">
      <c r="A28" s="17"/>
      <c r="L28" s="39"/>
      <c r="M28" s="9" t="s">
        <v>141</v>
      </c>
      <c r="N28" s="18">
        <v>45168</v>
      </c>
      <c r="O28" s="17">
        <v>2810</v>
      </c>
      <c r="P28" s="17">
        <v>40</v>
      </c>
      <c r="Q28" s="39">
        <v>2533.62</v>
      </c>
      <c r="R28" s="1">
        <v>40</v>
      </c>
      <c r="S28" s="15">
        <f t="shared" si="3"/>
        <v>-9.8355871886121035E-2</v>
      </c>
      <c r="T28" s="1">
        <f t="shared" si="4"/>
        <v>-11055.200000000004</v>
      </c>
      <c r="U28" s="37">
        <v>45247</v>
      </c>
      <c r="V28" s="16">
        <f t="shared" si="5"/>
        <v>112400</v>
      </c>
      <c r="W28" s="24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ht="15.75" customHeight="1">
      <c r="A29" s="17"/>
      <c r="L29" s="39"/>
      <c r="M29" s="9" t="s">
        <v>142</v>
      </c>
      <c r="N29" s="38">
        <v>45177</v>
      </c>
      <c r="O29" s="3">
        <v>341.54</v>
      </c>
      <c r="P29" s="3">
        <v>600</v>
      </c>
      <c r="Q29" s="40">
        <v>290</v>
      </c>
      <c r="R29" s="3">
        <v>600</v>
      </c>
      <c r="S29" s="15">
        <f t="shared" si="3"/>
        <v>-0.150904725654389</v>
      </c>
      <c r="T29" s="1">
        <f t="shared" si="4"/>
        <v>-30924.000000000011</v>
      </c>
      <c r="U29" s="37">
        <v>45264</v>
      </c>
      <c r="V29" s="16">
        <f t="shared" si="5"/>
        <v>204924</v>
      </c>
      <c r="W29" s="24"/>
    </row>
    <row r="30" spans="1:40" ht="15.75" customHeight="1">
      <c r="A30" s="17"/>
      <c r="M30" s="9" t="s">
        <v>143</v>
      </c>
      <c r="N30" s="18">
        <v>45166</v>
      </c>
      <c r="O30" s="17">
        <v>71.05</v>
      </c>
      <c r="P30" s="17">
        <v>2000</v>
      </c>
      <c r="Q30" s="40">
        <v>68</v>
      </c>
      <c r="R30" s="17">
        <v>2000</v>
      </c>
      <c r="S30" s="15">
        <f t="shared" si="3"/>
        <v>-4.2927515833919738E-2</v>
      </c>
      <c r="T30" s="1">
        <f t="shared" si="4"/>
        <v>-6099.9999999999945</v>
      </c>
      <c r="U30" s="37">
        <v>45264</v>
      </c>
      <c r="V30" s="16">
        <f t="shared" si="5"/>
        <v>142100</v>
      </c>
      <c r="W30" s="24"/>
    </row>
    <row r="31" spans="1:40" ht="15.75" customHeight="1">
      <c r="A31" s="17"/>
      <c r="M31" s="9" t="s">
        <v>144</v>
      </c>
      <c r="O31" s="3">
        <v>712</v>
      </c>
      <c r="P31" s="3">
        <v>300</v>
      </c>
      <c r="Q31" s="40">
        <v>662</v>
      </c>
      <c r="R31" s="3">
        <v>300</v>
      </c>
      <c r="S31" s="15">
        <f t="shared" si="3"/>
        <v>-7.02247191011236E-2</v>
      </c>
      <c r="T31" s="1">
        <f t="shared" si="4"/>
        <v>-15000</v>
      </c>
      <c r="U31" s="37">
        <v>45264</v>
      </c>
      <c r="V31" s="16">
        <f t="shared" si="5"/>
        <v>213600</v>
      </c>
      <c r="W31" s="24"/>
    </row>
    <row r="32" spans="1:40" ht="15.75" customHeight="1">
      <c r="A32" s="17"/>
      <c r="M32" s="9" t="s">
        <v>145</v>
      </c>
      <c r="N32" s="18">
        <v>45168</v>
      </c>
      <c r="O32" s="17">
        <v>585</v>
      </c>
      <c r="P32" s="17">
        <v>200</v>
      </c>
      <c r="Q32" s="40">
        <v>544.85</v>
      </c>
      <c r="R32" s="17">
        <v>200</v>
      </c>
      <c r="S32" s="15">
        <f t="shared" si="3"/>
        <v>-6.8632478632478594E-2</v>
      </c>
      <c r="T32" s="1">
        <f t="shared" si="4"/>
        <v>-8029.9999999999955</v>
      </c>
      <c r="U32" s="37">
        <v>45264</v>
      </c>
      <c r="V32" s="16">
        <f t="shared" si="5"/>
        <v>117000</v>
      </c>
      <c r="W32" s="24"/>
    </row>
    <row r="33" spans="1:24" ht="15.75" customHeight="1">
      <c r="A33" s="17"/>
      <c r="M33" s="31" t="s">
        <v>146</v>
      </c>
      <c r="N33" s="32">
        <v>45260</v>
      </c>
      <c r="O33" s="3">
        <v>366</v>
      </c>
      <c r="P33" s="3">
        <v>275</v>
      </c>
      <c r="Q33" s="41">
        <v>365</v>
      </c>
      <c r="R33" s="10">
        <v>275</v>
      </c>
      <c r="S33" s="15">
        <f t="shared" si="3"/>
        <v>-2.7322404371584699E-3</v>
      </c>
      <c r="T33" s="1">
        <f t="shared" si="4"/>
        <v>-275</v>
      </c>
      <c r="U33" s="37">
        <v>45267</v>
      </c>
      <c r="V33" s="16">
        <f t="shared" si="5"/>
        <v>100650</v>
      </c>
      <c r="W33" s="24"/>
    </row>
    <row r="34" spans="1:24" ht="15.75" customHeight="1">
      <c r="A34" s="17"/>
      <c r="M34" s="31" t="s">
        <v>147</v>
      </c>
      <c r="N34" s="38">
        <v>45177</v>
      </c>
      <c r="O34" s="3">
        <v>314</v>
      </c>
      <c r="P34" s="3">
        <v>700</v>
      </c>
      <c r="Q34" s="8">
        <v>295</v>
      </c>
      <c r="R34" s="10">
        <v>700</v>
      </c>
      <c r="S34" s="15">
        <f t="shared" si="3"/>
        <v>-6.0509554140127389E-2</v>
      </c>
      <c r="T34" s="1">
        <f t="shared" si="4"/>
        <v>-13300</v>
      </c>
      <c r="U34" s="37">
        <v>45275</v>
      </c>
      <c r="V34" s="16">
        <f t="shared" si="5"/>
        <v>219800</v>
      </c>
      <c r="W34" s="24"/>
    </row>
    <row r="35" spans="1:24" ht="15.75" customHeight="1">
      <c r="A35" s="17"/>
      <c r="M35" s="31" t="s">
        <v>148</v>
      </c>
      <c r="N35" s="38">
        <v>45177</v>
      </c>
      <c r="O35" s="3">
        <v>225</v>
      </c>
      <c r="P35" s="3">
        <v>1000</v>
      </c>
      <c r="Q35" s="8">
        <v>228</v>
      </c>
      <c r="R35" s="10">
        <v>1000</v>
      </c>
      <c r="S35" s="15">
        <f t="shared" si="3"/>
        <v>1.3333333333333334E-2</v>
      </c>
      <c r="T35" s="1">
        <f t="shared" si="4"/>
        <v>3000</v>
      </c>
      <c r="U35" s="37">
        <v>45275</v>
      </c>
      <c r="V35" s="16">
        <f t="shared" si="5"/>
        <v>225000</v>
      </c>
      <c r="W35" s="24"/>
    </row>
    <row r="36" spans="1:24" ht="15.75" customHeight="1">
      <c r="A36" s="17"/>
      <c r="M36" s="42" t="s">
        <v>149</v>
      </c>
      <c r="N36" s="18">
        <v>45187</v>
      </c>
      <c r="O36" s="3">
        <v>2379.9</v>
      </c>
      <c r="P36" s="3">
        <v>60</v>
      </c>
      <c r="Q36" s="8">
        <v>2400</v>
      </c>
      <c r="R36" s="10">
        <v>60</v>
      </c>
      <c r="S36" s="15">
        <f t="shared" si="3"/>
        <v>8.4457330139921464E-3</v>
      </c>
      <c r="T36" s="1">
        <f t="shared" si="4"/>
        <v>1205.9999999999945</v>
      </c>
      <c r="U36" s="37">
        <v>45275</v>
      </c>
      <c r="V36" s="16">
        <f t="shared" si="5"/>
        <v>142794</v>
      </c>
      <c r="W36" s="24"/>
    </row>
    <row r="37" spans="1:24" ht="15.75" customHeight="1">
      <c r="A37" s="17"/>
      <c r="M37" s="3" t="s">
        <v>150</v>
      </c>
      <c r="N37" s="38">
        <v>45191</v>
      </c>
      <c r="O37" s="3">
        <v>1328</v>
      </c>
      <c r="P37" s="3">
        <v>100</v>
      </c>
      <c r="Q37" s="39">
        <v>1412.3</v>
      </c>
      <c r="R37" s="1">
        <v>100</v>
      </c>
      <c r="S37" s="15">
        <f t="shared" si="3"/>
        <v>6.347891566265057E-2</v>
      </c>
      <c r="T37" s="1">
        <f t="shared" si="4"/>
        <v>8429.9999999999964</v>
      </c>
      <c r="U37" s="37">
        <v>45287</v>
      </c>
      <c r="V37" s="16">
        <f t="shared" si="5"/>
        <v>132800</v>
      </c>
      <c r="W37" s="1"/>
    </row>
    <row r="38" spans="1:24" ht="15.75" customHeight="1">
      <c r="A38" s="17"/>
      <c r="M38" s="31" t="s">
        <v>151</v>
      </c>
      <c r="N38" s="18">
        <v>45169</v>
      </c>
      <c r="O38" s="17">
        <f>1100/5</f>
        <v>220</v>
      </c>
      <c r="P38" s="17">
        <v>100</v>
      </c>
      <c r="Q38" s="8">
        <v>202</v>
      </c>
      <c r="R38" s="1">
        <v>100</v>
      </c>
      <c r="S38" s="15">
        <f t="shared" si="3"/>
        <v>-8.1818181818181818E-2</v>
      </c>
      <c r="T38" s="1">
        <f t="shared" si="4"/>
        <v>-1800</v>
      </c>
      <c r="U38" s="37">
        <v>45288</v>
      </c>
      <c r="V38" s="16">
        <f t="shared" si="5"/>
        <v>22000</v>
      </c>
      <c r="W38" s="24"/>
    </row>
    <row r="39" spans="1:24" ht="15.75" customHeight="1">
      <c r="A39" s="17"/>
      <c r="M39" s="31" t="s">
        <v>152</v>
      </c>
      <c r="N39" s="18">
        <v>45168</v>
      </c>
      <c r="O39" s="17">
        <v>475</v>
      </c>
      <c r="P39" s="17">
        <v>300</v>
      </c>
      <c r="Q39" s="8">
        <v>528</v>
      </c>
      <c r="R39" s="1">
        <v>300</v>
      </c>
      <c r="S39" s="15">
        <f t="shared" si="3"/>
        <v>0.11157894736842106</v>
      </c>
      <c r="T39" s="1">
        <f t="shared" si="4"/>
        <v>15900</v>
      </c>
      <c r="U39" s="37">
        <v>45289</v>
      </c>
      <c r="V39" s="16">
        <f t="shared" si="5"/>
        <v>142500</v>
      </c>
      <c r="W39" s="24"/>
    </row>
    <row r="40" spans="1:24" ht="15.75" customHeight="1">
      <c r="A40" s="17"/>
      <c r="M40" s="31" t="s">
        <v>153</v>
      </c>
      <c r="N40" s="18">
        <v>45187</v>
      </c>
      <c r="O40" s="3">
        <f>277-15.25</f>
        <v>261.75</v>
      </c>
      <c r="P40" s="3">
        <v>500</v>
      </c>
      <c r="Q40" s="8">
        <v>382.7</v>
      </c>
      <c r="R40" s="3">
        <v>500</v>
      </c>
      <c r="S40" s="15">
        <f t="shared" si="3"/>
        <v>0.46208213944603627</v>
      </c>
      <c r="T40" s="1">
        <f t="shared" si="4"/>
        <v>60474.999999999993</v>
      </c>
      <c r="U40" s="37">
        <v>45310</v>
      </c>
      <c r="V40" s="16">
        <f t="shared" si="5"/>
        <v>130875</v>
      </c>
      <c r="W40" s="24"/>
      <c r="X40" s="3" t="s">
        <v>154</v>
      </c>
    </row>
    <row r="41" spans="1:24" ht="15.75" customHeight="1">
      <c r="A41" s="17"/>
      <c r="M41" s="9" t="s">
        <v>155</v>
      </c>
      <c r="N41" s="32">
        <v>45280</v>
      </c>
      <c r="O41" s="3">
        <v>907</v>
      </c>
      <c r="P41" s="3">
        <v>110</v>
      </c>
      <c r="Q41" s="8">
        <v>851.36</v>
      </c>
      <c r="R41" s="3">
        <v>110</v>
      </c>
      <c r="S41" s="15">
        <f t="shared" si="3"/>
        <v>-6.1345093715545744E-2</v>
      </c>
      <c r="T41" s="1">
        <f t="shared" si="4"/>
        <v>-6120.3999999999987</v>
      </c>
      <c r="U41" s="37">
        <v>45310</v>
      </c>
      <c r="V41" s="16">
        <f t="shared" si="5"/>
        <v>99770</v>
      </c>
      <c r="W41" s="24"/>
    </row>
    <row r="42" spans="1:24" ht="15.75" customHeight="1">
      <c r="A42" s="17"/>
      <c r="M42" s="9" t="s">
        <v>156</v>
      </c>
      <c r="N42" s="32">
        <v>45289</v>
      </c>
      <c r="O42" s="3">
        <v>232.6</v>
      </c>
      <c r="P42" s="3">
        <v>800</v>
      </c>
      <c r="Q42" s="8">
        <v>229.74</v>
      </c>
      <c r="R42" s="10">
        <v>800</v>
      </c>
      <c r="S42" s="15">
        <f t="shared" si="3"/>
        <v>-1.2295786758383427E-2</v>
      </c>
      <c r="T42" s="1">
        <f t="shared" si="4"/>
        <v>-2287.9999999999882</v>
      </c>
      <c r="U42" s="37">
        <v>45310</v>
      </c>
      <c r="V42" s="16">
        <f t="shared" si="5"/>
        <v>186080</v>
      </c>
      <c r="W42" s="24"/>
    </row>
    <row r="43" spans="1:24" ht="15.75" customHeight="1">
      <c r="A43" s="17"/>
      <c r="M43" s="31" t="s">
        <v>157</v>
      </c>
      <c r="N43" s="32">
        <v>45259</v>
      </c>
      <c r="O43" s="3">
        <v>2704</v>
      </c>
      <c r="P43" s="3">
        <v>50</v>
      </c>
      <c r="Q43" s="8">
        <v>2440</v>
      </c>
      <c r="R43" s="10">
        <v>50</v>
      </c>
      <c r="S43" s="15">
        <f t="shared" si="3"/>
        <v>-9.7633136094674555E-2</v>
      </c>
      <c r="T43" s="1">
        <f t="shared" si="4"/>
        <v>-13200</v>
      </c>
      <c r="U43" s="37">
        <v>45314</v>
      </c>
      <c r="V43" s="16">
        <f t="shared" si="5"/>
        <v>135200</v>
      </c>
      <c r="W43" s="39"/>
    </row>
    <row r="44" spans="1:24" ht="15.75" customHeight="1">
      <c r="A44" s="17"/>
      <c r="M44" s="31" t="s">
        <v>158</v>
      </c>
      <c r="N44" s="38">
        <v>45264</v>
      </c>
      <c r="O44" s="3">
        <v>1579</v>
      </c>
      <c r="P44" s="3">
        <v>65</v>
      </c>
      <c r="Q44" s="8">
        <v>1392.9</v>
      </c>
      <c r="R44" s="10">
        <v>65</v>
      </c>
      <c r="S44" s="15">
        <f t="shared" si="3"/>
        <v>-0.11785940468651039</v>
      </c>
      <c r="T44" s="1">
        <f t="shared" si="4"/>
        <v>-12096.499999999995</v>
      </c>
      <c r="U44" s="37">
        <v>45320</v>
      </c>
      <c r="V44" s="16">
        <f t="shared" si="5"/>
        <v>102635</v>
      </c>
      <c r="W44" s="24"/>
    </row>
    <row r="45" spans="1:24" ht="15.75" customHeight="1">
      <c r="A45" s="17"/>
      <c r="M45" s="9" t="s">
        <v>159</v>
      </c>
      <c r="N45" s="32">
        <v>45289</v>
      </c>
      <c r="O45" s="3">
        <v>171</v>
      </c>
      <c r="P45" s="3">
        <v>800</v>
      </c>
      <c r="Q45" s="8">
        <v>251.3</v>
      </c>
      <c r="R45" s="10">
        <v>800</v>
      </c>
      <c r="S45" s="15">
        <f t="shared" si="3"/>
        <v>0.46959064327485384</v>
      </c>
      <c r="T45" s="1">
        <f t="shared" si="4"/>
        <v>64240.000000000007</v>
      </c>
      <c r="U45" s="37">
        <v>45327</v>
      </c>
      <c r="V45" s="16">
        <f t="shared" si="5"/>
        <v>136800</v>
      </c>
      <c r="W45" s="24"/>
    </row>
    <row r="46" spans="1:24" ht="15.75" customHeight="1">
      <c r="A46" s="17"/>
      <c r="M46" s="31" t="s">
        <v>160</v>
      </c>
      <c r="N46" s="18">
        <v>45184</v>
      </c>
      <c r="O46" s="3">
        <v>273</v>
      </c>
      <c r="P46" s="3">
        <v>800</v>
      </c>
      <c r="Q46" s="8">
        <v>275.14</v>
      </c>
      <c r="R46" s="10">
        <v>800</v>
      </c>
      <c r="S46" s="15">
        <f t="shared" si="3"/>
        <v>7.8388278388277881E-3</v>
      </c>
      <c r="T46" s="1">
        <f t="shared" si="4"/>
        <v>1711.9999999999891</v>
      </c>
      <c r="U46" s="37">
        <v>45327</v>
      </c>
      <c r="V46" s="16">
        <f t="shared" si="5"/>
        <v>218400</v>
      </c>
      <c r="W46" s="24"/>
    </row>
    <row r="47" spans="1:24" ht="15.75" customHeight="1">
      <c r="A47" s="17"/>
      <c r="M47" s="31" t="s">
        <v>161</v>
      </c>
      <c r="O47" s="3">
        <f>948/2</f>
        <v>474</v>
      </c>
      <c r="P47" s="3">
        <f>220*2</f>
        <v>440</v>
      </c>
      <c r="Q47" s="20">
        <v>633.80999999999995</v>
      </c>
      <c r="R47" s="10">
        <v>440</v>
      </c>
      <c r="S47" s="15">
        <f t="shared" si="3"/>
        <v>0.33715189873417711</v>
      </c>
      <c r="T47" s="1">
        <f t="shared" si="4"/>
        <v>70316.39999999998</v>
      </c>
      <c r="U47" s="37">
        <v>45334</v>
      </c>
      <c r="V47" s="16">
        <f t="shared" si="5"/>
        <v>208560</v>
      </c>
      <c r="W47" s="24"/>
    </row>
    <row r="48" spans="1:24" ht="15.75" customHeight="1">
      <c r="A48" s="17"/>
      <c r="M48" s="31" t="s">
        <v>162</v>
      </c>
      <c r="N48" s="38">
        <v>45237</v>
      </c>
      <c r="O48" s="3">
        <v>402.5</v>
      </c>
      <c r="P48" s="3">
        <v>150</v>
      </c>
      <c r="Q48" s="8">
        <v>412.76</v>
      </c>
      <c r="R48" s="10">
        <v>150</v>
      </c>
      <c r="S48" s="15">
        <f t="shared" si="3"/>
        <v>2.549068322981364E-2</v>
      </c>
      <c r="T48" s="1">
        <f t="shared" si="4"/>
        <v>1538.9999999999986</v>
      </c>
      <c r="U48" s="37">
        <v>45334</v>
      </c>
      <c r="V48" s="16">
        <f t="shared" si="5"/>
        <v>60375</v>
      </c>
      <c r="W48" s="24"/>
    </row>
    <row r="49" spans="1:23" ht="15.75" customHeight="1">
      <c r="A49" s="17"/>
      <c r="M49" s="17" t="s">
        <v>163</v>
      </c>
      <c r="N49" s="32">
        <v>45275</v>
      </c>
      <c r="O49" s="3">
        <v>671.8</v>
      </c>
      <c r="P49" s="3">
        <v>200</v>
      </c>
      <c r="Q49" s="8">
        <v>531.25</v>
      </c>
      <c r="R49" s="10">
        <v>200</v>
      </c>
      <c r="S49" s="15">
        <f t="shared" si="3"/>
        <v>-0.20921405180113123</v>
      </c>
      <c r="T49" s="1">
        <f t="shared" si="4"/>
        <v>-28109.999999999993</v>
      </c>
      <c r="U49" s="37">
        <v>45334</v>
      </c>
      <c r="V49" s="16">
        <f t="shared" si="5"/>
        <v>134360</v>
      </c>
      <c r="W49" s="24"/>
    </row>
    <row r="50" spans="1:23" ht="15.75" customHeight="1">
      <c r="A50" s="17"/>
      <c r="M50" s="31" t="s">
        <v>164</v>
      </c>
      <c r="N50" s="38">
        <v>45203</v>
      </c>
      <c r="O50" s="3">
        <v>472</v>
      </c>
      <c r="P50" s="3">
        <v>300</v>
      </c>
      <c r="Q50" s="8">
        <v>769.5</v>
      </c>
      <c r="R50" s="10">
        <v>300</v>
      </c>
      <c r="S50" s="15">
        <f t="shared" si="3"/>
        <v>0.63029661016949157</v>
      </c>
      <c r="T50" s="1">
        <f t="shared" si="4"/>
        <v>89250</v>
      </c>
      <c r="U50" s="37">
        <v>45339</v>
      </c>
      <c r="V50" s="16">
        <f t="shared" si="5"/>
        <v>141600</v>
      </c>
      <c r="W50" s="24"/>
    </row>
    <row r="51" spans="1:23" ht="15.75" customHeight="1">
      <c r="A51" s="17"/>
      <c r="M51" s="17" t="s">
        <v>68</v>
      </c>
      <c r="N51" s="35">
        <v>45294</v>
      </c>
      <c r="O51" s="3">
        <v>34.119999999999997</v>
      </c>
      <c r="P51" s="3">
        <v>4000</v>
      </c>
      <c r="Q51" s="8">
        <v>36.5</v>
      </c>
      <c r="R51" s="10">
        <v>4000</v>
      </c>
      <c r="S51" s="15">
        <f t="shared" si="3"/>
        <v>6.9753810082063383E-2</v>
      </c>
      <c r="T51" s="1">
        <f t="shared" si="4"/>
        <v>9520.0000000000109</v>
      </c>
      <c r="U51" s="37">
        <v>45339</v>
      </c>
      <c r="V51" s="16">
        <f t="shared" si="5"/>
        <v>136480</v>
      </c>
      <c r="W51" s="24"/>
    </row>
    <row r="52" spans="1:23" ht="15.75" customHeight="1">
      <c r="A52" s="17"/>
      <c r="M52" s="31" t="s">
        <v>55</v>
      </c>
      <c r="N52" s="38">
        <v>45264</v>
      </c>
      <c r="O52" s="3">
        <v>169.35</v>
      </c>
      <c r="P52" s="3">
        <v>250</v>
      </c>
      <c r="Q52" s="8">
        <v>168.4</v>
      </c>
      <c r="R52" s="10">
        <v>250</v>
      </c>
      <c r="S52" s="15">
        <f t="shared" si="3"/>
        <v>-5.6096840862119197E-3</v>
      </c>
      <c r="T52" s="1">
        <f t="shared" si="4"/>
        <v>-237.49999999999716</v>
      </c>
      <c r="U52" s="37">
        <v>45339</v>
      </c>
      <c r="V52" s="16">
        <f t="shared" si="5"/>
        <v>42337.5</v>
      </c>
      <c r="W52" s="24"/>
    </row>
    <row r="53" spans="1:23" ht="15.75" customHeight="1">
      <c r="A53" s="17"/>
      <c r="M53" s="31" t="s">
        <v>165</v>
      </c>
      <c r="N53" s="38">
        <v>45238</v>
      </c>
      <c r="O53" s="3">
        <v>35</v>
      </c>
      <c r="P53" s="3">
        <v>3000</v>
      </c>
      <c r="Q53" s="8">
        <v>40.200000000000003</v>
      </c>
      <c r="R53" s="10">
        <v>3000</v>
      </c>
      <c r="S53" s="15">
        <f t="shared" si="3"/>
        <v>0.14857142857142866</v>
      </c>
      <c r="T53" s="1">
        <f t="shared" si="4"/>
        <v>15600.000000000009</v>
      </c>
      <c r="U53" s="37">
        <v>45339</v>
      </c>
      <c r="V53" s="16">
        <f t="shared" si="5"/>
        <v>105000</v>
      </c>
      <c r="W53" s="24"/>
    </row>
    <row r="54" spans="1:23" ht="15.75" customHeight="1">
      <c r="A54" s="17"/>
      <c r="M54" s="17" t="s">
        <v>74</v>
      </c>
      <c r="N54" s="35">
        <v>45310</v>
      </c>
      <c r="O54" s="3">
        <v>557</v>
      </c>
      <c r="P54" s="3">
        <v>300</v>
      </c>
      <c r="Q54" s="8">
        <v>546</v>
      </c>
      <c r="R54" s="10">
        <v>300</v>
      </c>
      <c r="S54" s="15">
        <f t="shared" si="3"/>
        <v>-1.9748653500897665E-2</v>
      </c>
      <c r="T54" s="1">
        <f t="shared" si="4"/>
        <v>-3300</v>
      </c>
      <c r="U54" s="37">
        <v>45339</v>
      </c>
      <c r="V54" s="16">
        <f t="shared" si="5"/>
        <v>167100</v>
      </c>
      <c r="W54" s="24"/>
    </row>
    <row r="55" spans="1:23" ht="15.75" customHeight="1">
      <c r="A55" s="17"/>
      <c r="M55" s="31" t="s">
        <v>166</v>
      </c>
      <c r="N55" s="32">
        <v>45211</v>
      </c>
      <c r="O55" s="3">
        <v>928</v>
      </c>
      <c r="P55" s="3">
        <v>250</v>
      </c>
      <c r="Q55" s="8">
        <v>1020</v>
      </c>
      <c r="R55" s="10">
        <v>250</v>
      </c>
      <c r="S55" s="15">
        <f t="shared" si="3"/>
        <v>9.9137931034482762E-2</v>
      </c>
      <c r="T55" s="1">
        <f t="shared" si="4"/>
        <v>23000</v>
      </c>
      <c r="U55" s="37">
        <v>45341</v>
      </c>
      <c r="V55" s="16">
        <f t="shared" si="5"/>
        <v>232000</v>
      </c>
      <c r="W55" s="24"/>
    </row>
    <row r="56" spans="1:23" ht="15.75" customHeight="1">
      <c r="A56" s="17"/>
      <c r="M56" s="17" t="s">
        <v>167</v>
      </c>
      <c r="N56" s="32">
        <v>45275</v>
      </c>
      <c r="O56" s="3">
        <v>214</v>
      </c>
      <c r="P56" s="3">
        <v>380</v>
      </c>
      <c r="Q56" s="8">
        <v>230.22</v>
      </c>
      <c r="R56" s="10">
        <v>380</v>
      </c>
      <c r="S56" s="15">
        <f t="shared" si="3"/>
        <v>7.5794392523364479E-2</v>
      </c>
      <c r="T56" s="1">
        <f t="shared" si="4"/>
        <v>6163.5999999999995</v>
      </c>
      <c r="U56" s="37">
        <v>45341</v>
      </c>
      <c r="V56" s="16">
        <f t="shared" si="5"/>
        <v>81320</v>
      </c>
      <c r="W56" s="24"/>
    </row>
    <row r="57" spans="1:23" ht="15.75" customHeight="1">
      <c r="A57" s="17"/>
      <c r="M57" s="31" t="s">
        <v>168</v>
      </c>
      <c r="N57" s="38">
        <v>45264</v>
      </c>
      <c r="O57" s="3">
        <v>174.3</v>
      </c>
      <c r="P57" s="3">
        <v>650</v>
      </c>
      <c r="Q57" s="8">
        <v>231.5</v>
      </c>
      <c r="R57" s="10">
        <v>650</v>
      </c>
      <c r="S57" s="15">
        <f t="shared" si="3"/>
        <v>0.32816982214572565</v>
      </c>
      <c r="T57" s="1">
        <f t="shared" si="4"/>
        <v>37179.999999999993</v>
      </c>
      <c r="U57" s="37">
        <v>45341</v>
      </c>
      <c r="V57" s="16">
        <f t="shared" si="5"/>
        <v>113295.00000000001</v>
      </c>
      <c r="W57" s="24"/>
    </row>
    <row r="58" spans="1:23" ht="15.75" customHeight="1">
      <c r="A58" s="17"/>
      <c r="M58" s="17" t="s">
        <v>169</v>
      </c>
      <c r="N58" s="35">
        <v>45306</v>
      </c>
      <c r="O58" s="3">
        <v>911.83</v>
      </c>
      <c r="P58" s="3">
        <v>175</v>
      </c>
      <c r="Q58" s="8">
        <v>815</v>
      </c>
      <c r="R58" s="10">
        <v>175</v>
      </c>
      <c r="S58" s="15">
        <f t="shared" si="3"/>
        <v>-0.10619304036936714</v>
      </c>
      <c r="T58" s="1">
        <f t="shared" si="4"/>
        <v>-16945.250000000007</v>
      </c>
      <c r="U58" s="37">
        <v>45341</v>
      </c>
      <c r="V58" s="16">
        <f t="shared" si="5"/>
        <v>159570.25</v>
      </c>
      <c r="W58" s="24"/>
    </row>
    <row r="59" spans="1:23" ht="15.75" customHeight="1">
      <c r="A59" s="17"/>
      <c r="M59" s="31" t="s">
        <v>170</v>
      </c>
      <c r="N59" s="32">
        <v>45240</v>
      </c>
      <c r="O59" s="3">
        <v>1249.19</v>
      </c>
      <c r="P59" s="3">
        <v>123</v>
      </c>
      <c r="Q59" s="8">
        <v>1139</v>
      </c>
      <c r="R59" s="10">
        <v>123</v>
      </c>
      <c r="S59" s="15">
        <f t="shared" si="3"/>
        <v>-8.8209159535378973E-2</v>
      </c>
      <c r="T59" s="1">
        <f t="shared" si="4"/>
        <v>-13553.370000000006</v>
      </c>
      <c r="U59" s="37">
        <v>45341</v>
      </c>
      <c r="V59" s="16">
        <f t="shared" si="5"/>
        <v>153650.37</v>
      </c>
      <c r="W59" s="24"/>
    </row>
    <row r="60" spans="1:23" ht="15.75" customHeight="1">
      <c r="A60" s="17"/>
      <c r="M60" s="31" t="s">
        <v>171</v>
      </c>
      <c r="N60" s="38">
        <v>45231</v>
      </c>
      <c r="O60" s="3">
        <v>219.18</v>
      </c>
      <c r="P60" s="3">
        <v>1000</v>
      </c>
      <c r="Q60" s="8">
        <v>227.7</v>
      </c>
      <c r="R60" s="10">
        <v>1000</v>
      </c>
      <c r="S60" s="15">
        <f t="shared" si="3"/>
        <v>3.8872159868601069E-2</v>
      </c>
      <c r="T60" s="1">
        <f t="shared" si="4"/>
        <v>8519.9999999999818</v>
      </c>
      <c r="U60" s="37">
        <v>45341</v>
      </c>
      <c r="V60" s="16">
        <f t="shared" si="5"/>
        <v>219180</v>
      </c>
      <c r="W60" s="24"/>
    </row>
    <row r="61" spans="1:23" ht="15.75" customHeight="1">
      <c r="A61" s="17"/>
      <c r="M61" s="17" t="s">
        <v>41</v>
      </c>
      <c r="N61" s="35">
        <v>45310</v>
      </c>
      <c r="O61" s="3">
        <v>285</v>
      </c>
      <c r="P61" s="3">
        <v>300</v>
      </c>
      <c r="Q61" s="8">
        <v>397.11</v>
      </c>
      <c r="R61" s="10">
        <v>300</v>
      </c>
      <c r="S61" s="15">
        <f t="shared" si="3"/>
        <v>0.39336842105263164</v>
      </c>
      <c r="T61" s="1">
        <f t="shared" si="4"/>
        <v>33633.000000000007</v>
      </c>
      <c r="U61" s="37">
        <v>45341</v>
      </c>
      <c r="V61" s="16">
        <f t="shared" si="5"/>
        <v>85500</v>
      </c>
      <c r="W61" s="24"/>
    </row>
    <row r="62" spans="1:23" ht="15.75" customHeight="1">
      <c r="A62" s="17"/>
      <c r="M62" s="17" t="s">
        <v>172</v>
      </c>
      <c r="N62" s="35">
        <v>45302</v>
      </c>
      <c r="O62" s="3">
        <v>205.2</v>
      </c>
      <c r="P62" s="3">
        <v>1000</v>
      </c>
      <c r="Q62" s="8">
        <v>200.2</v>
      </c>
      <c r="R62" s="10">
        <v>1000</v>
      </c>
      <c r="S62" s="15">
        <f t="shared" si="3"/>
        <v>-2.4366471734892786E-2</v>
      </c>
      <c r="T62" s="1">
        <f t="shared" si="4"/>
        <v>-5000</v>
      </c>
      <c r="U62" s="37">
        <v>45341</v>
      </c>
      <c r="V62" s="16">
        <f t="shared" si="5"/>
        <v>205200</v>
      </c>
      <c r="W62" s="24"/>
    </row>
    <row r="63" spans="1:23" ht="15.75" customHeight="1">
      <c r="A63" s="17"/>
      <c r="M63" s="17" t="s">
        <v>42</v>
      </c>
      <c r="N63" s="32">
        <v>45286</v>
      </c>
      <c r="O63" s="3">
        <v>294</v>
      </c>
      <c r="P63" s="3">
        <v>500</v>
      </c>
      <c r="Q63" s="8">
        <v>319.35000000000002</v>
      </c>
      <c r="R63" s="10">
        <v>500</v>
      </c>
      <c r="S63" s="15">
        <f t="shared" si="3"/>
        <v>8.6224489795918444E-2</v>
      </c>
      <c r="T63" s="1">
        <f t="shared" si="4"/>
        <v>12675.000000000011</v>
      </c>
      <c r="U63" s="37">
        <v>45341</v>
      </c>
      <c r="V63" s="16">
        <f t="shared" si="5"/>
        <v>147000</v>
      </c>
      <c r="W63" s="24"/>
    </row>
    <row r="64" spans="1:23" ht="15.75" customHeight="1">
      <c r="A64" s="17"/>
      <c r="M64" s="17" t="s">
        <v>42</v>
      </c>
      <c r="N64" s="35">
        <v>45303</v>
      </c>
      <c r="O64" s="3">
        <v>310.39999999999998</v>
      </c>
      <c r="P64" s="3">
        <v>500</v>
      </c>
      <c r="Q64" s="8">
        <v>319.35000000000002</v>
      </c>
      <c r="R64" s="10">
        <v>500</v>
      </c>
      <c r="S64" s="15">
        <f t="shared" si="3"/>
        <v>2.8833762886598086E-2</v>
      </c>
      <c r="T64" s="1">
        <f t="shared" si="4"/>
        <v>4475.0000000000227</v>
      </c>
      <c r="U64" s="37">
        <v>45341</v>
      </c>
      <c r="V64" s="16">
        <f t="shared" si="5"/>
        <v>155200</v>
      </c>
      <c r="W64" s="24"/>
    </row>
    <row r="65" spans="1:23" ht="15.75" customHeight="1">
      <c r="A65" s="17"/>
      <c r="M65" s="31" t="s">
        <v>173</v>
      </c>
      <c r="N65" s="32">
        <v>45260</v>
      </c>
      <c r="O65" s="3">
        <v>455</v>
      </c>
      <c r="P65" s="3">
        <v>250</v>
      </c>
      <c r="Q65" s="8">
        <v>476.64</v>
      </c>
      <c r="R65" s="10">
        <v>250</v>
      </c>
      <c r="S65" s="15">
        <f t="shared" si="3"/>
        <v>4.7560439560439531E-2</v>
      </c>
      <c r="T65" s="1">
        <f t="shared" si="4"/>
        <v>5409.9999999999964</v>
      </c>
      <c r="U65" s="37">
        <v>45341</v>
      </c>
      <c r="V65" s="16">
        <f t="shared" si="5"/>
        <v>113750</v>
      </c>
      <c r="W65" s="24"/>
    </row>
    <row r="66" spans="1:23" ht="15.75" customHeight="1">
      <c r="A66" s="17"/>
      <c r="M66" s="31" t="s">
        <v>58</v>
      </c>
      <c r="N66" s="32">
        <v>45252</v>
      </c>
      <c r="O66" s="3">
        <v>546.66</v>
      </c>
      <c r="P66" s="3">
        <v>200</v>
      </c>
      <c r="Q66" s="8">
        <v>536.13</v>
      </c>
      <c r="R66" s="10">
        <v>200</v>
      </c>
      <c r="S66" s="15">
        <f t="shared" si="3"/>
        <v>-1.9262430029634459E-2</v>
      </c>
      <c r="T66" s="1">
        <f t="shared" si="4"/>
        <v>-2105.9999999999945</v>
      </c>
      <c r="U66" s="37">
        <v>45341</v>
      </c>
      <c r="V66" s="16">
        <f t="shared" si="5"/>
        <v>109332</v>
      </c>
      <c r="W66" s="24"/>
    </row>
    <row r="67" spans="1:23" ht="15.75" customHeight="1">
      <c r="A67" s="17"/>
      <c r="M67" s="31" t="s">
        <v>174</v>
      </c>
      <c r="N67" s="32">
        <v>45252</v>
      </c>
      <c r="O67" s="3">
        <v>996.55</v>
      </c>
      <c r="P67" s="3">
        <v>100</v>
      </c>
      <c r="Q67" s="8">
        <v>1178</v>
      </c>
      <c r="R67" s="10">
        <v>100</v>
      </c>
      <c r="S67" s="15">
        <f t="shared" si="3"/>
        <v>0.18207816968541471</v>
      </c>
      <c r="T67" s="1">
        <f t="shared" si="4"/>
        <v>18145.000000000004</v>
      </c>
      <c r="U67" s="37">
        <v>45341</v>
      </c>
      <c r="V67" s="16">
        <f t="shared" si="5"/>
        <v>99655</v>
      </c>
      <c r="W67" s="24"/>
    </row>
    <row r="68" spans="1:23" ht="15.75" customHeight="1">
      <c r="A68" s="17"/>
      <c r="M68" s="43" t="s">
        <v>175</v>
      </c>
      <c r="N68" s="38">
        <v>45177</v>
      </c>
      <c r="O68" s="3">
        <v>1085</v>
      </c>
      <c r="P68" s="3">
        <v>200</v>
      </c>
      <c r="Q68" s="8">
        <v>1447.8</v>
      </c>
      <c r="R68" s="10">
        <v>200</v>
      </c>
      <c r="S68" s="15">
        <f t="shared" si="3"/>
        <v>0.33437788018433173</v>
      </c>
      <c r="T68" s="1">
        <f t="shared" si="4"/>
        <v>72559.999999999985</v>
      </c>
      <c r="U68" s="37">
        <v>45345</v>
      </c>
      <c r="V68" s="16">
        <f t="shared" si="5"/>
        <v>217000</v>
      </c>
      <c r="W68" s="24"/>
    </row>
    <row r="69" spans="1:23" ht="15.75" customHeight="1">
      <c r="A69" s="17"/>
      <c r="M69" s="43" t="s">
        <v>176</v>
      </c>
      <c r="N69" s="38">
        <v>45203</v>
      </c>
      <c r="O69" s="3">
        <v>166.98</v>
      </c>
      <c r="P69" s="3">
        <v>900</v>
      </c>
      <c r="Q69" s="8">
        <v>300.24</v>
      </c>
      <c r="R69" s="10">
        <v>900</v>
      </c>
      <c r="S69" s="15">
        <f t="shared" si="3"/>
        <v>0.79805964786201955</v>
      </c>
      <c r="T69" s="1">
        <f t="shared" si="4"/>
        <v>119934.00000000001</v>
      </c>
      <c r="U69" s="37">
        <v>45345</v>
      </c>
      <c r="V69" s="16">
        <f t="shared" si="5"/>
        <v>150282</v>
      </c>
      <c r="W69" s="24"/>
    </row>
    <row r="70" spans="1:23" ht="15.75" customHeight="1">
      <c r="A70" s="17"/>
      <c r="M70" s="43" t="s">
        <v>17</v>
      </c>
      <c r="N70" s="38">
        <v>45264</v>
      </c>
      <c r="O70" s="3">
        <v>267.18</v>
      </c>
      <c r="P70" s="3">
        <v>375</v>
      </c>
      <c r="Q70" s="8">
        <v>368.15</v>
      </c>
      <c r="R70" s="10">
        <v>375</v>
      </c>
      <c r="S70" s="15">
        <f t="shared" si="3"/>
        <v>0.37791002320532957</v>
      </c>
      <c r="T70" s="1">
        <f t="shared" si="4"/>
        <v>37863.749999999985</v>
      </c>
      <c r="U70" s="37">
        <v>45345</v>
      </c>
      <c r="V70" s="16">
        <f t="shared" si="5"/>
        <v>100192.5</v>
      </c>
      <c r="W70" s="24"/>
    </row>
    <row r="71" spans="1:23" ht="15.75" customHeight="1">
      <c r="A71" s="17"/>
      <c r="M71" s="44" t="s">
        <v>177</v>
      </c>
      <c r="N71" s="35">
        <v>45327</v>
      </c>
      <c r="O71" s="3">
        <v>266.3</v>
      </c>
      <c r="P71" s="3">
        <v>500</v>
      </c>
      <c r="Q71" s="8">
        <v>279.25</v>
      </c>
      <c r="R71" s="10">
        <v>500</v>
      </c>
      <c r="S71" s="15">
        <f t="shared" si="3"/>
        <v>4.8629365377393874E-2</v>
      </c>
      <c r="T71" s="1">
        <f t="shared" si="4"/>
        <v>6474.9999999999945</v>
      </c>
      <c r="U71" s="37">
        <v>45345</v>
      </c>
      <c r="V71" s="16">
        <f t="shared" si="5"/>
        <v>133150</v>
      </c>
      <c r="W71" s="24"/>
    </row>
    <row r="72" spans="1:23" ht="15.75" customHeight="1">
      <c r="A72" s="17"/>
      <c r="M72" s="44" t="s">
        <v>178</v>
      </c>
      <c r="N72" s="32">
        <v>45273</v>
      </c>
      <c r="O72" s="3">
        <v>65.45</v>
      </c>
      <c r="P72" s="3">
        <v>2000</v>
      </c>
      <c r="Q72" s="8">
        <v>70.650000000000006</v>
      </c>
      <c r="R72" s="10">
        <v>2000</v>
      </c>
      <c r="S72" s="15">
        <f t="shared" si="3"/>
        <v>7.9449961802903021E-2</v>
      </c>
      <c r="T72" s="1">
        <f t="shared" si="4"/>
        <v>10400.000000000005</v>
      </c>
      <c r="U72" s="37">
        <v>45345</v>
      </c>
      <c r="V72" s="16">
        <f t="shared" si="5"/>
        <v>130900</v>
      </c>
      <c r="W72" s="24"/>
    </row>
    <row r="73" spans="1:23" ht="15.75" customHeight="1">
      <c r="A73" s="17"/>
      <c r="M73" s="44" t="s">
        <v>179</v>
      </c>
      <c r="N73" s="35">
        <v>45336</v>
      </c>
      <c r="O73" s="3">
        <v>1970</v>
      </c>
      <c r="P73" s="3">
        <v>80</v>
      </c>
      <c r="Q73" s="8">
        <v>1988.91</v>
      </c>
      <c r="R73" s="10">
        <v>80</v>
      </c>
      <c r="S73" s="15">
        <f t="shared" si="3"/>
        <v>9.5989847715736449E-3</v>
      </c>
      <c r="T73" s="1">
        <f t="shared" si="4"/>
        <v>1512.8000000000065</v>
      </c>
      <c r="U73" s="37">
        <v>45345</v>
      </c>
      <c r="V73" s="16">
        <f t="shared" si="5"/>
        <v>157600</v>
      </c>
      <c r="W73" s="24"/>
    </row>
    <row r="74" spans="1:23" ht="15.75" customHeight="1">
      <c r="A74" s="17"/>
      <c r="M74" s="44" t="s">
        <v>180</v>
      </c>
      <c r="N74" s="38">
        <v>45267</v>
      </c>
      <c r="O74" s="3">
        <v>276</v>
      </c>
      <c r="P74" s="3">
        <v>460</v>
      </c>
      <c r="Q74" s="8">
        <v>405.27</v>
      </c>
      <c r="R74" s="10">
        <v>460</v>
      </c>
      <c r="S74" s="15">
        <f t="shared" si="3"/>
        <v>0.4683695652173912</v>
      </c>
      <c r="T74" s="1">
        <f t="shared" si="4"/>
        <v>59464.19999999999</v>
      </c>
      <c r="U74" s="37">
        <v>45345</v>
      </c>
      <c r="V74" s="16">
        <f t="shared" si="5"/>
        <v>126960</v>
      </c>
      <c r="W74" s="24"/>
    </row>
    <row r="75" spans="1:23" ht="15.75" customHeight="1">
      <c r="A75" s="17"/>
      <c r="M75" s="44" t="s">
        <v>65</v>
      </c>
      <c r="N75" s="35">
        <v>45309</v>
      </c>
      <c r="O75" s="3">
        <v>792</v>
      </c>
      <c r="P75" s="3">
        <v>300</v>
      </c>
      <c r="Q75" s="8">
        <v>1096.9000000000001</v>
      </c>
      <c r="R75" s="10">
        <v>300</v>
      </c>
      <c r="S75" s="15">
        <f t="shared" si="3"/>
        <v>0.38497474747474758</v>
      </c>
      <c r="T75" s="1">
        <f t="shared" si="4"/>
        <v>91470.000000000029</v>
      </c>
      <c r="U75" s="37">
        <v>45345</v>
      </c>
      <c r="V75" s="16">
        <f t="shared" si="5"/>
        <v>237600</v>
      </c>
      <c r="W75" s="24"/>
    </row>
    <row r="76" spans="1:23" ht="15.75" customHeight="1">
      <c r="A76" s="17"/>
      <c r="M76" s="43" t="s">
        <v>181</v>
      </c>
      <c r="N76" s="32">
        <v>45240</v>
      </c>
      <c r="O76" s="3">
        <v>43.85</v>
      </c>
      <c r="P76" s="3">
        <v>4500</v>
      </c>
      <c r="Q76" s="8">
        <v>59.8</v>
      </c>
      <c r="R76" s="10">
        <v>4500</v>
      </c>
      <c r="S76" s="15">
        <f t="shared" si="3"/>
        <v>0.36374002280501705</v>
      </c>
      <c r="T76" s="1">
        <f t="shared" si="4"/>
        <v>71774.999999999985</v>
      </c>
      <c r="U76" s="37">
        <v>45345</v>
      </c>
      <c r="V76" s="16">
        <f t="shared" si="5"/>
        <v>197325</v>
      </c>
      <c r="W76" s="24"/>
    </row>
    <row r="77" spans="1:23" ht="15.75" customHeight="1">
      <c r="A77" s="17"/>
      <c r="M77" s="44" t="s">
        <v>77</v>
      </c>
      <c r="N77" s="32">
        <v>45278</v>
      </c>
      <c r="O77" s="3">
        <v>177.8</v>
      </c>
      <c r="P77" s="3">
        <v>620</v>
      </c>
      <c r="Q77" s="8">
        <v>193.05</v>
      </c>
      <c r="R77" s="10">
        <v>620</v>
      </c>
      <c r="S77" s="15">
        <f t="shared" si="3"/>
        <v>8.5770528683914507E-2</v>
      </c>
      <c r="T77" s="1">
        <f t="shared" si="4"/>
        <v>9455</v>
      </c>
      <c r="U77" s="37">
        <v>45345</v>
      </c>
      <c r="V77" s="16">
        <f t="shared" si="5"/>
        <v>110236</v>
      </c>
      <c r="W77" s="24"/>
    </row>
    <row r="78" spans="1:23" ht="15.75" customHeight="1">
      <c r="A78" s="17"/>
      <c r="M78" s="43" t="s">
        <v>182</v>
      </c>
      <c r="N78" s="38">
        <v>45264</v>
      </c>
      <c r="O78" s="3">
        <v>960</v>
      </c>
      <c r="P78" s="3">
        <v>110</v>
      </c>
      <c r="Q78" s="8">
        <v>1166.5999999999999</v>
      </c>
      <c r="R78" s="10">
        <v>110</v>
      </c>
      <c r="S78" s="15">
        <f t="shared" si="3"/>
        <v>0.21520833333333322</v>
      </c>
      <c r="T78" s="1">
        <f t="shared" si="4"/>
        <v>22725.999999999989</v>
      </c>
      <c r="U78" s="37">
        <v>45345</v>
      </c>
      <c r="V78" s="16">
        <f t="shared" si="5"/>
        <v>105600</v>
      </c>
      <c r="W78" s="24"/>
    </row>
    <row r="79" spans="1:23" ht="15.75" customHeight="1">
      <c r="A79" s="17"/>
      <c r="M79" s="44" t="s">
        <v>183</v>
      </c>
      <c r="N79" s="35">
        <v>45300</v>
      </c>
      <c r="O79" s="3">
        <v>1089</v>
      </c>
      <c r="P79" s="3">
        <v>100</v>
      </c>
      <c r="Q79" s="8">
        <v>1351.4</v>
      </c>
      <c r="R79" s="10">
        <v>100</v>
      </c>
      <c r="S79" s="15">
        <f t="shared" si="3"/>
        <v>0.24095500459136829</v>
      </c>
      <c r="T79" s="1">
        <f t="shared" si="4"/>
        <v>26240.000000000007</v>
      </c>
      <c r="U79" s="37">
        <v>45345</v>
      </c>
      <c r="V79" s="16">
        <f t="shared" si="5"/>
        <v>108900</v>
      </c>
      <c r="W79" s="24"/>
    </row>
    <row r="80" spans="1:23" ht="15.75" customHeight="1">
      <c r="A80" s="17"/>
      <c r="M80" s="43" t="s">
        <v>184</v>
      </c>
      <c r="N80" s="45">
        <v>45215</v>
      </c>
      <c r="O80" s="46">
        <v>273</v>
      </c>
      <c r="P80" s="46">
        <v>800</v>
      </c>
      <c r="Q80" s="8">
        <v>294.2</v>
      </c>
      <c r="R80" s="10">
        <v>800</v>
      </c>
      <c r="S80" s="15">
        <f t="shared" si="3"/>
        <v>7.7655677655677616E-2</v>
      </c>
      <c r="T80" s="1">
        <f t="shared" si="4"/>
        <v>16959.999999999993</v>
      </c>
      <c r="U80" s="37">
        <v>45345</v>
      </c>
      <c r="V80" s="16">
        <f t="shared" si="5"/>
        <v>218400</v>
      </c>
      <c r="W80" s="24"/>
    </row>
    <row r="81" spans="1:23" ht="15.75" customHeight="1">
      <c r="A81" s="17"/>
      <c r="M81" s="44" t="s">
        <v>59</v>
      </c>
      <c r="N81" s="32">
        <v>45287</v>
      </c>
      <c r="O81" s="3">
        <v>1399.28</v>
      </c>
      <c r="P81" s="3">
        <v>100</v>
      </c>
      <c r="Q81" s="8">
        <v>1730</v>
      </c>
      <c r="R81" s="10">
        <v>100</v>
      </c>
      <c r="S81" s="15">
        <f t="shared" si="3"/>
        <v>0.23635012292035903</v>
      </c>
      <c r="T81" s="1">
        <f t="shared" si="4"/>
        <v>33072</v>
      </c>
      <c r="U81" s="37">
        <v>45345</v>
      </c>
      <c r="V81" s="16">
        <f t="shared" si="5"/>
        <v>139928</v>
      </c>
      <c r="W81" s="24"/>
    </row>
    <row r="82" spans="1:23" ht="15.75" customHeight="1">
      <c r="A82" s="17"/>
      <c r="M82" s="43" t="s">
        <v>185</v>
      </c>
      <c r="N82" s="38">
        <v>45238</v>
      </c>
      <c r="O82" s="3">
        <v>67</v>
      </c>
      <c r="P82" s="3">
        <v>1300</v>
      </c>
      <c r="Q82" s="8">
        <v>88.1</v>
      </c>
      <c r="R82" s="10">
        <v>1300</v>
      </c>
      <c r="S82" s="15">
        <f t="shared" si="3"/>
        <v>0.31492537313432828</v>
      </c>
      <c r="T82" s="1">
        <f t="shared" si="4"/>
        <v>27429.999999999993</v>
      </c>
      <c r="U82" s="37">
        <v>45345</v>
      </c>
      <c r="V82" s="16">
        <f t="shared" si="5"/>
        <v>87100</v>
      </c>
      <c r="W82" s="24"/>
    </row>
    <row r="83" spans="1:23" ht="15.75" customHeight="1">
      <c r="A83" s="17"/>
      <c r="M83" s="31" t="s">
        <v>75</v>
      </c>
      <c r="N83" s="32">
        <v>45247</v>
      </c>
      <c r="O83" s="3">
        <v>424.4</v>
      </c>
      <c r="P83" s="3">
        <v>570</v>
      </c>
      <c r="Q83" s="8">
        <v>536.70000000000005</v>
      </c>
      <c r="R83" s="10">
        <v>570</v>
      </c>
      <c r="S83" s="15">
        <f t="shared" si="3"/>
        <v>0.26460885956644692</v>
      </c>
      <c r="T83" s="1">
        <f t="shared" si="4"/>
        <v>64011.000000000036</v>
      </c>
      <c r="U83" s="37">
        <v>45394</v>
      </c>
      <c r="V83" s="16">
        <f t="shared" si="5"/>
        <v>241908</v>
      </c>
      <c r="W83" s="24"/>
    </row>
    <row r="84" spans="1:23" ht="15.75" customHeight="1">
      <c r="A84" s="17"/>
      <c r="M84" s="31" t="s">
        <v>82</v>
      </c>
      <c r="N84" s="32">
        <v>45259</v>
      </c>
      <c r="O84" s="3">
        <v>58.4</v>
      </c>
      <c r="P84" s="3">
        <v>2100</v>
      </c>
      <c r="Q84" s="8">
        <v>71.3</v>
      </c>
      <c r="R84" s="10">
        <v>2100</v>
      </c>
      <c r="S84" s="15">
        <f t="shared" si="3"/>
        <v>0.22089041095890408</v>
      </c>
      <c r="T84" s="1">
        <f t="shared" si="4"/>
        <v>27089.999999999996</v>
      </c>
      <c r="U84" s="37">
        <v>45394</v>
      </c>
      <c r="V84" s="16">
        <f t="shared" si="5"/>
        <v>122640</v>
      </c>
      <c r="W84" s="24"/>
    </row>
    <row r="85" spans="1:23" ht="15.75" customHeight="1">
      <c r="A85" s="17"/>
      <c r="M85" s="17" t="s">
        <v>82</v>
      </c>
      <c r="N85" s="35">
        <v>45337</v>
      </c>
      <c r="O85" s="3">
        <v>67.77</v>
      </c>
      <c r="P85" s="3">
        <v>2500</v>
      </c>
      <c r="Q85" s="8">
        <v>71.3</v>
      </c>
      <c r="R85" s="10">
        <v>2500</v>
      </c>
      <c r="S85" s="15">
        <f t="shared" si="3"/>
        <v>5.2087944518223427E-2</v>
      </c>
      <c r="T85" s="1">
        <f t="shared" si="4"/>
        <v>8825.0000000000036</v>
      </c>
      <c r="U85" s="37">
        <v>45394</v>
      </c>
      <c r="V85" s="16">
        <f t="shared" si="5"/>
        <v>169425</v>
      </c>
      <c r="W85" s="24"/>
    </row>
    <row r="86" spans="1:23" ht="15.75" customHeight="1">
      <c r="A86" s="17"/>
      <c r="S86" s="15"/>
      <c r="V86" s="16"/>
    </row>
    <row r="87" spans="1:23" ht="15.75" customHeight="1">
      <c r="A87" s="17"/>
      <c r="S87" s="15"/>
      <c r="V87" s="16"/>
    </row>
    <row r="88" spans="1:23" ht="15.75" customHeight="1">
      <c r="A88" s="17"/>
      <c r="S88" s="15"/>
      <c r="V88" s="16"/>
    </row>
    <row r="89" spans="1:23" ht="15.75" customHeight="1">
      <c r="A89" s="17"/>
      <c r="S89" s="15"/>
      <c r="V89" s="16"/>
    </row>
    <row r="90" spans="1:23" ht="15.75" customHeight="1">
      <c r="A90" s="17"/>
      <c r="S90" s="15"/>
      <c r="V90" s="16"/>
    </row>
    <row r="91" spans="1:23" ht="15.75" customHeight="1">
      <c r="A91" s="17"/>
      <c r="S91" s="15"/>
      <c r="V91" s="16"/>
    </row>
    <row r="92" spans="1:23" ht="15.75" customHeight="1">
      <c r="A92" s="17"/>
      <c r="S92" s="15"/>
      <c r="V92" s="16"/>
    </row>
    <row r="93" spans="1:23" ht="15.75" customHeight="1">
      <c r="A93" s="17"/>
      <c r="S93" s="15"/>
      <c r="V93" s="16"/>
    </row>
    <row r="94" spans="1:23" ht="15.75" customHeight="1">
      <c r="A94" s="17"/>
      <c r="S94" s="15"/>
      <c r="V94" s="16"/>
    </row>
    <row r="95" spans="1:23" ht="15.75" customHeight="1">
      <c r="A95" s="17"/>
      <c r="S95" s="15"/>
      <c r="V95" s="16"/>
    </row>
    <row r="96" spans="1:23" ht="15.75" customHeight="1">
      <c r="A96" s="17"/>
      <c r="S96" s="15"/>
      <c r="V96" s="16"/>
    </row>
    <row r="97" spans="1:22" ht="15.75" customHeight="1">
      <c r="A97" s="17"/>
      <c r="S97" s="15"/>
      <c r="V97" s="16"/>
    </row>
    <row r="98" spans="1:22" ht="15.75" customHeight="1">
      <c r="A98" s="17"/>
      <c r="S98" s="15"/>
      <c r="V98" s="16"/>
    </row>
    <row r="99" spans="1:22" ht="15.75" customHeight="1">
      <c r="A99" s="17"/>
      <c r="S99" s="15"/>
      <c r="V99" s="16"/>
    </row>
    <row r="100" spans="1:22" ht="15.75" customHeight="1">
      <c r="A100" s="17"/>
      <c r="S100" s="15"/>
      <c r="V100" s="16"/>
    </row>
    <row r="101" spans="1:22" ht="15.75" customHeight="1">
      <c r="A101" s="17"/>
      <c r="S101" s="15"/>
      <c r="V101" s="16"/>
    </row>
    <row r="102" spans="1:22" ht="15.75" customHeight="1">
      <c r="A102" s="17"/>
      <c r="S102" s="15"/>
      <c r="V102" s="16"/>
    </row>
    <row r="103" spans="1:22" ht="15.75" customHeight="1">
      <c r="A103" s="17"/>
      <c r="S103" s="15"/>
      <c r="V103" s="16"/>
    </row>
    <row r="104" spans="1:22" ht="15.75" customHeight="1">
      <c r="A104" s="17"/>
      <c r="S104" s="15"/>
      <c r="V104" s="16"/>
    </row>
    <row r="105" spans="1:22" ht="15.75" customHeight="1">
      <c r="A105" s="17"/>
      <c r="S105" s="15"/>
      <c r="V105" s="16"/>
    </row>
    <row r="106" spans="1:22" ht="15.75" customHeight="1">
      <c r="A106" s="17"/>
      <c r="S106" s="15"/>
      <c r="V106" s="16"/>
    </row>
    <row r="107" spans="1:22" ht="15.75" customHeight="1">
      <c r="A107" s="17"/>
      <c r="S107" s="15"/>
      <c r="V107" s="16"/>
    </row>
    <row r="108" spans="1:22" ht="15.75" customHeight="1">
      <c r="A108" s="17"/>
      <c r="S108" s="15"/>
      <c r="V108" s="16"/>
    </row>
    <row r="109" spans="1:22" ht="15.75" customHeight="1">
      <c r="A109" s="17"/>
      <c r="S109" s="15"/>
      <c r="V109" s="16"/>
    </row>
    <row r="110" spans="1:22" ht="15.75" customHeight="1">
      <c r="A110" s="17"/>
      <c r="S110" s="15"/>
      <c r="V110" s="16"/>
    </row>
    <row r="111" spans="1:22" ht="15.75" customHeight="1">
      <c r="A111" s="17"/>
      <c r="S111" s="15"/>
      <c r="V111" s="16"/>
    </row>
    <row r="112" spans="1:22" ht="15.75" customHeight="1">
      <c r="A112" s="17"/>
      <c r="S112" s="15"/>
      <c r="V112" s="16"/>
    </row>
    <row r="113" spans="1:22" ht="15.75" customHeight="1">
      <c r="A113" s="17"/>
      <c r="S113" s="15"/>
      <c r="V113" s="16"/>
    </row>
    <row r="114" spans="1:22" ht="15.75" customHeight="1">
      <c r="A114" s="17"/>
      <c r="S114" s="15"/>
      <c r="V114" s="16"/>
    </row>
    <row r="115" spans="1:22" ht="15.75" customHeight="1">
      <c r="A115" s="17"/>
      <c r="S115" s="15"/>
      <c r="V115" s="16"/>
    </row>
    <row r="116" spans="1:22" ht="15.75" customHeight="1">
      <c r="A116" s="17"/>
      <c r="S116" s="15"/>
      <c r="V116" s="16"/>
    </row>
    <row r="117" spans="1:22" ht="15.75" customHeight="1">
      <c r="A117" s="17"/>
      <c r="S117" s="15"/>
      <c r="V117" s="16"/>
    </row>
    <row r="118" spans="1:22" ht="15.75" customHeight="1">
      <c r="A118" s="17"/>
      <c r="S118" s="15"/>
      <c r="V118" s="16"/>
    </row>
    <row r="119" spans="1:22" ht="15.75" customHeight="1">
      <c r="A119" s="17"/>
      <c r="S119" s="15"/>
      <c r="V119" s="16"/>
    </row>
    <row r="120" spans="1:22" ht="15.75" customHeight="1">
      <c r="A120" s="17"/>
      <c r="S120" s="15"/>
      <c r="V120" s="16"/>
    </row>
    <row r="121" spans="1:22" ht="15.75" customHeight="1">
      <c r="A121" s="17"/>
      <c r="S121" s="15"/>
      <c r="V121" s="16"/>
    </row>
    <row r="122" spans="1:22" ht="15.75" customHeight="1">
      <c r="A122" s="17"/>
      <c r="S122" s="15"/>
      <c r="V122" s="16"/>
    </row>
    <row r="123" spans="1:22" ht="15.75" customHeight="1">
      <c r="A123" s="17"/>
      <c r="S123" s="15"/>
      <c r="V123" s="16"/>
    </row>
    <row r="124" spans="1:22" ht="15.75" customHeight="1">
      <c r="A124" s="17"/>
      <c r="S124" s="15"/>
      <c r="V124" s="16"/>
    </row>
    <row r="125" spans="1:22" ht="15.75" customHeight="1">
      <c r="A125" s="17"/>
      <c r="S125" s="15"/>
      <c r="V125" s="16"/>
    </row>
    <row r="126" spans="1:22" ht="15.75" customHeight="1">
      <c r="A126" s="17"/>
      <c r="S126" s="15"/>
      <c r="V126" s="16"/>
    </row>
    <row r="127" spans="1:22" ht="15.75" customHeight="1">
      <c r="A127" s="17"/>
      <c r="S127" s="15"/>
      <c r="V127" s="16"/>
    </row>
    <row r="128" spans="1:22" ht="15.75" customHeight="1">
      <c r="A128" s="17"/>
      <c r="S128" s="15"/>
      <c r="V128" s="16"/>
    </row>
    <row r="129" spans="1:22" ht="15.75" customHeight="1">
      <c r="A129" s="17"/>
      <c r="S129" s="15"/>
      <c r="V129" s="16"/>
    </row>
    <row r="130" spans="1:22" ht="15.75" customHeight="1">
      <c r="A130" s="17"/>
      <c r="S130" s="15"/>
      <c r="V130" s="16"/>
    </row>
    <row r="131" spans="1:22" ht="15.75" customHeight="1">
      <c r="A131" s="17"/>
      <c r="S131" s="15"/>
      <c r="V131" s="16"/>
    </row>
    <row r="132" spans="1:22" ht="15.75" customHeight="1">
      <c r="A132" s="17"/>
      <c r="S132" s="15"/>
      <c r="V132" s="16"/>
    </row>
    <row r="133" spans="1:22" ht="15.75" customHeight="1">
      <c r="A133" s="17"/>
      <c r="S133" s="15"/>
      <c r="V133" s="16"/>
    </row>
    <row r="134" spans="1:22" ht="15.75" customHeight="1">
      <c r="A134" s="17"/>
      <c r="S134" s="15"/>
      <c r="V134" s="16"/>
    </row>
    <row r="135" spans="1:22" ht="15.75" customHeight="1">
      <c r="A135" s="17"/>
      <c r="S135" s="15"/>
      <c r="V135" s="16"/>
    </row>
    <row r="136" spans="1:22" ht="15.75" customHeight="1">
      <c r="A136" s="17"/>
      <c r="S136" s="15"/>
      <c r="V136" s="16"/>
    </row>
    <row r="137" spans="1:22" ht="15.75" customHeight="1">
      <c r="A137" s="17"/>
      <c r="S137" s="15"/>
      <c r="V137" s="16"/>
    </row>
    <row r="138" spans="1:22" ht="15.75" customHeight="1">
      <c r="A138" s="17"/>
      <c r="S138" s="15"/>
      <c r="V138" s="16"/>
    </row>
    <row r="139" spans="1:22" ht="15.75" customHeight="1">
      <c r="A139" s="17"/>
      <c r="S139" s="15"/>
      <c r="V139" s="16"/>
    </row>
    <row r="140" spans="1:22" ht="15.75" customHeight="1">
      <c r="A140" s="17"/>
      <c r="S140" s="15"/>
      <c r="V140" s="16"/>
    </row>
    <row r="141" spans="1:22" ht="15.75" customHeight="1">
      <c r="A141" s="17"/>
      <c r="S141" s="15"/>
      <c r="V141" s="16"/>
    </row>
    <row r="142" spans="1:22" ht="15.75" customHeight="1">
      <c r="A142" s="17"/>
      <c r="S142" s="15"/>
      <c r="V142" s="16"/>
    </row>
    <row r="143" spans="1:22" ht="15.75" customHeight="1">
      <c r="A143" s="17"/>
      <c r="S143" s="15"/>
      <c r="V143" s="16"/>
    </row>
    <row r="144" spans="1:22" ht="15.75" customHeight="1">
      <c r="A144" s="17"/>
      <c r="S144" s="15"/>
      <c r="V144" s="16"/>
    </row>
    <row r="145" spans="1:22" ht="15.75" customHeight="1">
      <c r="A145" s="17"/>
      <c r="S145" s="15"/>
      <c r="V145" s="16"/>
    </row>
    <row r="146" spans="1:22" ht="15.75" customHeight="1">
      <c r="A146" s="17"/>
      <c r="S146" s="15"/>
      <c r="V146" s="16"/>
    </row>
    <row r="147" spans="1:22" ht="15.75" customHeight="1">
      <c r="A147" s="17"/>
      <c r="S147" s="15"/>
      <c r="V147" s="16"/>
    </row>
    <row r="148" spans="1:22" ht="15.75" customHeight="1">
      <c r="A148" s="17"/>
      <c r="S148" s="15"/>
      <c r="V148" s="16"/>
    </row>
    <row r="149" spans="1:22" ht="15.75" customHeight="1">
      <c r="A149" s="17"/>
      <c r="S149" s="15"/>
      <c r="V149" s="16"/>
    </row>
    <row r="150" spans="1:22" ht="15.75" customHeight="1">
      <c r="A150" s="17"/>
      <c r="S150" s="15"/>
      <c r="V150" s="16"/>
    </row>
    <row r="151" spans="1:22" ht="15.75" customHeight="1">
      <c r="A151" s="17"/>
      <c r="S151" s="15"/>
      <c r="V151" s="16"/>
    </row>
    <row r="152" spans="1:22" ht="15.75" customHeight="1">
      <c r="A152" s="17"/>
      <c r="S152" s="15"/>
      <c r="V152" s="16"/>
    </row>
    <row r="153" spans="1:22" ht="15.75" customHeight="1">
      <c r="A153" s="17"/>
      <c r="S153" s="15"/>
      <c r="V153" s="16"/>
    </row>
    <row r="154" spans="1:22" ht="15.75" customHeight="1">
      <c r="A154" s="17"/>
      <c r="S154" s="15"/>
      <c r="V154" s="16"/>
    </row>
    <row r="155" spans="1:22" ht="15.75" customHeight="1">
      <c r="A155" s="17"/>
      <c r="S155" s="15"/>
      <c r="V155" s="16"/>
    </row>
    <row r="156" spans="1:22" ht="15.75" customHeight="1">
      <c r="A156" s="17"/>
      <c r="S156" s="15"/>
      <c r="V156" s="16"/>
    </row>
    <row r="157" spans="1:22" ht="15.75" customHeight="1">
      <c r="A157" s="17"/>
      <c r="S157" s="15"/>
      <c r="V157" s="16"/>
    </row>
    <row r="158" spans="1:22" ht="15.75" customHeight="1">
      <c r="A158" s="17"/>
      <c r="S158" s="15"/>
      <c r="V158" s="16"/>
    </row>
    <row r="159" spans="1:22" ht="15.75" customHeight="1">
      <c r="A159" s="17"/>
      <c r="S159" s="15"/>
      <c r="V159" s="16"/>
    </row>
    <row r="160" spans="1:22" ht="15.75" customHeight="1">
      <c r="A160" s="17"/>
      <c r="S160" s="15"/>
      <c r="V160" s="16"/>
    </row>
    <row r="161" spans="1:22" ht="15.75" customHeight="1">
      <c r="A161" s="17"/>
      <c r="S161" s="15"/>
      <c r="V161" s="16"/>
    </row>
    <row r="162" spans="1:22" ht="15.75" customHeight="1">
      <c r="A162" s="17"/>
      <c r="S162" s="15"/>
      <c r="V162" s="16"/>
    </row>
    <row r="163" spans="1:22" ht="15.75" customHeight="1">
      <c r="A163" s="17"/>
      <c r="S163" s="15"/>
      <c r="V163" s="16"/>
    </row>
    <row r="164" spans="1:22" ht="15.75" customHeight="1">
      <c r="A164" s="17"/>
      <c r="S164" s="15"/>
      <c r="V164" s="16"/>
    </row>
    <row r="165" spans="1:22" ht="15.75" customHeight="1">
      <c r="A165" s="17"/>
      <c r="S165" s="15"/>
      <c r="V165" s="16"/>
    </row>
    <row r="166" spans="1:22" ht="15.75" customHeight="1">
      <c r="A166" s="17"/>
      <c r="S166" s="15"/>
      <c r="V166" s="16"/>
    </row>
    <row r="167" spans="1:22" ht="15.75" customHeight="1">
      <c r="A167" s="17"/>
      <c r="S167" s="15"/>
      <c r="V167" s="16"/>
    </row>
    <row r="168" spans="1:22" ht="15.75" customHeight="1">
      <c r="A168" s="17"/>
      <c r="S168" s="15"/>
      <c r="V168" s="16"/>
    </row>
    <row r="169" spans="1:22" ht="15.75" customHeight="1">
      <c r="A169" s="17"/>
      <c r="S169" s="15"/>
      <c r="V169" s="16"/>
    </row>
    <row r="170" spans="1:22" ht="15.75" customHeight="1">
      <c r="A170" s="17"/>
      <c r="S170" s="15"/>
      <c r="V170" s="16"/>
    </row>
    <row r="171" spans="1:22" ht="15.75" customHeight="1">
      <c r="A171" s="17"/>
      <c r="S171" s="15"/>
      <c r="V171" s="16"/>
    </row>
    <row r="172" spans="1:22" ht="15.75" customHeight="1">
      <c r="A172" s="17"/>
      <c r="S172" s="15"/>
      <c r="V172" s="16"/>
    </row>
    <row r="173" spans="1:22" ht="15.75" customHeight="1">
      <c r="A173" s="17"/>
      <c r="S173" s="15"/>
      <c r="V173" s="16"/>
    </row>
    <row r="174" spans="1:22" ht="15.75" customHeight="1">
      <c r="A174" s="17"/>
      <c r="S174" s="15"/>
      <c r="V174" s="16"/>
    </row>
    <row r="175" spans="1:22" ht="15.75" customHeight="1">
      <c r="A175" s="17"/>
      <c r="S175" s="15"/>
      <c r="V175" s="16"/>
    </row>
    <row r="176" spans="1:22" ht="15.75" customHeight="1">
      <c r="A176" s="17"/>
      <c r="S176" s="15"/>
      <c r="V176" s="16"/>
    </row>
    <row r="177" spans="1:22" ht="15.75" customHeight="1">
      <c r="A177" s="17"/>
      <c r="S177" s="15"/>
      <c r="V177" s="16"/>
    </row>
    <row r="178" spans="1:22" ht="15.75" customHeight="1">
      <c r="A178" s="17"/>
      <c r="S178" s="15"/>
      <c r="V178" s="16"/>
    </row>
    <row r="179" spans="1:22" ht="15.75" customHeight="1">
      <c r="A179" s="17"/>
      <c r="S179" s="15"/>
      <c r="V179" s="16"/>
    </row>
    <row r="180" spans="1:22" ht="15.75" customHeight="1">
      <c r="A180" s="17"/>
      <c r="S180" s="15"/>
      <c r="V180" s="16"/>
    </row>
    <row r="181" spans="1:22" ht="15.75" customHeight="1">
      <c r="A181" s="17"/>
      <c r="S181" s="15"/>
      <c r="V181" s="16"/>
    </row>
    <row r="182" spans="1:22" ht="15.75" customHeight="1">
      <c r="S182" s="15"/>
      <c r="V182" s="16"/>
    </row>
    <row r="183" spans="1:22" ht="15.75" customHeight="1">
      <c r="S183" s="15"/>
      <c r="V183" s="16"/>
    </row>
    <row r="184" spans="1:22" ht="15.75" customHeight="1">
      <c r="S184" s="15"/>
      <c r="V184" s="16"/>
    </row>
    <row r="185" spans="1:22" ht="15.75" customHeight="1">
      <c r="S185" s="15"/>
      <c r="V185" s="16"/>
    </row>
    <row r="186" spans="1:22" ht="15.75" customHeight="1">
      <c r="S186" s="15"/>
      <c r="V186" s="16"/>
    </row>
    <row r="187" spans="1:22" ht="15.75" customHeight="1">
      <c r="S187" s="15"/>
      <c r="V187" s="16"/>
    </row>
    <row r="188" spans="1:22" ht="15.75" customHeight="1">
      <c r="S188" s="15"/>
      <c r="V188" s="16"/>
    </row>
    <row r="189" spans="1:22" ht="15.75" customHeight="1">
      <c r="S189" s="15"/>
      <c r="V189" s="16"/>
    </row>
    <row r="190" spans="1:22" ht="15.75" customHeight="1">
      <c r="S190" s="15"/>
      <c r="V190" s="16"/>
    </row>
    <row r="191" spans="1:22" ht="15.75" customHeight="1">
      <c r="S191" s="15"/>
      <c r="V191" s="16"/>
    </row>
    <row r="192" spans="1:22" ht="15.75" customHeight="1">
      <c r="S192" s="15"/>
      <c r="V192" s="16"/>
    </row>
    <row r="193" spans="19:22" ht="15.75" customHeight="1">
      <c r="S193" s="15"/>
      <c r="V193" s="16"/>
    </row>
    <row r="194" spans="19:22" ht="15.75" customHeight="1">
      <c r="S194" s="15"/>
      <c r="V194" s="16"/>
    </row>
    <row r="195" spans="19:22" ht="15.75" customHeight="1">
      <c r="S195" s="15"/>
      <c r="V195" s="16"/>
    </row>
    <row r="196" spans="19:22" ht="15.75" customHeight="1">
      <c r="S196" s="15"/>
      <c r="V196" s="16"/>
    </row>
    <row r="197" spans="19:22" ht="15.75" customHeight="1">
      <c r="S197" s="15"/>
      <c r="V197" s="16"/>
    </row>
    <row r="198" spans="19:22" ht="15.75" customHeight="1">
      <c r="S198" s="15"/>
      <c r="V198" s="16"/>
    </row>
    <row r="199" spans="19:22" ht="15.75" customHeight="1">
      <c r="S199" s="15"/>
      <c r="V199" s="16"/>
    </row>
    <row r="200" spans="19:22" ht="15.75" customHeight="1">
      <c r="S200" s="15"/>
      <c r="V200" s="16"/>
    </row>
    <row r="201" spans="19:22" ht="15.75" customHeight="1">
      <c r="S201" s="15"/>
      <c r="V201" s="16"/>
    </row>
    <row r="202" spans="19:22" ht="15.75" customHeight="1">
      <c r="S202" s="15"/>
      <c r="V202" s="16"/>
    </row>
    <row r="203" spans="19:22" ht="15.75" customHeight="1">
      <c r="S203" s="15"/>
      <c r="V203" s="16"/>
    </row>
    <row r="204" spans="19:22" ht="15.75" customHeight="1">
      <c r="S204" s="15"/>
      <c r="V204" s="16"/>
    </row>
    <row r="205" spans="19:22" ht="15.75" customHeight="1">
      <c r="S205" s="15"/>
      <c r="V205" s="16"/>
    </row>
    <row r="206" spans="19:22" ht="15.75" customHeight="1">
      <c r="S206" s="15"/>
      <c r="V206" s="16"/>
    </row>
    <row r="207" spans="19:22" ht="15.75" customHeight="1">
      <c r="S207" s="15"/>
      <c r="V207" s="16"/>
    </row>
    <row r="208" spans="19:22" ht="15.75" customHeight="1">
      <c r="S208" s="15"/>
      <c r="V208" s="16"/>
    </row>
    <row r="209" spans="19:22" ht="15.75" customHeight="1">
      <c r="S209" s="15"/>
      <c r="V209" s="16"/>
    </row>
    <row r="210" spans="19:22" ht="15.75" customHeight="1">
      <c r="S210" s="15"/>
      <c r="V210" s="16"/>
    </row>
    <row r="211" spans="19:22" ht="15.75" customHeight="1">
      <c r="S211" s="15"/>
      <c r="V211" s="16"/>
    </row>
    <row r="212" spans="19:22" ht="15.75" customHeight="1">
      <c r="S212" s="15"/>
      <c r="V212" s="16"/>
    </row>
    <row r="213" spans="19:22" ht="15.75" customHeight="1">
      <c r="S213" s="15"/>
      <c r="V213" s="16"/>
    </row>
    <row r="214" spans="19:22" ht="15.75" customHeight="1">
      <c r="S214" s="15"/>
      <c r="V214" s="16"/>
    </row>
    <row r="215" spans="19:22" ht="15.75" customHeight="1">
      <c r="S215" s="15"/>
      <c r="V215" s="16"/>
    </row>
    <row r="216" spans="19:22" ht="15.75" customHeight="1">
      <c r="S216" s="15"/>
      <c r="V216" s="16"/>
    </row>
    <row r="217" spans="19:22" ht="15.75" customHeight="1">
      <c r="S217" s="15"/>
      <c r="V217" s="16"/>
    </row>
    <row r="218" spans="19:22" ht="15.75" customHeight="1">
      <c r="S218" s="15"/>
      <c r="V218" s="16"/>
    </row>
    <row r="219" spans="19:22" ht="15.75" customHeight="1">
      <c r="S219" s="15"/>
      <c r="V219" s="16"/>
    </row>
    <row r="220" spans="19:22" ht="15.75" customHeight="1">
      <c r="S220" s="15"/>
      <c r="V220" s="16"/>
    </row>
    <row r="221" spans="19:22" ht="15.75" customHeight="1">
      <c r="S221" s="15"/>
      <c r="V221" s="16"/>
    </row>
    <row r="222" spans="19:22" ht="15.75" customHeight="1">
      <c r="S222" s="15"/>
      <c r="V222" s="16"/>
    </row>
    <row r="223" spans="19:22" ht="15.75" customHeight="1">
      <c r="S223" s="15"/>
      <c r="V223" s="16"/>
    </row>
    <row r="224" spans="19:22" ht="15.75" customHeight="1">
      <c r="S224" s="15"/>
      <c r="V224" s="16"/>
    </row>
    <row r="225" spans="19:22" ht="15.75" customHeight="1">
      <c r="S225" s="15"/>
      <c r="V225" s="16"/>
    </row>
    <row r="226" spans="19:22" ht="15.75" customHeight="1">
      <c r="S226" s="15"/>
      <c r="V226" s="16"/>
    </row>
    <row r="227" spans="19:22" ht="15.75" customHeight="1">
      <c r="S227" s="15"/>
      <c r="V227" s="16"/>
    </row>
    <row r="228" spans="19:22" ht="15.75" customHeight="1">
      <c r="S228" s="15"/>
      <c r="V228" s="16"/>
    </row>
    <row r="229" spans="19:22" ht="15.75" customHeight="1">
      <c r="S229" s="15"/>
      <c r="V229" s="16"/>
    </row>
    <row r="230" spans="19:22" ht="15.75" customHeight="1">
      <c r="S230" s="15"/>
      <c r="V230" s="16"/>
    </row>
    <row r="231" spans="19:22" ht="15.75" customHeight="1">
      <c r="S231" s="15"/>
      <c r="V231" s="16"/>
    </row>
    <row r="232" spans="19:22" ht="15.75" customHeight="1">
      <c r="S232" s="15"/>
      <c r="V232" s="16"/>
    </row>
    <row r="233" spans="19:22" ht="15.75" customHeight="1">
      <c r="S233" s="15"/>
      <c r="V233" s="16"/>
    </row>
    <row r="234" spans="19:22" ht="15.75" customHeight="1">
      <c r="S234" s="15"/>
      <c r="V234" s="16"/>
    </row>
    <row r="235" spans="19:22" ht="15.75" customHeight="1">
      <c r="S235" s="15"/>
      <c r="V235" s="16"/>
    </row>
    <row r="236" spans="19:22" ht="15.75" customHeight="1">
      <c r="S236" s="15"/>
      <c r="V236" s="16"/>
    </row>
    <row r="237" spans="19:22" ht="15.75" customHeight="1">
      <c r="S237" s="15"/>
      <c r="V237" s="16"/>
    </row>
    <row r="238" spans="19:22" ht="15.75" customHeight="1">
      <c r="S238" s="15"/>
      <c r="V238" s="16"/>
    </row>
    <row r="239" spans="19:22" ht="15.75" customHeight="1">
      <c r="S239" s="15"/>
      <c r="V239" s="16"/>
    </row>
    <row r="240" spans="19:22" ht="15.75" customHeight="1">
      <c r="S240" s="15"/>
      <c r="V240" s="16"/>
    </row>
    <row r="241" spans="19:22" ht="15.75" customHeight="1">
      <c r="S241" s="15"/>
      <c r="V241" s="16"/>
    </row>
    <row r="242" spans="19:22" ht="15.75" customHeight="1">
      <c r="S242" s="15"/>
      <c r="V242" s="16"/>
    </row>
    <row r="243" spans="19:22" ht="15.75" customHeight="1">
      <c r="S243" s="15"/>
      <c r="V243" s="16"/>
    </row>
    <row r="244" spans="19:22" ht="15.75" customHeight="1">
      <c r="S244" s="15"/>
      <c r="V244" s="16"/>
    </row>
    <row r="245" spans="19:22" ht="15.75" customHeight="1">
      <c r="S245" s="15"/>
      <c r="V245" s="16"/>
    </row>
    <row r="246" spans="19:22" ht="15.75" customHeight="1">
      <c r="S246" s="15"/>
      <c r="V246" s="16"/>
    </row>
    <row r="247" spans="19:22" ht="15.75" customHeight="1">
      <c r="S247" s="15"/>
      <c r="V247" s="16"/>
    </row>
    <row r="248" spans="19:22" ht="15.75" customHeight="1">
      <c r="S248" s="15"/>
      <c r="V248" s="16"/>
    </row>
    <row r="249" spans="19:22" ht="15.75" customHeight="1">
      <c r="S249" s="15"/>
      <c r="V249" s="16"/>
    </row>
    <row r="250" spans="19:22" ht="15.75" customHeight="1">
      <c r="S250" s="15"/>
      <c r="V250" s="16"/>
    </row>
    <row r="251" spans="19:22" ht="15.75" customHeight="1">
      <c r="S251" s="15"/>
      <c r="V251" s="16"/>
    </row>
    <row r="252" spans="19:22" ht="15.75" customHeight="1">
      <c r="S252" s="15"/>
      <c r="V252" s="16"/>
    </row>
    <row r="253" spans="19:22" ht="15.75" customHeight="1">
      <c r="S253" s="15"/>
      <c r="V253" s="16"/>
    </row>
    <row r="254" spans="19:22" ht="15.75" customHeight="1">
      <c r="S254" s="15"/>
      <c r="V254" s="16"/>
    </row>
    <row r="255" spans="19:22" ht="15.75" customHeight="1">
      <c r="S255" s="15"/>
      <c r="V255" s="16"/>
    </row>
    <row r="256" spans="19:22" ht="15.75" customHeight="1">
      <c r="S256" s="15"/>
      <c r="V256" s="16"/>
    </row>
    <row r="257" spans="19:22" ht="15.75" customHeight="1">
      <c r="S257" s="15"/>
      <c r="V257" s="16"/>
    </row>
    <row r="258" spans="19:22" ht="15.75" customHeight="1">
      <c r="S258" s="15"/>
      <c r="V258" s="16"/>
    </row>
    <row r="259" spans="19:22" ht="15.75" customHeight="1">
      <c r="S259" s="15"/>
      <c r="V259" s="16"/>
    </row>
    <row r="260" spans="19:22" ht="15.75" customHeight="1">
      <c r="S260" s="15"/>
      <c r="V260" s="16"/>
    </row>
    <row r="261" spans="19:22" ht="15.75" customHeight="1">
      <c r="S261" s="15"/>
      <c r="V261" s="16"/>
    </row>
    <row r="262" spans="19:22" ht="15.75" customHeight="1">
      <c r="S262" s="15"/>
      <c r="V262" s="16"/>
    </row>
    <row r="263" spans="19:22" ht="15.75" customHeight="1">
      <c r="S263" s="15"/>
      <c r="V263" s="16"/>
    </row>
    <row r="264" spans="19:22" ht="15.75" customHeight="1">
      <c r="S264" s="15"/>
      <c r="V264" s="16"/>
    </row>
    <row r="265" spans="19:22" ht="15.75" customHeight="1">
      <c r="S265" s="15"/>
      <c r="V265" s="16"/>
    </row>
    <row r="266" spans="19:22" ht="15.75" customHeight="1">
      <c r="S266" s="15"/>
      <c r="V266" s="16"/>
    </row>
    <row r="267" spans="19:22" ht="15.75" customHeight="1">
      <c r="S267" s="15"/>
      <c r="V267" s="16"/>
    </row>
    <row r="268" spans="19:22" ht="15.75" customHeight="1">
      <c r="S268" s="15"/>
      <c r="V268" s="16"/>
    </row>
    <row r="269" spans="19:22" ht="15.75" customHeight="1">
      <c r="S269" s="15"/>
      <c r="V269" s="16"/>
    </row>
    <row r="270" spans="19:22" ht="15.75" customHeight="1">
      <c r="S270" s="15"/>
      <c r="V270" s="16"/>
    </row>
    <row r="271" spans="19:22" ht="15.75" customHeight="1">
      <c r="S271" s="15"/>
      <c r="V271" s="16"/>
    </row>
    <row r="272" spans="19:22" ht="15.75" customHeight="1">
      <c r="S272" s="15"/>
      <c r="V272" s="16"/>
    </row>
    <row r="273" spans="19:22" ht="15.75" customHeight="1">
      <c r="S273" s="15"/>
      <c r="V273" s="16"/>
    </row>
    <row r="274" spans="19:22" ht="15.75" customHeight="1">
      <c r="S274" s="15"/>
      <c r="V274" s="16"/>
    </row>
    <row r="275" spans="19:22" ht="15.75" customHeight="1">
      <c r="S275" s="15"/>
      <c r="V275" s="16"/>
    </row>
    <row r="276" spans="19:22" ht="15.75" customHeight="1">
      <c r="S276" s="15"/>
      <c r="V276" s="16"/>
    </row>
    <row r="277" spans="19:22" ht="15.75" customHeight="1">
      <c r="S277" s="15"/>
      <c r="V277" s="16"/>
    </row>
    <row r="278" spans="19:22" ht="15.75" customHeight="1">
      <c r="S278" s="15"/>
      <c r="V278" s="16"/>
    </row>
    <row r="279" spans="19:22" ht="15.75" customHeight="1">
      <c r="S279" s="15"/>
      <c r="V279" s="16"/>
    </row>
    <row r="280" spans="19:22" ht="15.75" customHeight="1">
      <c r="S280" s="15"/>
      <c r="V280" s="16"/>
    </row>
    <row r="281" spans="19:22" ht="15.75" customHeight="1">
      <c r="S281" s="15"/>
      <c r="V281" s="16"/>
    </row>
    <row r="282" spans="19:22" ht="15.75" customHeight="1">
      <c r="S282" s="15"/>
      <c r="V282" s="16"/>
    </row>
    <row r="283" spans="19:22" ht="15.75" customHeight="1">
      <c r="S283" s="15"/>
      <c r="V283" s="16"/>
    </row>
    <row r="284" spans="19:22" ht="15.75" customHeight="1">
      <c r="S284" s="15"/>
      <c r="V284" s="16"/>
    </row>
    <row r="285" spans="19:22" ht="15.75" customHeight="1">
      <c r="S285" s="15"/>
      <c r="V285" s="16"/>
    </row>
    <row r="286" spans="19:22" ht="15.75" customHeight="1">
      <c r="S286" s="15"/>
      <c r="V286" s="16"/>
    </row>
    <row r="287" spans="19:22" ht="15.75" customHeight="1">
      <c r="S287" s="15"/>
      <c r="V287" s="16"/>
    </row>
    <row r="288" spans="19:22" ht="15.75" customHeight="1">
      <c r="S288" s="15"/>
      <c r="V288" s="16"/>
    </row>
    <row r="289" spans="19:22" ht="15.75" customHeight="1">
      <c r="S289" s="15"/>
      <c r="V289" s="16"/>
    </row>
    <row r="290" spans="19:22" ht="15.75" customHeight="1">
      <c r="S290" s="15"/>
      <c r="V290" s="16"/>
    </row>
    <row r="291" spans="19:22" ht="15.75" customHeight="1">
      <c r="S291" s="15"/>
      <c r="V291" s="16"/>
    </row>
    <row r="292" spans="19:22" ht="15.75" customHeight="1">
      <c r="S292" s="15"/>
      <c r="V292" s="16"/>
    </row>
    <row r="293" spans="19:22" ht="15.75" customHeight="1">
      <c r="S293" s="15"/>
      <c r="V293" s="16"/>
    </row>
    <row r="294" spans="19:22" ht="15.75" customHeight="1">
      <c r="S294" s="15"/>
      <c r="V294" s="16"/>
    </row>
    <row r="295" spans="19:22" ht="15.75" customHeight="1">
      <c r="S295" s="15"/>
      <c r="V295" s="16"/>
    </row>
    <row r="296" spans="19:22" ht="15.75" customHeight="1">
      <c r="S296" s="15"/>
      <c r="V296" s="16"/>
    </row>
    <row r="297" spans="19:22" ht="15.75" customHeight="1">
      <c r="S297" s="15"/>
      <c r="V297" s="16"/>
    </row>
    <row r="298" spans="19:22" ht="15.75" customHeight="1">
      <c r="S298" s="15"/>
      <c r="V298" s="16"/>
    </row>
    <row r="299" spans="19:22" ht="15.75" customHeight="1">
      <c r="S299" s="15"/>
      <c r="V299" s="16"/>
    </row>
    <row r="300" spans="19:22" ht="15.75" customHeight="1">
      <c r="S300" s="15"/>
      <c r="V300" s="16"/>
    </row>
    <row r="301" spans="19:22" ht="15.75" customHeight="1">
      <c r="S301" s="15"/>
      <c r="V301" s="16"/>
    </row>
    <row r="302" spans="19:22" ht="15.75" customHeight="1">
      <c r="S302" s="15"/>
      <c r="V302" s="16"/>
    </row>
    <row r="303" spans="19:22" ht="15.75" customHeight="1">
      <c r="S303" s="15"/>
      <c r="V303" s="16"/>
    </row>
    <row r="304" spans="19:22" ht="15.75" customHeight="1">
      <c r="S304" s="15"/>
      <c r="V304" s="16"/>
    </row>
    <row r="305" spans="19:22" ht="15.75" customHeight="1">
      <c r="S305" s="15"/>
      <c r="V305" s="16"/>
    </row>
    <row r="306" spans="19:22" ht="15.75" customHeight="1">
      <c r="S306" s="15"/>
      <c r="V306" s="16"/>
    </row>
    <row r="307" spans="19:22" ht="15.75" customHeight="1">
      <c r="S307" s="15"/>
      <c r="V307" s="16"/>
    </row>
    <row r="308" spans="19:22" ht="15.75" customHeight="1">
      <c r="S308" s="15"/>
      <c r="V308" s="16"/>
    </row>
    <row r="309" spans="19:22" ht="15.75" customHeight="1">
      <c r="S309" s="15"/>
      <c r="V309" s="16"/>
    </row>
    <row r="310" spans="19:22" ht="15.75" customHeight="1">
      <c r="S310" s="15"/>
      <c r="V310" s="16"/>
    </row>
    <row r="311" spans="19:22" ht="15.75" customHeight="1">
      <c r="S311" s="15"/>
      <c r="V311" s="16"/>
    </row>
    <row r="312" spans="19:22" ht="15.75" customHeight="1">
      <c r="S312" s="15"/>
      <c r="V312" s="16"/>
    </row>
    <row r="313" spans="19:22" ht="15.75" customHeight="1">
      <c r="S313" s="15"/>
      <c r="V313" s="16"/>
    </row>
    <row r="314" spans="19:22" ht="15.75" customHeight="1">
      <c r="S314" s="15"/>
      <c r="V314" s="16"/>
    </row>
    <row r="315" spans="19:22" ht="15.75" customHeight="1">
      <c r="S315" s="15"/>
      <c r="V315" s="16"/>
    </row>
    <row r="316" spans="19:22" ht="15.75" customHeight="1">
      <c r="S316" s="15"/>
      <c r="V316" s="16"/>
    </row>
    <row r="317" spans="19:22" ht="15.75" customHeight="1">
      <c r="S317" s="15"/>
      <c r="V317" s="16"/>
    </row>
    <row r="318" spans="19:22" ht="15.75" customHeight="1">
      <c r="S318" s="15"/>
      <c r="V318" s="16"/>
    </row>
    <row r="319" spans="19:22" ht="15.75" customHeight="1">
      <c r="S319" s="15"/>
      <c r="V319" s="16"/>
    </row>
    <row r="320" spans="19:22" ht="15.75" customHeight="1">
      <c r="S320" s="15"/>
      <c r="V320" s="16"/>
    </row>
    <row r="321" spans="19:22" ht="15.75" customHeight="1">
      <c r="S321" s="15"/>
      <c r="V321" s="16"/>
    </row>
    <row r="322" spans="19:22" ht="15.75" customHeight="1">
      <c r="S322" s="15"/>
      <c r="V322" s="16"/>
    </row>
    <row r="323" spans="19:22" ht="15.75" customHeight="1">
      <c r="S323" s="15"/>
      <c r="V323" s="16"/>
    </row>
    <row r="324" spans="19:22" ht="15.75" customHeight="1">
      <c r="S324" s="15"/>
      <c r="V324" s="16"/>
    </row>
    <row r="325" spans="19:22" ht="15.75" customHeight="1">
      <c r="S325" s="15"/>
      <c r="V325" s="16"/>
    </row>
    <row r="326" spans="19:22" ht="15.75" customHeight="1">
      <c r="S326" s="15"/>
      <c r="V326" s="16"/>
    </row>
    <row r="327" spans="19:22" ht="15.75" customHeight="1">
      <c r="S327" s="15"/>
      <c r="V327" s="16"/>
    </row>
    <row r="328" spans="19:22" ht="15.75" customHeight="1">
      <c r="S328" s="15"/>
      <c r="V328" s="16"/>
    </row>
    <row r="329" spans="19:22" ht="15.75" customHeight="1">
      <c r="S329" s="15"/>
      <c r="V329" s="16"/>
    </row>
    <row r="330" spans="19:22" ht="15.75" customHeight="1">
      <c r="S330" s="15"/>
      <c r="V330" s="16"/>
    </row>
    <row r="331" spans="19:22" ht="15.75" customHeight="1">
      <c r="S331" s="15"/>
      <c r="V331" s="16"/>
    </row>
    <row r="332" spans="19:22" ht="15.75" customHeight="1">
      <c r="S332" s="15"/>
      <c r="V332" s="16"/>
    </row>
    <row r="333" spans="19:22" ht="15.75" customHeight="1">
      <c r="S333" s="15"/>
      <c r="V333" s="16"/>
    </row>
    <row r="334" spans="19:22" ht="15.75" customHeight="1">
      <c r="S334" s="15"/>
      <c r="V334" s="16"/>
    </row>
    <row r="335" spans="19:22" ht="15.75" customHeight="1">
      <c r="S335" s="15"/>
      <c r="V335" s="16"/>
    </row>
    <row r="336" spans="19:22" ht="15.75" customHeight="1">
      <c r="S336" s="15"/>
      <c r="V336" s="16"/>
    </row>
    <row r="337" spans="19:22" ht="15.75" customHeight="1">
      <c r="S337" s="15"/>
      <c r="V337" s="16"/>
    </row>
    <row r="338" spans="19:22" ht="15.75" customHeight="1">
      <c r="S338" s="15"/>
      <c r="V338" s="16"/>
    </row>
    <row r="339" spans="19:22" ht="15.75" customHeight="1">
      <c r="S339" s="15"/>
      <c r="V339" s="16"/>
    </row>
    <row r="340" spans="19:22" ht="15.75" customHeight="1">
      <c r="S340" s="15"/>
      <c r="V340" s="16"/>
    </row>
    <row r="341" spans="19:22" ht="15.75" customHeight="1">
      <c r="S341" s="15"/>
      <c r="V341" s="16"/>
    </row>
    <row r="342" spans="19:22" ht="15.75" customHeight="1">
      <c r="S342" s="15"/>
      <c r="V342" s="16"/>
    </row>
    <row r="343" spans="19:22" ht="15.75" customHeight="1">
      <c r="S343" s="15"/>
      <c r="V343" s="16"/>
    </row>
    <row r="344" spans="19:22" ht="15.75" customHeight="1">
      <c r="S344" s="15"/>
      <c r="V344" s="16"/>
    </row>
    <row r="345" spans="19:22" ht="15.75" customHeight="1">
      <c r="S345" s="15"/>
      <c r="V345" s="16"/>
    </row>
    <row r="346" spans="19:22" ht="15.75" customHeight="1">
      <c r="S346" s="15"/>
      <c r="V346" s="16"/>
    </row>
    <row r="347" spans="19:22" ht="15.75" customHeight="1">
      <c r="S347" s="15"/>
      <c r="V347" s="16"/>
    </row>
    <row r="348" spans="19:22" ht="15.75" customHeight="1">
      <c r="S348" s="15"/>
      <c r="V348" s="16"/>
    </row>
    <row r="349" spans="19:22" ht="15.75" customHeight="1">
      <c r="S349" s="15"/>
      <c r="V349" s="16"/>
    </row>
    <row r="350" spans="19:22" ht="15.75" customHeight="1">
      <c r="S350" s="15"/>
      <c r="V350" s="16"/>
    </row>
    <row r="351" spans="19:22" ht="15.75" customHeight="1">
      <c r="S351" s="15"/>
      <c r="V351" s="16"/>
    </row>
    <row r="352" spans="19:22" ht="15.75" customHeight="1">
      <c r="S352" s="15"/>
      <c r="V352" s="16"/>
    </row>
    <row r="353" spans="19:22" ht="15.75" customHeight="1">
      <c r="S353" s="15"/>
      <c r="V353" s="16"/>
    </row>
    <row r="354" spans="19:22" ht="15.75" customHeight="1">
      <c r="S354" s="15"/>
      <c r="V354" s="16"/>
    </row>
    <row r="355" spans="19:22" ht="15.75" customHeight="1">
      <c r="S355" s="15"/>
      <c r="V355" s="16"/>
    </row>
    <row r="356" spans="19:22" ht="15.75" customHeight="1">
      <c r="S356" s="15"/>
      <c r="V356" s="16"/>
    </row>
    <row r="357" spans="19:22" ht="15.75" customHeight="1">
      <c r="S357" s="15"/>
      <c r="V357" s="16"/>
    </row>
    <row r="358" spans="19:22" ht="15.75" customHeight="1">
      <c r="S358" s="15"/>
      <c r="V358" s="16"/>
    </row>
    <row r="359" spans="19:22" ht="15.75" customHeight="1">
      <c r="S359" s="15"/>
      <c r="V359" s="16"/>
    </row>
    <row r="360" spans="19:22" ht="15.75" customHeight="1">
      <c r="S360" s="15"/>
      <c r="V360" s="16"/>
    </row>
    <row r="361" spans="19:22" ht="15.75" customHeight="1">
      <c r="S361" s="15"/>
      <c r="V361" s="16"/>
    </row>
    <row r="362" spans="19:22" ht="15.75" customHeight="1">
      <c r="S362" s="15"/>
      <c r="V362" s="16"/>
    </row>
    <row r="363" spans="19:22" ht="15.75" customHeight="1">
      <c r="S363" s="15"/>
      <c r="V363" s="16"/>
    </row>
    <row r="364" spans="19:22" ht="15.75" customHeight="1">
      <c r="S364" s="15"/>
      <c r="V364" s="16"/>
    </row>
    <row r="365" spans="19:22" ht="15.75" customHeight="1">
      <c r="S365" s="15"/>
      <c r="V365" s="16"/>
    </row>
    <row r="366" spans="19:22" ht="15.75" customHeight="1">
      <c r="S366" s="15"/>
      <c r="V366" s="16"/>
    </row>
    <row r="367" spans="19:22" ht="15.75" customHeight="1">
      <c r="S367" s="15"/>
      <c r="V367" s="16"/>
    </row>
    <row r="368" spans="19:22" ht="15.75" customHeight="1">
      <c r="S368" s="15"/>
      <c r="V368" s="16"/>
    </row>
    <row r="369" spans="19:22" ht="15.75" customHeight="1">
      <c r="S369" s="15"/>
      <c r="V369" s="16"/>
    </row>
    <row r="370" spans="19:22" ht="15.75" customHeight="1">
      <c r="S370" s="15"/>
      <c r="V370" s="16"/>
    </row>
    <row r="371" spans="19:22" ht="15.75" customHeight="1">
      <c r="S371" s="15"/>
      <c r="V371" s="16"/>
    </row>
    <row r="372" spans="19:22" ht="15.75" customHeight="1">
      <c r="S372" s="15"/>
      <c r="V372" s="16"/>
    </row>
    <row r="373" spans="19:22" ht="15.75" customHeight="1">
      <c r="S373" s="15"/>
      <c r="V373" s="16"/>
    </row>
    <row r="374" spans="19:22" ht="15.75" customHeight="1">
      <c r="S374" s="15"/>
      <c r="V374" s="16"/>
    </row>
    <row r="375" spans="19:22" ht="15.75" customHeight="1">
      <c r="S375" s="15"/>
      <c r="V375" s="16"/>
    </row>
    <row r="376" spans="19:22" ht="15.75" customHeight="1">
      <c r="S376" s="15"/>
      <c r="V376" s="16"/>
    </row>
    <row r="377" spans="19:22" ht="15.75" customHeight="1">
      <c r="S377" s="15"/>
      <c r="V377" s="16"/>
    </row>
    <row r="378" spans="19:22" ht="15.75" customHeight="1">
      <c r="S378" s="15"/>
      <c r="V378" s="16"/>
    </row>
    <row r="379" spans="19:22" ht="15.75" customHeight="1">
      <c r="S379" s="15"/>
      <c r="V379" s="16"/>
    </row>
    <row r="380" spans="19:22" ht="15.75" customHeight="1">
      <c r="S380" s="15"/>
      <c r="V380" s="16"/>
    </row>
    <row r="381" spans="19:22" ht="15.75" customHeight="1">
      <c r="S381" s="15"/>
      <c r="V381" s="16"/>
    </row>
    <row r="382" spans="19:22" ht="15.75" customHeight="1">
      <c r="S382" s="15"/>
      <c r="V382" s="16"/>
    </row>
    <row r="383" spans="19:22" ht="15.75" customHeight="1">
      <c r="S383" s="15"/>
      <c r="V383" s="16"/>
    </row>
    <row r="384" spans="19:22" ht="15.75" customHeight="1">
      <c r="S384" s="15"/>
      <c r="V384" s="16"/>
    </row>
    <row r="385" spans="19:22" ht="15.75" customHeight="1">
      <c r="S385" s="15"/>
      <c r="V385" s="16"/>
    </row>
    <row r="386" spans="19:22" ht="15.75" customHeight="1">
      <c r="S386" s="15"/>
      <c r="V386" s="16"/>
    </row>
    <row r="387" spans="19:22" ht="15.75" customHeight="1">
      <c r="S387" s="15"/>
      <c r="V387" s="16"/>
    </row>
    <row r="388" spans="19:22" ht="15.75" customHeight="1">
      <c r="S388" s="15"/>
      <c r="V388" s="16"/>
    </row>
    <row r="389" spans="19:22" ht="15.75" customHeight="1">
      <c r="S389" s="15"/>
      <c r="V389" s="16"/>
    </row>
    <row r="390" spans="19:22" ht="15.75" customHeight="1">
      <c r="S390" s="15"/>
      <c r="V390" s="16"/>
    </row>
    <row r="391" spans="19:22" ht="15.75" customHeight="1">
      <c r="S391" s="15"/>
      <c r="V391" s="16"/>
    </row>
    <row r="392" spans="19:22" ht="15.75" customHeight="1">
      <c r="S392" s="15"/>
      <c r="V392" s="16"/>
    </row>
    <row r="393" spans="19:22" ht="15.75" customHeight="1">
      <c r="S393" s="15"/>
      <c r="V393" s="16"/>
    </row>
    <row r="394" spans="19:22" ht="15.75" customHeight="1">
      <c r="S394" s="15"/>
      <c r="V394" s="16"/>
    </row>
    <row r="395" spans="19:22" ht="15.75" customHeight="1">
      <c r="S395" s="15"/>
      <c r="V395" s="16"/>
    </row>
    <row r="396" spans="19:22" ht="15.75" customHeight="1">
      <c r="S396" s="15"/>
      <c r="V396" s="16"/>
    </row>
    <row r="397" spans="19:22" ht="15.75" customHeight="1">
      <c r="S397" s="15"/>
      <c r="V397" s="16"/>
    </row>
    <row r="398" spans="19:22" ht="15.75" customHeight="1">
      <c r="S398" s="15"/>
      <c r="V398" s="16"/>
    </row>
    <row r="399" spans="19:22" ht="15.75" customHeight="1">
      <c r="S399" s="15"/>
      <c r="V399" s="16"/>
    </row>
    <row r="400" spans="19:22" ht="15.75" customHeight="1">
      <c r="S400" s="15"/>
      <c r="V400" s="16"/>
    </row>
    <row r="401" spans="19:22" ht="15.75" customHeight="1">
      <c r="S401" s="15"/>
      <c r="V401" s="16"/>
    </row>
    <row r="402" spans="19:22" ht="15.75" customHeight="1">
      <c r="S402" s="15"/>
      <c r="V402" s="16"/>
    </row>
    <row r="403" spans="19:22" ht="15.75" customHeight="1">
      <c r="S403" s="15"/>
      <c r="V403" s="16"/>
    </row>
    <row r="404" spans="19:22" ht="15.75" customHeight="1">
      <c r="S404" s="15"/>
      <c r="V404" s="16"/>
    </row>
    <row r="405" spans="19:22" ht="15.75" customHeight="1">
      <c r="S405" s="15"/>
      <c r="V405" s="16"/>
    </row>
    <row r="406" spans="19:22" ht="15.75" customHeight="1">
      <c r="S406" s="15"/>
      <c r="V406" s="16"/>
    </row>
    <row r="407" spans="19:22" ht="15.75" customHeight="1">
      <c r="S407" s="15"/>
      <c r="V407" s="16"/>
    </row>
    <row r="408" spans="19:22" ht="15.75" customHeight="1">
      <c r="S408" s="15"/>
      <c r="V408" s="16"/>
    </row>
    <row r="409" spans="19:22" ht="15.75" customHeight="1">
      <c r="S409" s="15"/>
      <c r="V409" s="16"/>
    </row>
    <row r="410" spans="19:22" ht="15.75" customHeight="1">
      <c r="S410" s="15"/>
      <c r="V410" s="16"/>
    </row>
    <row r="411" spans="19:22" ht="15.75" customHeight="1">
      <c r="S411" s="15"/>
      <c r="V411" s="16"/>
    </row>
    <row r="412" spans="19:22" ht="15.75" customHeight="1">
      <c r="S412" s="15"/>
      <c r="V412" s="16"/>
    </row>
    <row r="413" spans="19:22" ht="15.75" customHeight="1">
      <c r="S413" s="15"/>
      <c r="V413" s="16"/>
    </row>
    <row r="414" spans="19:22" ht="15.75" customHeight="1">
      <c r="S414" s="15"/>
      <c r="V414" s="16"/>
    </row>
    <row r="415" spans="19:22" ht="15.75" customHeight="1">
      <c r="S415" s="15"/>
      <c r="V415" s="16"/>
    </row>
    <row r="416" spans="19:22" ht="15.75" customHeight="1">
      <c r="S416" s="15"/>
      <c r="V416" s="16"/>
    </row>
    <row r="417" spans="19:22" ht="15.75" customHeight="1">
      <c r="S417" s="15"/>
      <c r="V417" s="16"/>
    </row>
    <row r="418" spans="19:22" ht="15.75" customHeight="1">
      <c r="S418" s="15"/>
      <c r="V418" s="16"/>
    </row>
    <row r="419" spans="19:22" ht="15.75" customHeight="1">
      <c r="S419" s="15"/>
      <c r="V419" s="16"/>
    </row>
    <row r="420" spans="19:22" ht="15.75" customHeight="1">
      <c r="S420" s="15"/>
      <c r="V420" s="16"/>
    </row>
    <row r="421" spans="19:22" ht="15.75" customHeight="1">
      <c r="S421" s="15"/>
      <c r="V421" s="16"/>
    </row>
    <row r="422" spans="19:22" ht="15.75" customHeight="1">
      <c r="S422" s="15"/>
      <c r="V422" s="16"/>
    </row>
    <row r="423" spans="19:22" ht="15.75" customHeight="1">
      <c r="S423" s="15"/>
      <c r="V423" s="16"/>
    </row>
    <row r="424" spans="19:22" ht="15.75" customHeight="1">
      <c r="S424" s="15"/>
      <c r="V424" s="16"/>
    </row>
    <row r="425" spans="19:22" ht="15.75" customHeight="1">
      <c r="S425" s="15"/>
      <c r="V425" s="16"/>
    </row>
    <row r="426" spans="19:22" ht="15.75" customHeight="1">
      <c r="S426" s="15"/>
      <c r="V426" s="16"/>
    </row>
    <row r="427" spans="19:22" ht="15.75" customHeight="1">
      <c r="S427" s="15"/>
      <c r="V427" s="16"/>
    </row>
    <row r="428" spans="19:22" ht="15.75" customHeight="1">
      <c r="S428" s="15"/>
      <c r="V428" s="16"/>
    </row>
    <row r="429" spans="19:22" ht="15.75" customHeight="1">
      <c r="S429" s="15"/>
      <c r="V429" s="16"/>
    </row>
    <row r="430" spans="19:22" ht="15.75" customHeight="1">
      <c r="S430" s="15"/>
      <c r="V430" s="16"/>
    </row>
    <row r="431" spans="19:22" ht="15.75" customHeight="1">
      <c r="S431" s="15"/>
      <c r="V431" s="16"/>
    </row>
    <row r="432" spans="19:22" ht="15.75" customHeight="1">
      <c r="S432" s="15"/>
      <c r="V432" s="16"/>
    </row>
    <row r="433" spans="19:22" ht="15.75" customHeight="1">
      <c r="S433" s="15"/>
      <c r="V433" s="16"/>
    </row>
    <row r="434" spans="19:22" ht="15.75" customHeight="1">
      <c r="S434" s="15"/>
      <c r="V434" s="16"/>
    </row>
    <row r="435" spans="19:22" ht="15.75" customHeight="1">
      <c r="S435" s="15"/>
      <c r="V435" s="16"/>
    </row>
    <row r="436" spans="19:22" ht="15.75" customHeight="1">
      <c r="S436" s="15"/>
      <c r="V436" s="16"/>
    </row>
    <row r="437" spans="19:22" ht="15.75" customHeight="1">
      <c r="S437" s="15"/>
      <c r="V437" s="16"/>
    </row>
    <row r="438" spans="19:22" ht="15.75" customHeight="1">
      <c r="S438" s="15"/>
      <c r="V438" s="16"/>
    </row>
    <row r="439" spans="19:22" ht="15.75" customHeight="1">
      <c r="S439" s="15"/>
      <c r="V439" s="16"/>
    </row>
    <row r="440" spans="19:22" ht="15.75" customHeight="1">
      <c r="S440" s="15"/>
      <c r="V440" s="16"/>
    </row>
    <row r="441" spans="19:22" ht="15.75" customHeight="1">
      <c r="S441" s="15"/>
      <c r="V441" s="16"/>
    </row>
    <row r="442" spans="19:22" ht="15.75" customHeight="1">
      <c r="S442" s="15"/>
      <c r="V442" s="16"/>
    </row>
    <row r="443" spans="19:22" ht="15.75" customHeight="1">
      <c r="S443" s="15"/>
      <c r="V443" s="16"/>
    </row>
    <row r="444" spans="19:22" ht="15.75" customHeight="1">
      <c r="S444" s="15"/>
      <c r="V444" s="16"/>
    </row>
    <row r="445" spans="19:22" ht="15.75" customHeight="1">
      <c r="S445" s="15"/>
      <c r="V445" s="16"/>
    </row>
    <row r="446" spans="19:22" ht="15.75" customHeight="1">
      <c r="S446" s="15"/>
      <c r="V446" s="16"/>
    </row>
    <row r="447" spans="19:22" ht="15.75" customHeight="1">
      <c r="S447" s="15"/>
      <c r="V447" s="16"/>
    </row>
    <row r="448" spans="19:22" ht="15.75" customHeight="1">
      <c r="S448" s="15"/>
      <c r="V448" s="16"/>
    </row>
    <row r="449" spans="19:22" ht="15.75" customHeight="1">
      <c r="S449" s="15"/>
      <c r="V449" s="16"/>
    </row>
    <row r="450" spans="19:22" ht="15.75" customHeight="1">
      <c r="S450" s="15"/>
      <c r="V450" s="16"/>
    </row>
    <row r="451" spans="19:22" ht="15.75" customHeight="1">
      <c r="S451" s="15"/>
      <c r="V451" s="16"/>
    </row>
    <row r="452" spans="19:22" ht="15.75" customHeight="1">
      <c r="S452" s="15"/>
      <c r="V452" s="16"/>
    </row>
    <row r="453" spans="19:22" ht="15.75" customHeight="1">
      <c r="S453" s="15"/>
      <c r="V453" s="16"/>
    </row>
    <row r="454" spans="19:22" ht="15.75" customHeight="1">
      <c r="S454" s="15"/>
      <c r="V454" s="16"/>
    </row>
    <row r="455" spans="19:22" ht="15.75" customHeight="1">
      <c r="S455" s="15"/>
      <c r="V455" s="16"/>
    </row>
    <row r="456" spans="19:22" ht="15.75" customHeight="1">
      <c r="S456" s="15"/>
      <c r="V456" s="16"/>
    </row>
    <row r="457" spans="19:22" ht="15.75" customHeight="1">
      <c r="S457" s="15"/>
      <c r="V457" s="16"/>
    </row>
    <row r="458" spans="19:22" ht="15.75" customHeight="1">
      <c r="S458" s="15"/>
      <c r="V458" s="16"/>
    </row>
    <row r="459" spans="19:22" ht="15.75" customHeight="1">
      <c r="S459" s="15"/>
      <c r="V459" s="16"/>
    </row>
    <row r="460" spans="19:22" ht="15.75" customHeight="1">
      <c r="S460" s="15"/>
      <c r="V460" s="16"/>
    </row>
    <row r="461" spans="19:22" ht="15.75" customHeight="1">
      <c r="S461" s="15"/>
      <c r="V461" s="16"/>
    </row>
    <row r="462" spans="19:22" ht="15.75" customHeight="1">
      <c r="S462" s="15"/>
      <c r="V462" s="16"/>
    </row>
    <row r="463" spans="19:22" ht="15.75" customHeight="1">
      <c r="S463" s="15"/>
      <c r="V463" s="16"/>
    </row>
    <row r="464" spans="19:22" ht="15.75" customHeight="1">
      <c r="S464" s="15"/>
      <c r="V464" s="16"/>
    </row>
    <row r="465" spans="19:22" ht="15.75" customHeight="1">
      <c r="S465" s="15"/>
      <c r="V465" s="16"/>
    </row>
    <row r="466" spans="19:22" ht="15.75" customHeight="1">
      <c r="S466" s="15"/>
      <c r="V466" s="16"/>
    </row>
    <row r="467" spans="19:22" ht="15.75" customHeight="1">
      <c r="S467" s="15"/>
      <c r="V467" s="16"/>
    </row>
    <row r="468" spans="19:22" ht="15.75" customHeight="1">
      <c r="S468" s="15"/>
      <c r="V468" s="16"/>
    </row>
    <row r="469" spans="19:22" ht="15.75" customHeight="1">
      <c r="S469" s="15"/>
      <c r="V469" s="16"/>
    </row>
    <row r="470" spans="19:22" ht="15.75" customHeight="1">
      <c r="S470" s="15"/>
      <c r="V470" s="16"/>
    </row>
    <row r="471" spans="19:22" ht="15.75" customHeight="1">
      <c r="S471" s="15"/>
      <c r="V471" s="16"/>
    </row>
    <row r="472" spans="19:22" ht="15.75" customHeight="1">
      <c r="S472" s="15"/>
      <c r="V472" s="16"/>
    </row>
    <row r="473" spans="19:22" ht="15.75" customHeight="1">
      <c r="S473" s="15"/>
      <c r="V473" s="16"/>
    </row>
    <row r="474" spans="19:22" ht="15.75" customHeight="1">
      <c r="S474" s="15"/>
      <c r="V474" s="16"/>
    </row>
    <row r="475" spans="19:22" ht="15.75" customHeight="1">
      <c r="S475" s="15"/>
      <c r="V475" s="16"/>
    </row>
    <row r="476" spans="19:22" ht="15.75" customHeight="1">
      <c r="S476" s="15"/>
      <c r="V476" s="16"/>
    </row>
    <row r="477" spans="19:22" ht="15.75" customHeight="1">
      <c r="S477" s="15"/>
      <c r="V477" s="16"/>
    </row>
    <row r="478" spans="19:22" ht="15.75" customHeight="1">
      <c r="S478" s="15"/>
      <c r="V478" s="16"/>
    </row>
    <row r="479" spans="19:22" ht="15.75" customHeight="1">
      <c r="S479" s="15"/>
      <c r="V479" s="16"/>
    </row>
    <row r="480" spans="19:22" ht="15.75" customHeight="1">
      <c r="S480" s="15"/>
      <c r="V480" s="16"/>
    </row>
    <row r="481" spans="19:22" ht="15.75" customHeight="1">
      <c r="S481" s="15"/>
      <c r="V481" s="16"/>
    </row>
    <row r="482" spans="19:22" ht="15.75" customHeight="1">
      <c r="S482" s="15"/>
      <c r="V482" s="16"/>
    </row>
    <row r="483" spans="19:22" ht="15.75" customHeight="1">
      <c r="S483" s="15"/>
      <c r="V483" s="16"/>
    </row>
    <row r="484" spans="19:22" ht="15.75" customHeight="1">
      <c r="S484" s="15"/>
      <c r="V484" s="16"/>
    </row>
    <row r="485" spans="19:22" ht="15.75" customHeight="1">
      <c r="S485" s="15"/>
      <c r="V485" s="16"/>
    </row>
    <row r="486" spans="19:22" ht="15.75" customHeight="1">
      <c r="S486" s="15"/>
      <c r="V486" s="16"/>
    </row>
    <row r="487" spans="19:22" ht="15.75" customHeight="1">
      <c r="S487" s="15"/>
      <c r="V487" s="16"/>
    </row>
    <row r="488" spans="19:22" ht="15.75" customHeight="1">
      <c r="S488" s="15"/>
      <c r="V488" s="16"/>
    </row>
    <row r="489" spans="19:22" ht="15.75" customHeight="1">
      <c r="S489" s="15"/>
      <c r="V489" s="16"/>
    </row>
    <row r="490" spans="19:22" ht="15.75" customHeight="1">
      <c r="S490" s="15"/>
      <c r="V490" s="16"/>
    </row>
    <row r="491" spans="19:22" ht="15.75" customHeight="1">
      <c r="S491" s="15"/>
      <c r="V491" s="16"/>
    </row>
    <row r="492" spans="19:22" ht="15.75" customHeight="1">
      <c r="S492" s="15"/>
      <c r="V492" s="16"/>
    </row>
    <row r="493" spans="19:22" ht="15.75" customHeight="1">
      <c r="S493" s="15"/>
      <c r="V493" s="16"/>
    </row>
    <row r="494" spans="19:22" ht="15.75" customHeight="1">
      <c r="S494" s="15"/>
      <c r="V494" s="16"/>
    </row>
    <row r="495" spans="19:22" ht="15.75" customHeight="1">
      <c r="S495" s="15"/>
      <c r="V495" s="16"/>
    </row>
    <row r="496" spans="19:22" ht="15.75" customHeight="1">
      <c r="S496" s="15"/>
      <c r="V496" s="16"/>
    </row>
    <row r="497" spans="19:22" ht="15.75" customHeight="1">
      <c r="S497" s="15"/>
      <c r="V497" s="16"/>
    </row>
    <row r="498" spans="19:22" ht="15.75" customHeight="1">
      <c r="S498" s="15"/>
      <c r="V498" s="16"/>
    </row>
    <row r="499" spans="19:22" ht="15.75" customHeight="1">
      <c r="S499" s="15"/>
      <c r="V499" s="16"/>
    </row>
    <row r="500" spans="19:22" ht="15.75" customHeight="1">
      <c r="S500" s="15"/>
      <c r="V500" s="16"/>
    </row>
    <row r="501" spans="19:22" ht="15.75" customHeight="1">
      <c r="S501" s="15"/>
      <c r="V501" s="16"/>
    </row>
    <row r="502" spans="19:22" ht="15.75" customHeight="1">
      <c r="S502" s="15"/>
      <c r="V502" s="16"/>
    </row>
    <row r="503" spans="19:22" ht="15.75" customHeight="1">
      <c r="S503" s="15"/>
      <c r="V503" s="16"/>
    </row>
    <row r="504" spans="19:22" ht="15.75" customHeight="1">
      <c r="S504" s="15"/>
      <c r="V504" s="16"/>
    </row>
    <row r="505" spans="19:22" ht="15.75" customHeight="1">
      <c r="S505" s="15"/>
      <c r="V505" s="16"/>
    </row>
    <row r="506" spans="19:22" ht="15.75" customHeight="1">
      <c r="S506" s="15"/>
      <c r="V506" s="16"/>
    </row>
    <row r="507" spans="19:22" ht="15.75" customHeight="1">
      <c r="S507" s="15"/>
      <c r="V507" s="16"/>
    </row>
    <row r="508" spans="19:22" ht="15.75" customHeight="1">
      <c r="S508" s="15"/>
      <c r="V508" s="16"/>
    </row>
    <row r="509" spans="19:22" ht="15.75" customHeight="1">
      <c r="S509" s="15"/>
      <c r="V509" s="16"/>
    </row>
    <row r="510" spans="19:22" ht="15.75" customHeight="1">
      <c r="S510" s="15"/>
      <c r="V510" s="16"/>
    </row>
    <row r="511" spans="19:22" ht="15.75" customHeight="1">
      <c r="S511" s="15"/>
      <c r="V511" s="16"/>
    </row>
    <row r="512" spans="19:22" ht="15.75" customHeight="1">
      <c r="S512" s="15"/>
      <c r="V512" s="16"/>
    </row>
    <row r="513" spans="19:22" ht="15.75" customHeight="1">
      <c r="S513" s="15"/>
      <c r="V513" s="16"/>
    </row>
    <row r="514" spans="19:22" ht="15.75" customHeight="1">
      <c r="S514" s="15"/>
      <c r="V514" s="16"/>
    </row>
    <row r="515" spans="19:22" ht="15.75" customHeight="1">
      <c r="S515" s="15"/>
      <c r="V515" s="16"/>
    </row>
    <row r="516" spans="19:22" ht="15.75" customHeight="1">
      <c r="S516" s="15"/>
      <c r="V516" s="16"/>
    </row>
    <row r="517" spans="19:22" ht="15.75" customHeight="1">
      <c r="S517" s="15"/>
      <c r="V517" s="16"/>
    </row>
    <row r="518" spans="19:22" ht="15.75" customHeight="1">
      <c r="S518" s="15"/>
      <c r="V518" s="16"/>
    </row>
    <row r="519" spans="19:22" ht="15.75" customHeight="1">
      <c r="S519" s="15"/>
      <c r="V519" s="16"/>
    </row>
    <row r="520" spans="19:22" ht="15.75" customHeight="1">
      <c r="S520" s="15"/>
      <c r="V520" s="16"/>
    </row>
    <row r="521" spans="19:22" ht="15.75" customHeight="1">
      <c r="S521" s="15"/>
      <c r="V521" s="16"/>
    </row>
    <row r="522" spans="19:22" ht="15.75" customHeight="1">
      <c r="S522" s="15"/>
      <c r="V522" s="16"/>
    </row>
    <row r="523" spans="19:22" ht="15.75" customHeight="1">
      <c r="S523" s="15"/>
      <c r="V523" s="16"/>
    </row>
    <row r="524" spans="19:22" ht="15.75" customHeight="1">
      <c r="S524" s="15"/>
      <c r="V524" s="16"/>
    </row>
    <row r="525" spans="19:22" ht="15.75" customHeight="1">
      <c r="S525" s="15"/>
      <c r="V525" s="16"/>
    </row>
    <row r="526" spans="19:22" ht="15.75" customHeight="1">
      <c r="S526" s="15"/>
      <c r="V526" s="16"/>
    </row>
    <row r="527" spans="19:22" ht="15.75" customHeight="1">
      <c r="S527" s="15"/>
      <c r="V527" s="16"/>
    </row>
    <row r="528" spans="19:22" ht="15.75" customHeight="1">
      <c r="S528" s="15"/>
      <c r="V528" s="16"/>
    </row>
    <row r="529" spans="19:22" ht="15.75" customHeight="1">
      <c r="S529" s="15"/>
      <c r="V529" s="16"/>
    </row>
    <row r="530" spans="19:22" ht="15.75" customHeight="1">
      <c r="S530" s="15"/>
      <c r="V530" s="16"/>
    </row>
    <row r="531" spans="19:22" ht="15.75" customHeight="1">
      <c r="S531" s="15"/>
      <c r="V531" s="16"/>
    </row>
    <row r="532" spans="19:22" ht="15.75" customHeight="1">
      <c r="S532" s="15"/>
      <c r="V532" s="16"/>
    </row>
    <row r="533" spans="19:22" ht="15.75" customHeight="1">
      <c r="S533" s="15"/>
      <c r="V533" s="16"/>
    </row>
    <row r="534" spans="19:22" ht="15.75" customHeight="1">
      <c r="S534" s="15"/>
      <c r="V534" s="16"/>
    </row>
    <row r="535" spans="19:22" ht="15.75" customHeight="1">
      <c r="S535" s="15"/>
      <c r="V535" s="16"/>
    </row>
    <row r="536" spans="19:22" ht="15.75" customHeight="1">
      <c r="S536" s="15"/>
      <c r="V536" s="16"/>
    </row>
    <row r="537" spans="19:22" ht="15.75" customHeight="1">
      <c r="S537" s="15"/>
      <c r="V537" s="16"/>
    </row>
    <row r="538" spans="19:22" ht="15.75" customHeight="1">
      <c r="S538" s="15"/>
      <c r="V538" s="16"/>
    </row>
    <row r="539" spans="19:22" ht="15.75" customHeight="1">
      <c r="S539" s="15"/>
      <c r="V539" s="16"/>
    </row>
    <row r="540" spans="19:22" ht="15.75" customHeight="1">
      <c r="S540" s="15"/>
      <c r="V540" s="16"/>
    </row>
    <row r="541" spans="19:22" ht="15.75" customHeight="1">
      <c r="S541" s="15"/>
      <c r="V541" s="16"/>
    </row>
    <row r="542" spans="19:22" ht="15.75" customHeight="1">
      <c r="S542" s="15"/>
      <c r="V542" s="16"/>
    </row>
    <row r="543" spans="19:22" ht="15.75" customHeight="1">
      <c r="S543" s="15"/>
      <c r="V543" s="16"/>
    </row>
    <row r="544" spans="19:22" ht="15.75" customHeight="1">
      <c r="S544" s="15"/>
      <c r="V544" s="16"/>
    </row>
    <row r="545" spans="19:22" ht="15.75" customHeight="1">
      <c r="S545" s="15"/>
      <c r="V545" s="16"/>
    </row>
    <row r="546" spans="19:22" ht="15.75" customHeight="1">
      <c r="S546" s="15"/>
      <c r="V546" s="16"/>
    </row>
    <row r="547" spans="19:22" ht="15.75" customHeight="1">
      <c r="S547" s="15"/>
      <c r="V547" s="16"/>
    </row>
    <row r="548" spans="19:22" ht="15.75" customHeight="1">
      <c r="S548" s="15"/>
      <c r="V548" s="16"/>
    </row>
    <row r="549" spans="19:22" ht="15.75" customHeight="1">
      <c r="S549" s="15"/>
      <c r="V549" s="16"/>
    </row>
    <row r="550" spans="19:22" ht="15.75" customHeight="1">
      <c r="S550" s="15"/>
      <c r="V550" s="16"/>
    </row>
    <row r="551" spans="19:22" ht="15.75" customHeight="1">
      <c r="S551" s="15"/>
      <c r="V551" s="16"/>
    </row>
    <row r="552" spans="19:22" ht="15.75" customHeight="1">
      <c r="S552" s="15"/>
      <c r="V552" s="16"/>
    </row>
    <row r="553" spans="19:22" ht="15.75" customHeight="1">
      <c r="S553" s="15"/>
      <c r="V553" s="16"/>
    </row>
    <row r="554" spans="19:22" ht="15.75" customHeight="1">
      <c r="S554" s="15"/>
      <c r="V554" s="16"/>
    </row>
    <row r="555" spans="19:22" ht="15.75" customHeight="1">
      <c r="S555" s="15"/>
      <c r="V555" s="16"/>
    </row>
    <row r="556" spans="19:22" ht="15.75" customHeight="1">
      <c r="S556" s="15"/>
      <c r="V556" s="16"/>
    </row>
    <row r="557" spans="19:22" ht="15.75" customHeight="1">
      <c r="S557" s="15"/>
      <c r="V557" s="16"/>
    </row>
    <row r="558" spans="19:22" ht="15.75" customHeight="1">
      <c r="S558" s="15"/>
      <c r="V558" s="16"/>
    </row>
    <row r="559" spans="19:22" ht="15.75" customHeight="1">
      <c r="S559" s="15"/>
      <c r="V559" s="16"/>
    </row>
    <row r="560" spans="19:22" ht="15.75" customHeight="1">
      <c r="S560" s="15"/>
      <c r="V560" s="16"/>
    </row>
    <row r="561" spans="19:22" ht="15.75" customHeight="1">
      <c r="S561" s="15"/>
      <c r="V561" s="16"/>
    </row>
    <row r="562" spans="19:22" ht="15.75" customHeight="1">
      <c r="S562" s="15"/>
      <c r="V562" s="16"/>
    </row>
    <row r="563" spans="19:22" ht="15.75" customHeight="1">
      <c r="S563" s="15"/>
      <c r="V563" s="16"/>
    </row>
    <row r="564" spans="19:22" ht="15.75" customHeight="1">
      <c r="S564" s="15"/>
      <c r="V564" s="16"/>
    </row>
    <row r="565" spans="19:22" ht="15.75" customHeight="1">
      <c r="S565" s="15"/>
      <c r="V565" s="16"/>
    </row>
    <row r="566" spans="19:22" ht="15.75" customHeight="1">
      <c r="S566" s="15"/>
      <c r="V566" s="16"/>
    </row>
    <row r="567" spans="19:22" ht="15.75" customHeight="1">
      <c r="S567" s="15"/>
      <c r="V567" s="16"/>
    </row>
    <row r="568" spans="19:22" ht="15.75" customHeight="1">
      <c r="S568" s="15"/>
      <c r="V568" s="16"/>
    </row>
    <row r="569" spans="19:22" ht="15.75" customHeight="1">
      <c r="S569" s="15"/>
      <c r="V569" s="16"/>
    </row>
    <row r="570" spans="19:22" ht="15.75" customHeight="1">
      <c r="S570" s="15"/>
      <c r="V570" s="16"/>
    </row>
    <row r="571" spans="19:22" ht="15.75" customHeight="1">
      <c r="S571" s="15"/>
      <c r="V571" s="16"/>
    </row>
    <row r="572" spans="19:22" ht="15.75" customHeight="1">
      <c r="S572" s="15"/>
      <c r="V572" s="16"/>
    </row>
    <row r="573" spans="19:22" ht="15.75" customHeight="1">
      <c r="S573" s="15"/>
      <c r="V573" s="16"/>
    </row>
    <row r="574" spans="19:22" ht="15.75" customHeight="1">
      <c r="S574" s="15"/>
      <c r="V574" s="16"/>
    </row>
    <row r="575" spans="19:22" ht="15.75" customHeight="1">
      <c r="S575" s="15"/>
      <c r="V575" s="16"/>
    </row>
    <row r="576" spans="19:22" ht="15.75" customHeight="1">
      <c r="S576" s="15"/>
      <c r="V576" s="16"/>
    </row>
    <row r="577" spans="19:22" ht="15.75" customHeight="1">
      <c r="S577" s="15"/>
      <c r="V577" s="16"/>
    </row>
    <row r="578" spans="19:22" ht="15.75" customHeight="1">
      <c r="S578" s="15"/>
      <c r="V578" s="16"/>
    </row>
    <row r="579" spans="19:22" ht="15.75" customHeight="1">
      <c r="S579" s="15"/>
      <c r="V579" s="16"/>
    </row>
    <row r="580" spans="19:22" ht="15.75" customHeight="1">
      <c r="S580" s="15"/>
      <c r="V580" s="16"/>
    </row>
    <row r="581" spans="19:22" ht="15.75" customHeight="1">
      <c r="S581" s="15"/>
      <c r="V581" s="16"/>
    </row>
    <row r="582" spans="19:22" ht="15.75" customHeight="1">
      <c r="S582" s="15"/>
      <c r="V582" s="16"/>
    </row>
    <row r="583" spans="19:22" ht="15.75" customHeight="1">
      <c r="S583" s="15"/>
      <c r="V583" s="16"/>
    </row>
    <row r="584" spans="19:22" ht="15.75" customHeight="1">
      <c r="S584" s="15"/>
      <c r="V584" s="16"/>
    </row>
    <row r="585" spans="19:22" ht="15.75" customHeight="1">
      <c r="S585" s="15"/>
      <c r="V585" s="16"/>
    </row>
    <row r="586" spans="19:22" ht="15.75" customHeight="1">
      <c r="S586" s="15"/>
      <c r="V586" s="16"/>
    </row>
    <row r="587" spans="19:22" ht="15.75" customHeight="1">
      <c r="S587" s="15"/>
      <c r="V587" s="16"/>
    </row>
    <row r="588" spans="19:22" ht="15.75" customHeight="1">
      <c r="S588" s="15"/>
      <c r="V588" s="16"/>
    </row>
    <row r="589" spans="19:22" ht="15.75" customHeight="1">
      <c r="S589" s="15"/>
      <c r="V589" s="16"/>
    </row>
    <row r="590" spans="19:22" ht="15.75" customHeight="1">
      <c r="S590" s="15"/>
      <c r="V590" s="16"/>
    </row>
    <row r="591" spans="19:22" ht="15.75" customHeight="1">
      <c r="S591" s="15"/>
      <c r="V591" s="16"/>
    </row>
    <row r="592" spans="19:22" ht="15.75" customHeight="1">
      <c r="S592" s="15"/>
      <c r="V592" s="16"/>
    </row>
    <row r="593" spans="19:22" ht="15.75" customHeight="1">
      <c r="S593" s="15"/>
      <c r="V593" s="16"/>
    </row>
    <row r="594" spans="19:22" ht="15.75" customHeight="1">
      <c r="S594" s="15"/>
      <c r="V594" s="16"/>
    </row>
    <row r="595" spans="19:22" ht="15.75" customHeight="1">
      <c r="S595" s="15"/>
      <c r="V595" s="16"/>
    </row>
    <row r="596" spans="19:22" ht="15.75" customHeight="1">
      <c r="S596" s="15"/>
      <c r="V596" s="16"/>
    </row>
    <row r="597" spans="19:22" ht="15.75" customHeight="1">
      <c r="S597" s="15"/>
      <c r="V597" s="16"/>
    </row>
    <row r="598" spans="19:22" ht="15.75" customHeight="1">
      <c r="S598" s="15"/>
      <c r="V598" s="16"/>
    </row>
    <row r="599" spans="19:22" ht="15.75" customHeight="1">
      <c r="S599" s="15"/>
      <c r="V599" s="16"/>
    </row>
    <row r="600" spans="19:22" ht="15.75" customHeight="1">
      <c r="S600" s="15"/>
      <c r="V600" s="16"/>
    </row>
    <row r="601" spans="19:22" ht="15.75" customHeight="1">
      <c r="S601" s="15"/>
      <c r="V601" s="16"/>
    </row>
    <row r="602" spans="19:22" ht="15.75" customHeight="1">
      <c r="S602" s="15"/>
      <c r="V602" s="16"/>
    </row>
    <row r="603" spans="19:22" ht="15.75" customHeight="1">
      <c r="S603" s="15"/>
      <c r="V603" s="16"/>
    </row>
    <row r="604" spans="19:22" ht="15.75" customHeight="1">
      <c r="S604" s="15"/>
      <c r="V604" s="16"/>
    </row>
    <row r="605" spans="19:22" ht="15.75" customHeight="1">
      <c r="S605" s="15"/>
      <c r="V605" s="16"/>
    </row>
    <row r="606" spans="19:22" ht="15.75" customHeight="1">
      <c r="S606" s="15"/>
      <c r="V606" s="16"/>
    </row>
    <row r="607" spans="19:22" ht="15.75" customHeight="1">
      <c r="S607" s="15"/>
      <c r="V607" s="16"/>
    </row>
    <row r="608" spans="19:22" ht="15.75" customHeight="1">
      <c r="S608" s="15"/>
      <c r="V608" s="16"/>
    </row>
    <row r="609" spans="19:22" ht="15.75" customHeight="1">
      <c r="S609" s="15"/>
      <c r="V609" s="16"/>
    </row>
    <row r="610" spans="19:22" ht="15.75" customHeight="1">
      <c r="S610" s="15"/>
      <c r="V610" s="16"/>
    </row>
    <row r="611" spans="19:22" ht="15.75" customHeight="1">
      <c r="S611" s="15"/>
      <c r="V611" s="16"/>
    </row>
    <row r="612" spans="19:22" ht="15.75" customHeight="1">
      <c r="S612" s="15"/>
      <c r="V612" s="16"/>
    </row>
    <row r="613" spans="19:22" ht="15.75" customHeight="1">
      <c r="S613" s="15"/>
      <c r="V613" s="16"/>
    </row>
    <row r="614" spans="19:22" ht="15.75" customHeight="1">
      <c r="S614" s="15"/>
      <c r="V614" s="16"/>
    </row>
    <row r="615" spans="19:22" ht="15.75" customHeight="1">
      <c r="S615" s="15"/>
      <c r="V615" s="16"/>
    </row>
    <row r="616" spans="19:22" ht="15.75" customHeight="1">
      <c r="S616" s="15"/>
      <c r="V616" s="16"/>
    </row>
    <row r="617" spans="19:22" ht="15.75" customHeight="1">
      <c r="S617" s="15"/>
      <c r="V617" s="16"/>
    </row>
    <row r="618" spans="19:22" ht="15.75" customHeight="1">
      <c r="S618" s="15"/>
      <c r="V618" s="16"/>
    </row>
    <row r="619" spans="19:22" ht="15.75" customHeight="1">
      <c r="S619" s="15"/>
      <c r="V619" s="16"/>
    </row>
    <row r="620" spans="19:22" ht="15.75" customHeight="1">
      <c r="S620" s="15"/>
      <c r="V620" s="16"/>
    </row>
    <row r="621" spans="19:22" ht="15.75" customHeight="1">
      <c r="S621" s="15"/>
      <c r="V621" s="16"/>
    </row>
    <row r="622" spans="19:22" ht="15.75" customHeight="1">
      <c r="S622" s="15"/>
      <c r="V622" s="16"/>
    </row>
    <row r="623" spans="19:22" ht="15.75" customHeight="1">
      <c r="S623" s="15"/>
      <c r="V623" s="16"/>
    </row>
    <row r="624" spans="19:22" ht="15.75" customHeight="1">
      <c r="S624" s="15"/>
      <c r="V624" s="16"/>
    </row>
    <row r="625" spans="19:22" ht="15.75" customHeight="1">
      <c r="S625" s="15"/>
      <c r="V625" s="16"/>
    </row>
    <row r="626" spans="19:22" ht="15.75" customHeight="1">
      <c r="S626" s="15"/>
      <c r="V626" s="16"/>
    </row>
    <row r="627" spans="19:22" ht="15.75" customHeight="1">
      <c r="S627" s="15"/>
      <c r="V627" s="16"/>
    </row>
    <row r="628" spans="19:22" ht="15.75" customHeight="1">
      <c r="S628" s="15"/>
      <c r="V628" s="16"/>
    </row>
    <row r="629" spans="19:22" ht="15.75" customHeight="1">
      <c r="S629" s="15"/>
      <c r="V629" s="16"/>
    </row>
    <row r="630" spans="19:22" ht="15.75" customHeight="1">
      <c r="S630" s="15"/>
      <c r="V630" s="16"/>
    </row>
    <row r="631" spans="19:22" ht="15.75" customHeight="1">
      <c r="S631" s="15"/>
      <c r="V631" s="16"/>
    </row>
    <row r="632" spans="19:22" ht="15.75" customHeight="1">
      <c r="S632" s="15"/>
      <c r="V632" s="16"/>
    </row>
    <row r="633" spans="19:22" ht="15.75" customHeight="1">
      <c r="S633" s="15"/>
      <c r="V633" s="16"/>
    </row>
    <row r="634" spans="19:22" ht="15.75" customHeight="1">
      <c r="S634" s="15"/>
      <c r="V634" s="16"/>
    </row>
    <row r="635" spans="19:22" ht="15.75" customHeight="1">
      <c r="S635" s="15"/>
      <c r="V635" s="16"/>
    </row>
    <row r="636" spans="19:22" ht="15.75" customHeight="1">
      <c r="S636" s="15"/>
      <c r="V636" s="16"/>
    </row>
    <row r="637" spans="19:22" ht="15.75" customHeight="1">
      <c r="S637" s="15"/>
      <c r="V637" s="16"/>
    </row>
    <row r="638" spans="19:22" ht="15.75" customHeight="1">
      <c r="S638" s="15"/>
      <c r="V638" s="16"/>
    </row>
    <row r="639" spans="19:22" ht="15.75" customHeight="1">
      <c r="S639" s="15"/>
      <c r="V639" s="16"/>
    </row>
    <row r="640" spans="19:22" ht="15.75" customHeight="1">
      <c r="S640" s="15"/>
      <c r="V640" s="16"/>
    </row>
    <row r="641" spans="19:22" ht="15.75" customHeight="1">
      <c r="S641" s="15"/>
      <c r="V641" s="16"/>
    </row>
    <row r="642" spans="19:22" ht="15.75" customHeight="1">
      <c r="S642" s="15"/>
      <c r="V642" s="16"/>
    </row>
    <row r="643" spans="19:22" ht="15.75" customHeight="1">
      <c r="S643" s="15"/>
      <c r="V643" s="16"/>
    </row>
    <row r="644" spans="19:22" ht="15.75" customHeight="1">
      <c r="S644" s="15"/>
      <c r="V644" s="16"/>
    </row>
    <row r="645" spans="19:22" ht="15.75" customHeight="1">
      <c r="S645" s="15"/>
      <c r="V645" s="16"/>
    </row>
    <row r="646" spans="19:22" ht="15.75" customHeight="1">
      <c r="S646" s="15"/>
      <c r="V646" s="16"/>
    </row>
    <row r="647" spans="19:22" ht="15.75" customHeight="1">
      <c r="S647" s="15"/>
      <c r="V647" s="16"/>
    </row>
    <row r="648" spans="19:22" ht="15.75" customHeight="1">
      <c r="S648" s="15"/>
      <c r="V648" s="16"/>
    </row>
    <row r="649" spans="19:22" ht="15.75" customHeight="1">
      <c r="S649" s="15"/>
      <c r="V649" s="16"/>
    </row>
    <row r="650" spans="19:22" ht="15.75" customHeight="1">
      <c r="S650" s="15"/>
      <c r="V650" s="16"/>
    </row>
    <row r="651" spans="19:22" ht="15.75" customHeight="1">
      <c r="S651" s="15"/>
      <c r="V651" s="16"/>
    </row>
    <row r="652" spans="19:22" ht="15.75" customHeight="1">
      <c r="S652" s="15"/>
      <c r="V652" s="16"/>
    </row>
    <row r="653" spans="19:22" ht="15.75" customHeight="1">
      <c r="S653" s="15"/>
      <c r="V653" s="16"/>
    </row>
    <row r="654" spans="19:22" ht="15.75" customHeight="1">
      <c r="S654" s="15"/>
      <c r="V654" s="16"/>
    </row>
    <row r="655" spans="19:22" ht="15.75" customHeight="1">
      <c r="S655" s="15"/>
      <c r="V655" s="16"/>
    </row>
    <row r="656" spans="19:22" ht="15.75" customHeight="1">
      <c r="S656" s="15"/>
      <c r="V656" s="16"/>
    </row>
    <row r="657" spans="19:22" ht="15.75" customHeight="1">
      <c r="S657" s="15"/>
      <c r="V657" s="16"/>
    </row>
    <row r="658" spans="19:22" ht="15.75" customHeight="1">
      <c r="S658" s="15"/>
      <c r="V658" s="16"/>
    </row>
    <row r="659" spans="19:22" ht="15.75" customHeight="1">
      <c r="S659" s="15"/>
      <c r="V659" s="16"/>
    </row>
    <row r="660" spans="19:22" ht="15.75" customHeight="1">
      <c r="S660" s="15"/>
      <c r="V660" s="16"/>
    </row>
    <row r="661" spans="19:22" ht="15.75" customHeight="1">
      <c r="S661" s="15"/>
      <c r="V661" s="16"/>
    </row>
    <row r="662" spans="19:22" ht="15.75" customHeight="1">
      <c r="S662" s="15"/>
      <c r="V662" s="16"/>
    </row>
    <row r="663" spans="19:22" ht="15.75" customHeight="1">
      <c r="S663" s="15"/>
      <c r="V663" s="16"/>
    </row>
    <row r="664" spans="19:22" ht="15.75" customHeight="1">
      <c r="S664" s="15"/>
      <c r="V664" s="16"/>
    </row>
    <row r="665" spans="19:22" ht="15.75" customHeight="1">
      <c r="S665" s="15"/>
      <c r="V665" s="16"/>
    </row>
    <row r="666" spans="19:22" ht="15.75" customHeight="1">
      <c r="S666" s="15"/>
      <c r="V666" s="16"/>
    </row>
    <row r="667" spans="19:22" ht="15.75" customHeight="1">
      <c r="S667" s="15"/>
      <c r="V667" s="16"/>
    </row>
    <row r="668" spans="19:22" ht="15.75" customHeight="1">
      <c r="S668" s="15"/>
      <c r="V668" s="16"/>
    </row>
    <row r="669" spans="19:22" ht="15.75" customHeight="1">
      <c r="S669" s="15"/>
      <c r="V669" s="16"/>
    </row>
    <row r="670" spans="19:22" ht="15.75" customHeight="1">
      <c r="S670" s="15"/>
      <c r="V670" s="16"/>
    </row>
    <row r="671" spans="19:22" ht="15.75" customHeight="1">
      <c r="S671" s="15"/>
      <c r="V671" s="16"/>
    </row>
    <row r="672" spans="19:22" ht="15.75" customHeight="1">
      <c r="S672" s="15"/>
      <c r="V672" s="16"/>
    </row>
    <row r="673" spans="19:22" ht="15.75" customHeight="1">
      <c r="S673" s="15"/>
      <c r="V673" s="16"/>
    </row>
    <row r="674" spans="19:22" ht="15.75" customHeight="1">
      <c r="S674" s="15"/>
      <c r="V674" s="16"/>
    </row>
    <row r="675" spans="19:22" ht="15.75" customHeight="1">
      <c r="S675" s="15"/>
      <c r="V675" s="16"/>
    </row>
    <row r="676" spans="19:22" ht="15.75" customHeight="1">
      <c r="S676" s="15"/>
      <c r="V676" s="16"/>
    </row>
    <row r="677" spans="19:22" ht="15.75" customHeight="1">
      <c r="S677" s="15"/>
      <c r="V677" s="16"/>
    </row>
    <row r="678" spans="19:22" ht="15.75" customHeight="1">
      <c r="S678" s="15"/>
      <c r="V678" s="16"/>
    </row>
    <row r="679" spans="19:22" ht="15.75" customHeight="1">
      <c r="S679" s="15"/>
      <c r="V679" s="16"/>
    </row>
    <row r="680" spans="19:22" ht="15.75" customHeight="1">
      <c r="S680" s="15"/>
      <c r="V680" s="16"/>
    </row>
    <row r="681" spans="19:22" ht="15.75" customHeight="1">
      <c r="S681" s="15"/>
      <c r="V681" s="16"/>
    </row>
    <row r="682" spans="19:22" ht="15.75" customHeight="1">
      <c r="S682" s="15"/>
      <c r="V682" s="16"/>
    </row>
    <row r="683" spans="19:22" ht="15.75" customHeight="1">
      <c r="S683" s="15"/>
      <c r="V683" s="16"/>
    </row>
    <row r="684" spans="19:22" ht="15.75" customHeight="1">
      <c r="S684" s="15"/>
      <c r="V684" s="16"/>
    </row>
    <row r="685" spans="19:22" ht="15.75" customHeight="1">
      <c r="S685" s="15"/>
      <c r="V685" s="16"/>
    </row>
    <row r="686" spans="19:22" ht="15.75" customHeight="1">
      <c r="S686" s="15"/>
      <c r="V686" s="16"/>
    </row>
    <row r="687" spans="19:22" ht="15.75" customHeight="1">
      <c r="S687" s="15"/>
      <c r="V687" s="16"/>
    </row>
    <row r="688" spans="19:22" ht="15.75" customHeight="1">
      <c r="S688" s="15"/>
      <c r="V688" s="16"/>
    </row>
    <row r="689" spans="19:22" ht="15.75" customHeight="1">
      <c r="S689" s="15"/>
      <c r="V689" s="16"/>
    </row>
    <row r="690" spans="19:22" ht="15.75" customHeight="1">
      <c r="S690" s="15"/>
      <c r="V690" s="16"/>
    </row>
    <row r="691" spans="19:22" ht="15.75" customHeight="1">
      <c r="S691" s="15"/>
      <c r="V691" s="16"/>
    </row>
    <row r="692" spans="19:22" ht="15.75" customHeight="1">
      <c r="S692" s="15"/>
      <c r="V692" s="16"/>
    </row>
    <row r="693" spans="19:22" ht="15.75" customHeight="1">
      <c r="S693" s="15"/>
      <c r="V693" s="16"/>
    </row>
    <row r="694" spans="19:22" ht="15.75" customHeight="1">
      <c r="S694" s="15"/>
      <c r="V694" s="16"/>
    </row>
    <row r="695" spans="19:22" ht="15.75" customHeight="1">
      <c r="S695" s="15"/>
      <c r="V695" s="16"/>
    </row>
    <row r="696" spans="19:22" ht="15.75" customHeight="1">
      <c r="S696" s="15"/>
      <c r="V696" s="16"/>
    </row>
    <row r="697" spans="19:22" ht="15.75" customHeight="1">
      <c r="S697" s="15"/>
      <c r="V697" s="16"/>
    </row>
    <row r="698" spans="19:22" ht="15.75" customHeight="1">
      <c r="S698" s="15"/>
      <c r="V698" s="16"/>
    </row>
    <row r="699" spans="19:22" ht="15.75" customHeight="1">
      <c r="S699" s="15"/>
      <c r="V699" s="16"/>
    </row>
    <row r="700" spans="19:22" ht="15.75" customHeight="1">
      <c r="S700" s="15"/>
      <c r="V700" s="16"/>
    </row>
    <row r="701" spans="19:22" ht="15.75" customHeight="1">
      <c r="S701" s="15"/>
      <c r="V701" s="16"/>
    </row>
    <row r="702" spans="19:22" ht="15.75" customHeight="1">
      <c r="S702" s="15"/>
      <c r="V702" s="16"/>
    </row>
    <row r="703" spans="19:22" ht="15.75" customHeight="1">
      <c r="S703" s="15"/>
      <c r="V703" s="16"/>
    </row>
    <row r="704" spans="19:22" ht="15.75" customHeight="1">
      <c r="S704" s="15"/>
      <c r="V704" s="16"/>
    </row>
    <row r="705" spans="19:22" ht="15.75" customHeight="1">
      <c r="S705" s="15"/>
      <c r="V705" s="16"/>
    </row>
    <row r="706" spans="19:22" ht="15.75" customHeight="1">
      <c r="S706" s="15"/>
      <c r="V706" s="16"/>
    </row>
    <row r="707" spans="19:22" ht="15.75" customHeight="1">
      <c r="S707" s="15"/>
      <c r="V707" s="16"/>
    </row>
    <row r="708" spans="19:22" ht="15.75" customHeight="1">
      <c r="S708" s="15"/>
      <c r="V708" s="16"/>
    </row>
    <row r="709" spans="19:22" ht="15.75" customHeight="1">
      <c r="S709" s="15"/>
      <c r="V709" s="16"/>
    </row>
    <row r="710" spans="19:22" ht="15.75" customHeight="1">
      <c r="S710" s="15"/>
      <c r="V710" s="16"/>
    </row>
    <row r="711" spans="19:22" ht="15.75" customHeight="1">
      <c r="S711" s="15"/>
      <c r="V711" s="16"/>
    </row>
    <row r="712" spans="19:22" ht="15.75" customHeight="1">
      <c r="S712" s="15"/>
      <c r="V712" s="16"/>
    </row>
    <row r="713" spans="19:22" ht="15.75" customHeight="1">
      <c r="S713" s="15"/>
      <c r="V713" s="16"/>
    </row>
    <row r="714" spans="19:22" ht="15.75" customHeight="1">
      <c r="S714" s="15"/>
      <c r="V714" s="16"/>
    </row>
    <row r="715" spans="19:22" ht="15.75" customHeight="1">
      <c r="S715" s="15"/>
      <c r="V715" s="16"/>
    </row>
    <row r="716" spans="19:22" ht="15.75" customHeight="1">
      <c r="S716" s="15"/>
      <c r="V716" s="16"/>
    </row>
    <row r="717" spans="19:22" ht="15.75" customHeight="1">
      <c r="S717" s="15"/>
      <c r="V717" s="16"/>
    </row>
    <row r="718" spans="19:22" ht="15.75" customHeight="1">
      <c r="S718" s="15"/>
      <c r="V718" s="16"/>
    </row>
    <row r="719" spans="19:22" ht="15.75" customHeight="1">
      <c r="S719" s="15"/>
      <c r="V719" s="16"/>
    </row>
    <row r="720" spans="19:22" ht="15.75" customHeight="1">
      <c r="S720" s="15"/>
      <c r="V720" s="16"/>
    </row>
    <row r="721" spans="19:22" ht="15.75" customHeight="1">
      <c r="S721" s="15"/>
      <c r="V721" s="16"/>
    </row>
    <row r="722" spans="19:22" ht="15.75" customHeight="1">
      <c r="S722" s="15"/>
      <c r="V722" s="16"/>
    </row>
    <row r="723" spans="19:22" ht="15.75" customHeight="1">
      <c r="S723" s="15"/>
      <c r="V723" s="16"/>
    </row>
    <row r="724" spans="19:22" ht="15.75" customHeight="1">
      <c r="S724" s="15"/>
      <c r="V724" s="16"/>
    </row>
    <row r="725" spans="19:22" ht="15.75" customHeight="1">
      <c r="S725" s="15"/>
      <c r="V725" s="16"/>
    </row>
    <row r="726" spans="19:22" ht="15.75" customHeight="1">
      <c r="S726" s="15"/>
      <c r="V726" s="16"/>
    </row>
    <row r="727" spans="19:22" ht="15.75" customHeight="1">
      <c r="S727" s="15"/>
      <c r="V727" s="16"/>
    </row>
    <row r="728" spans="19:22" ht="15.75" customHeight="1">
      <c r="S728" s="15"/>
      <c r="V728" s="16"/>
    </row>
    <row r="729" spans="19:22" ht="15.75" customHeight="1">
      <c r="S729" s="15"/>
      <c r="V729" s="16"/>
    </row>
    <row r="730" spans="19:22" ht="15.75" customHeight="1">
      <c r="S730" s="15"/>
      <c r="V730" s="16"/>
    </row>
    <row r="731" spans="19:22" ht="15.75" customHeight="1">
      <c r="S731" s="15"/>
      <c r="V731" s="16"/>
    </row>
    <row r="732" spans="19:22" ht="15.75" customHeight="1">
      <c r="S732" s="15"/>
      <c r="V732" s="16"/>
    </row>
    <row r="733" spans="19:22" ht="15.75" customHeight="1">
      <c r="S733" s="15"/>
      <c r="V733" s="16"/>
    </row>
    <row r="734" spans="19:22" ht="15.75" customHeight="1">
      <c r="S734" s="15"/>
      <c r="V734" s="16"/>
    </row>
    <row r="735" spans="19:22" ht="15.75" customHeight="1">
      <c r="S735" s="15"/>
      <c r="V735" s="16"/>
    </row>
    <row r="736" spans="19:22" ht="15.75" customHeight="1">
      <c r="S736" s="15"/>
      <c r="V736" s="16"/>
    </row>
    <row r="737" spans="19:22" ht="15.75" customHeight="1">
      <c r="S737" s="15"/>
      <c r="V737" s="16"/>
    </row>
    <row r="738" spans="19:22" ht="15.75" customHeight="1">
      <c r="S738" s="15"/>
      <c r="V738" s="16"/>
    </row>
    <row r="739" spans="19:22" ht="15.75" customHeight="1">
      <c r="S739" s="15"/>
      <c r="V739" s="16"/>
    </row>
    <row r="740" spans="19:22" ht="15.75" customHeight="1">
      <c r="S740" s="15"/>
      <c r="V740" s="16"/>
    </row>
    <row r="741" spans="19:22" ht="15.75" customHeight="1">
      <c r="S741" s="15"/>
      <c r="V741" s="16"/>
    </row>
    <row r="742" spans="19:22" ht="15.75" customHeight="1">
      <c r="S742" s="15"/>
      <c r="V742" s="16"/>
    </row>
    <row r="743" spans="19:22" ht="15.75" customHeight="1">
      <c r="S743" s="15"/>
      <c r="V743" s="16"/>
    </row>
    <row r="744" spans="19:22" ht="15.75" customHeight="1">
      <c r="S744" s="15"/>
      <c r="V744" s="16"/>
    </row>
    <row r="745" spans="19:22" ht="15.75" customHeight="1">
      <c r="S745" s="15"/>
      <c r="V745" s="16"/>
    </row>
    <row r="746" spans="19:22" ht="15.75" customHeight="1">
      <c r="S746" s="15"/>
      <c r="V746" s="16"/>
    </row>
    <row r="747" spans="19:22" ht="15.75" customHeight="1">
      <c r="S747" s="15"/>
      <c r="V747" s="16"/>
    </row>
    <row r="748" spans="19:22" ht="15.75" customHeight="1">
      <c r="S748" s="15"/>
      <c r="V748" s="16"/>
    </row>
    <row r="749" spans="19:22" ht="15.75" customHeight="1">
      <c r="S749" s="15"/>
      <c r="V749" s="16"/>
    </row>
    <row r="750" spans="19:22" ht="15.75" customHeight="1">
      <c r="S750" s="15"/>
      <c r="V750" s="16"/>
    </row>
    <row r="751" spans="19:22" ht="15.75" customHeight="1">
      <c r="S751" s="15"/>
      <c r="V751" s="16"/>
    </row>
    <row r="752" spans="19:22" ht="15.75" customHeight="1">
      <c r="S752" s="15"/>
      <c r="V752" s="16"/>
    </row>
    <row r="753" spans="19:22" ht="15.75" customHeight="1">
      <c r="S753" s="15"/>
      <c r="V753" s="16"/>
    </row>
    <row r="754" spans="19:22" ht="15.75" customHeight="1">
      <c r="S754" s="15"/>
      <c r="V754" s="16"/>
    </row>
    <row r="755" spans="19:22" ht="15.75" customHeight="1">
      <c r="S755" s="15"/>
      <c r="V755" s="16"/>
    </row>
    <row r="756" spans="19:22" ht="15.75" customHeight="1">
      <c r="S756" s="15"/>
      <c r="V756" s="16"/>
    </row>
    <row r="757" spans="19:22" ht="15.75" customHeight="1">
      <c r="S757" s="15"/>
      <c r="V757" s="16"/>
    </row>
    <row r="758" spans="19:22" ht="15.75" customHeight="1">
      <c r="S758" s="15"/>
      <c r="V758" s="16"/>
    </row>
    <row r="759" spans="19:22" ht="15.75" customHeight="1">
      <c r="S759" s="15"/>
      <c r="V759" s="16"/>
    </row>
    <row r="760" spans="19:22" ht="15.75" customHeight="1">
      <c r="S760" s="15"/>
      <c r="V760" s="16"/>
    </row>
    <row r="761" spans="19:22" ht="15.75" customHeight="1">
      <c r="S761" s="15"/>
      <c r="V761" s="16"/>
    </row>
    <row r="762" spans="19:22" ht="15.75" customHeight="1">
      <c r="S762" s="15"/>
      <c r="V762" s="16"/>
    </row>
    <row r="763" spans="19:22" ht="15.75" customHeight="1">
      <c r="S763" s="15"/>
      <c r="V763" s="16"/>
    </row>
    <row r="764" spans="19:22" ht="15.75" customHeight="1">
      <c r="S764" s="15"/>
      <c r="V764" s="16"/>
    </row>
    <row r="765" spans="19:22" ht="15.75" customHeight="1">
      <c r="S765" s="15"/>
      <c r="V765" s="16"/>
    </row>
    <row r="766" spans="19:22" ht="15.75" customHeight="1">
      <c r="S766" s="15"/>
      <c r="V766" s="16"/>
    </row>
    <row r="767" spans="19:22" ht="15.75" customHeight="1">
      <c r="S767" s="15"/>
      <c r="V767" s="16"/>
    </row>
    <row r="768" spans="19:22" ht="15.75" customHeight="1">
      <c r="S768" s="15"/>
      <c r="V768" s="16"/>
    </row>
    <row r="769" spans="19:22" ht="15.75" customHeight="1">
      <c r="S769" s="15"/>
      <c r="V769" s="16"/>
    </row>
    <row r="770" spans="19:22" ht="15.75" customHeight="1">
      <c r="S770" s="15"/>
      <c r="V770" s="16"/>
    </row>
    <row r="771" spans="19:22" ht="15.75" customHeight="1">
      <c r="S771" s="15"/>
      <c r="V771" s="16"/>
    </row>
    <row r="772" spans="19:22" ht="15.75" customHeight="1">
      <c r="S772" s="15"/>
      <c r="V772" s="16"/>
    </row>
    <row r="773" spans="19:22" ht="15.75" customHeight="1">
      <c r="S773" s="15"/>
      <c r="V773" s="16"/>
    </row>
    <row r="774" spans="19:22" ht="15.75" customHeight="1">
      <c r="S774" s="15"/>
      <c r="V774" s="16"/>
    </row>
    <row r="775" spans="19:22" ht="15.75" customHeight="1">
      <c r="S775" s="15"/>
      <c r="V775" s="16"/>
    </row>
    <row r="776" spans="19:22" ht="15.75" customHeight="1">
      <c r="S776" s="15"/>
      <c r="V776" s="16"/>
    </row>
    <row r="777" spans="19:22" ht="15.75" customHeight="1">
      <c r="S777" s="15"/>
      <c r="V777" s="16"/>
    </row>
    <row r="778" spans="19:22" ht="15.75" customHeight="1">
      <c r="S778" s="15"/>
      <c r="V778" s="16"/>
    </row>
    <row r="779" spans="19:22" ht="15.75" customHeight="1">
      <c r="S779" s="15"/>
      <c r="V779" s="16"/>
    </row>
    <row r="780" spans="19:22" ht="15.75" customHeight="1">
      <c r="S780" s="15"/>
      <c r="V780" s="16"/>
    </row>
    <row r="781" spans="19:22" ht="15.75" customHeight="1">
      <c r="S781" s="15"/>
      <c r="V781" s="16"/>
    </row>
    <row r="782" spans="19:22" ht="15.75" customHeight="1">
      <c r="S782" s="15"/>
      <c r="V782" s="16"/>
    </row>
    <row r="783" spans="19:22" ht="15.75" customHeight="1">
      <c r="S783" s="15"/>
      <c r="V783" s="16"/>
    </row>
    <row r="784" spans="19:22" ht="15.75" customHeight="1">
      <c r="S784" s="15"/>
      <c r="V784" s="16"/>
    </row>
    <row r="785" spans="19:22" ht="15.75" customHeight="1">
      <c r="S785" s="15"/>
      <c r="V785" s="16"/>
    </row>
    <row r="786" spans="19:22" ht="15.75" customHeight="1">
      <c r="S786" s="15"/>
      <c r="V786" s="16"/>
    </row>
    <row r="787" spans="19:22" ht="15.75" customHeight="1">
      <c r="S787" s="15"/>
      <c r="V787" s="16"/>
    </row>
    <row r="788" spans="19:22" ht="15.75" customHeight="1">
      <c r="S788" s="15"/>
      <c r="V788" s="16"/>
    </row>
    <row r="789" spans="19:22" ht="15.75" customHeight="1">
      <c r="S789" s="15"/>
      <c r="V789" s="16"/>
    </row>
    <row r="790" spans="19:22" ht="15.75" customHeight="1">
      <c r="S790" s="15"/>
      <c r="V790" s="16"/>
    </row>
    <row r="791" spans="19:22" ht="15.75" customHeight="1">
      <c r="S791" s="15"/>
      <c r="V791" s="16"/>
    </row>
    <row r="792" spans="19:22" ht="15.75" customHeight="1">
      <c r="S792" s="15"/>
      <c r="V792" s="16"/>
    </row>
    <row r="793" spans="19:22" ht="15.75" customHeight="1">
      <c r="S793" s="15"/>
      <c r="V793" s="16"/>
    </row>
    <row r="794" spans="19:22" ht="15.75" customHeight="1">
      <c r="S794" s="15"/>
      <c r="V794" s="16"/>
    </row>
    <row r="795" spans="19:22" ht="15.75" customHeight="1">
      <c r="S795" s="15"/>
      <c r="V795" s="16"/>
    </row>
    <row r="796" spans="19:22" ht="15.75" customHeight="1">
      <c r="S796" s="15"/>
      <c r="V796" s="16"/>
    </row>
    <row r="797" spans="19:22" ht="15.75" customHeight="1">
      <c r="S797" s="15"/>
      <c r="V797" s="16"/>
    </row>
    <row r="798" spans="19:22" ht="15.75" customHeight="1">
      <c r="S798" s="15"/>
      <c r="V798" s="16"/>
    </row>
    <row r="799" spans="19:22" ht="15.75" customHeight="1">
      <c r="S799" s="15"/>
      <c r="V799" s="16"/>
    </row>
    <row r="800" spans="19:22" ht="15.75" customHeight="1">
      <c r="S800" s="15"/>
      <c r="V800" s="16"/>
    </row>
    <row r="801" spans="19:22" ht="15.75" customHeight="1">
      <c r="S801" s="15"/>
      <c r="V801" s="16"/>
    </row>
    <row r="802" spans="19:22" ht="15.75" customHeight="1">
      <c r="S802" s="15"/>
      <c r="V802" s="16"/>
    </row>
    <row r="803" spans="19:22" ht="15.75" customHeight="1">
      <c r="S803" s="15"/>
      <c r="V803" s="16"/>
    </row>
    <row r="804" spans="19:22" ht="15.75" customHeight="1">
      <c r="S804" s="15"/>
      <c r="V804" s="16"/>
    </row>
    <row r="805" spans="19:22" ht="15.75" customHeight="1">
      <c r="S805" s="15"/>
      <c r="V805" s="16"/>
    </row>
    <row r="806" spans="19:22" ht="15.75" customHeight="1">
      <c r="S806" s="15"/>
      <c r="V806" s="16"/>
    </row>
    <row r="807" spans="19:22" ht="15.75" customHeight="1">
      <c r="S807" s="15"/>
      <c r="V807" s="16"/>
    </row>
    <row r="808" spans="19:22" ht="15.75" customHeight="1">
      <c r="S808" s="15"/>
      <c r="V808" s="16"/>
    </row>
    <row r="809" spans="19:22" ht="15.75" customHeight="1">
      <c r="S809" s="15"/>
      <c r="V809" s="16"/>
    </row>
    <row r="810" spans="19:22" ht="15.75" customHeight="1">
      <c r="S810" s="15"/>
      <c r="V810" s="16"/>
    </row>
    <row r="811" spans="19:22" ht="15.75" customHeight="1">
      <c r="S811" s="15"/>
      <c r="V811" s="16"/>
    </row>
    <row r="812" spans="19:22" ht="15.75" customHeight="1">
      <c r="S812" s="15"/>
      <c r="V812" s="16"/>
    </row>
    <row r="813" spans="19:22" ht="15.75" customHeight="1">
      <c r="S813" s="15"/>
      <c r="V813" s="16"/>
    </row>
    <row r="814" spans="19:22" ht="15.75" customHeight="1">
      <c r="S814" s="15"/>
      <c r="V814" s="16"/>
    </row>
    <row r="815" spans="19:22" ht="15.75" customHeight="1">
      <c r="S815" s="15"/>
      <c r="V815" s="16"/>
    </row>
    <row r="816" spans="19:22" ht="15.75" customHeight="1">
      <c r="S816" s="15"/>
      <c r="V816" s="16"/>
    </row>
    <row r="817" spans="19:22" ht="15.75" customHeight="1">
      <c r="S817" s="15"/>
      <c r="V817" s="16"/>
    </row>
    <row r="818" spans="19:22" ht="15.75" customHeight="1">
      <c r="S818" s="15"/>
      <c r="V818" s="16"/>
    </row>
    <row r="819" spans="19:22" ht="15.75" customHeight="1">
      <c r="S819" s="15"/>
      <c r="V819" s="16"/>
    </row>
    <row r="820" spans="19:22" ht="15.75" customHeight="1">
      <c r="S820" s="15"/>
      <c r="V820" s="16"/>
    </row>
    <row r="821" spans="19:22" ht="15.75" customHeight="1">
      <c r="S821" s="15"/>
      <c r="V821" s="16"/>
    </row>
    <row r="822" spans="19:22" ht="15.75" customHeight="1">
      <c r="S822" s="15"/>
      <c r="V822" s="16"/>
    </row>
    <row r="823" spans="19:22" ht="15.75" customHeight="1">
      <c r="S823" s="15"/>
      <c r="V823" s="16"/>
    </row>
    <row r="824" spans="19:22" ht="15.75" customHeight="1">
      <c r="S824" s="15"/>
      <c r="V824" s="16"/>
    </row>
    <row r="825" spans="19:22" ht="15.75" customHeight="1">
      <c r="S825" s="15"/>
      <c r="V825" s="16"/>
    </row>
    <row r="826" spans="19:22" ht="15.75" customHeight="1">
      <c r="S826" s="15"/>
      <c r="V826" s="16"/>
    </row>
    <row r="827" spans="19:22" ht="15.75" customHeight="1">
      <c r="S827" s="15"/>
      <c r="V827" s="16"/>
    </row>
    <row r="828" spans="19:22" ht="15.75" customHeight="1">
      <c r="S828" s="15"/>
      <c r="V828" s="16"/>
    </row>
    <row r="829" spans="19:22" ht="15.75" customHeight="1">
      <c r="S829" s="15"/>
      <c r="V829" s="16"/>
    </row>
    <row r="830" spans="19:22" ht="15.75" customHeight="1">
      <c r="S830" s="15"/>
      <c r="V830" s="16"/>
    </row>
    <row r="831" spans="19:22" ht="15.75" customHeight="1">
      <c r="S831" s="15"/>
      <c r="V831" s="16"/>
    </row>
    <row r="832" spans="19:22" ht="15.75" customHeight="1">
      <c r="S832" s="15"/>
      <c r="V832" s="16"/>
    </row>
    <row r="833" spans="19:22" ht="15.75" customHeight="1">
      <c r="S833" s="15"/>
      <c r="V833" s="16"/>
    </row>
    <row r="834" spans="19:22" ht="15.75" customHeight="1">
      <c r="S834" s="15"/>
      <c r="V834" s="16"/>
    </row>
    <row r="835" spans="19:22" ht="15.75" customHeight="1">
      <c r="S835" s="15"/>
      <c r="V835" s="16"/>
    </row>
    <row r="836" spans="19:22" ht="15.75" customHeight="1">
      <c r="S836" s="15"/>
      <c r="V836" s="16"/>
    </row>
    <row r="837" spans="19:22" ht="15.75" customHeight="1">
      <c r="S837" s="15"/>
      <c r="V837" s="16"/>
    </row>
    <row r="838" spans="19:22" ht="15.75" customHeight="1">
      <c r="S838" s="15"/>
      <c r="V838" s="16"/>
    </row>
    <row r="839" spans="19:22" ht="15.75" customHeight="1">
      <c r="S839" s="15"/>
      <c r="V839" s="16"/>
    </row>
    <row r="840" spans="19:22" ht="15.75" customHeight="1">
      <c r="S840" s="15"/>
      <c r="V840" s="16"/>
    </row>
    <row r="841" spans="19:22" ht="15.75" customHeight="1">
      <c r="S841" s="15"/>
      <c r="V841" s="16"/>
    </row>
    <row r="842" spans="19:22" ht="15.75" customHeight="1">
      <c r="S842" s="15"/>
      <c r="V842" s="16"/>
    </row>
    <row r="843" spans="19:22" ht="15.75" customHeight="1">
      <c r="S843" s="15"/>
      <c r="V843" s="16"/>
    </row>
    <row r="844" spans="19:22" ht="15.75" customHeight="1">
      <c r="S844" s="15"/>
      <c r="V844" s="16"/>
    </row>
    <row r="845" spans="19:22" ht="15.75" customHeight="1">
      <c r="S845" s="15"/>
      <c r="V845" s="16"/>
    </row>
    <row r="846" spans="19:22" ht="15.75" customHeight="1">
      <c r="S846" s="15"/>
      <c r="V846" s="16"/>
    </row>
    <row r="847" spans="19:22" ht="15.75" customHeight="1">
      <c r="S847" s="15"/>
      <c r="V847" s="16"/>
    </row>
    <row r="848" spans="19:22" ht="15.75" customHeight="1">
      <c r="S848" s="15"/>
      <c r="V848" s="16"/>
    </row>
    <row r="849" spans="19:22" ht="15.75" customHeight="1">
      <c r="S849" s="15"/>
      <c r="V849" s="16"/>
    </row>
    <row r="850" spans="19:22" ht="15.75" customHeight="1">
      <c r="S850" s="15"/>
      <c r="V850" s="16"/>
    </row>
    <row r="851" spans="19:22" ht="15.75" customHeight="1">
      <c r="S851" s="15"/>
      <c r="V851" s="16"/>
    </row>
    <row r="852" spans="19:22" ht="15.75" customHeight="1">
      <c r="S852" s="15"/>
      <c r="V852" s="16"/>
    </row>
    <row r="853" spans="19:22" ht="15.75" customHeight="1">
      <c r="S853" s="15"/>
      <c r="V853" s="16"/>
    </row>
    <row r="854" spans="19:22" ht="15.75" customHeight="1">
      <c r="S854" s="15"/>
      <c r="V854" s="16"/>
    </row>
    <row r="855" spans="19:22" ht="15.75" customHeight="1">
      <c r="S855" s="15"/>
      <c r="V855" s="16"/>
    </row>
    <row r="856" spans="19:22" ht="15.75" customHeight="1">
      <c r="S856" s="15"/>
      <c r="V856" s="16"/>
    </row>
    <row r="857" spans="19:22" ht="15.75" customHeight="1">
      <c r="S857" s="15"/>
      <c r="V857" s="16"/>
    </row>
    <row r="858" spans="19:22" ht="15.75" customHeight="1">
      <c r="S858" s="15"/>
      <c r="V858" s="16"/>
    </row>
    <row r="859" spans="19:22" ht="15.75" customHeight="1">
      <c r="S859" s="15"/>
      <c r="V859" s="16"/>
    </row>
    <row r="860" spans="19:22" ht="15.75" customHeight="1">
      <c r="S860" s="15"/>
      <c r="V860" s="16"/>
    </row>
    <row r="861" spans="19:22" ht="15.75" customHeight="1">
      <c r="S861" s="15"/>
      <c r="V861" s="16"/>
    </row>
    <row r="862" spans="19:22" ht="15.75" customHeight="1">
      <c r="S862" s="15"/>
      <c r="V862" s="16"/>
    </row>
    <row r="863" spans="19:22" ht="15.75" customHeight="1">
      <c r="S863" s="15"/>
      <c r="V863" s="16"/>
    </row>
    <row r="864" spans="19:22" ht="15.75" customHeight="1">
      <c r="S864" s="15"/>
      <c r="V864" s="16"/>
    </row>
    <row r="865" spans="19:22" ht="15.75" customHeight="1">
      <c r="S865" s="15"/>
      <c r="V865" s="16"/>
    </row>
    <row r="866" spans="19:22" ht="15.75" customHeight="1">
      <c r="S866" s="15"/>
      <c r="V866" s="16"/>
    </row>
    <row r="867" spans="19:22" ht="15.75" customHeight="1">
      <c r="S867" s="15"/>
      <c r="V867" s="16"/>
    </row>
    <row r="868" spans="19:22" ht="15.75" customHeight="1">
      <c r="S868" s="15"/>
      <c r="V868" s="16"/>
    </row>
    <row r="869" spans="19:22" ht="15.75" customHeight="1">
      <c r="S869" s="15"/>
      <c r="V869" s="16"/>
    </row>
    <row r="870" spans="19:22" ht="15.75" customHeight="1">
      <c r="S870" s="15"/>
      <c r="V870" s="16"/>
    </row>
    <row r="871" spans="19:22" ht="15.75" customHeight="1">
      <c r="S871" s="15"/>
      <c r="V871" s="16"/>
    </row>
    <row r="872" spans="19:22" ht="15.75" customHeight="1">
      <c r="S872" s="15"/>
      <c r="V872" s="16"/>
    </row>
    <row r="873" spans="19:22" ht="15.75" customHeight="1">
      <c r="S873" s="15"/>
      <c r="V873" s="16"/>
    </row>
    <row r="874" spans="19:22" ht="15.75" customHeight="1">
      <c r="S874" s="15"/>
      <c r="V874" s="16"/>
    </row>
    <row r="875" spans="19:22" ht="15.75" customHeight="1">
      <c r="S875" s="15"/>
      <c r="V875" s="16"/>
    </row>
    <row r="876" spans="19:22" ht="15.75" customHeight="1">
      <c r="S876" s="15"/>
      <c r="V876" s="16"/>
    </row>
    <row r="877" spans="19:22" ht="15.75" customHeight="1">
      <c r="S877" s="15"/>
      <c r="V877" s="16"/>
    </row>
    <row r="878" spans="19:22" ht="15.75" customHeight="1">
      <c r="S878" s="15"/>
      <c r="V878" s="16"/>
    </row>
    <row r="879" spans="19:22" ht="15.75" customHeight="1">
      <c r="S879" s="15"/>
      <c r="V879" s="16"/>
    </row>
    <row r="880" spans="19:22" ht="15.75" customHeight="1">
      <c r="S880" s="15"/>
      <c r="V880" s="16"/>
    </row>
    <row r="881" spans="19:22" ht="15.75" customHeight="1">
      <c r="S881" s="15"/>
      <c r="V881" s="16"/>
    </row>
    <row r="882" spans="19:22" ht="15.75" customHeight="1">
      <c r="S882" s="15"/>
      <c r="V882" s="16"/>
    </row>
    <row r="883" spans="19:22" ht="15.75" customHeight="1">
      <c r="S883" s="15"/>
      <c r="V883" s="16"/>
    </row>
    <row r="884" spans="19:22" ht="15.75" customHeight="1">
      <c r="S884" s="15"/>
      <c r="V884" s="16"/>
    </row>
    <row r="885" spans="19:22" ht="15.75" customHeight="1">
      <c r="S885" s="15"/>
      <c r="V885" s="16"/>
    </row>
    <row r="886" spans="19:22" ht="15.75" customHeight="1">
      <c r="S886" s="15"/>
      <c r="V886" s="16"/>
    </row>
    <row r="887" spans="19:22" ht="15.75" customHeight="1">
      <c r="S887" s="15"/>
      <c r="V887" s="16"/>
    </row>
    <row r="888" spans="19:22" ht="15.75" customHeight="1">
      <c r="S888" s="15"/>
      <c r="V888" s="16"/>
    </row>
    <row r="889" spans="19:22" ht="15.75" customHeight="1">
      <c r="S889" s="15"/>
      <c r="V889" s="16"/>
    </row>
    <row r="890" spans="19:22" ht="15.75" customHeight="1">
      <c r="S890" s="15"/>
      <c r="V890" s="16"/>
    </row>
    <row r="891" spans="19:22" ht="15.75" customHeight="1">
      <c r="S891" s="15"/>
      <c r="V891" s="16"/>
    </row>
    <row r="892" spans="19:22" ht="15.75" customHeight="1">
      <c r="S892" s="15"/>
      <c r="V892" s="16"/>
    </row>
    <row r="893" spans="19:22" ht="15.75" customHeight="1">
      <c r="S893" s="15"/>
      <c r="V893" s="16"/>
    </row>
    <row r="894" spans="19:22" ht="15.75" customHeight="1">
      <c r="S894" s="15"/>
      <c r="V894" s="16"/>
    </row>
    <row r="895" spans="19:22" ht="15.75" customHeight="1">
      <c r="S895" s="15"/>
      <c r="V895" s="16"/>
    </row>
    <row r="896" spans="19:22" ht="15.75" customHeight="1">
      <c r="S896" s="15"/>
      <c r="V896" s="16"/>
    </row>
    <row r="897" spans="19:22" ht="15.75" customHeight="1">
      <c r="S897" s="15"/>
      <c r="V897" s="16"/>
    </row>
    <row r="898" spans="19:22" ht="15.75" customHeight="1">
      <c r="S898" s="15"/>
      <c r="V898" s="16"/>
    </row>
    <row r="899" spans="19:22" ht="15.75" customHeight="1">
      <c r="S899" s="15"/>
      <c r="V899" s="16"/>
    </row>
    <row r="900" spans="19:22" ht="15.75" customHeight="1">
      <c r="S900" s="15"/>
      <c r="V900" s="16"/>
    </row>
    <row r="901" spans="19:22" ht="15.75" customHeight="1">
      <c r="S901" s="15"/>
      <c r="V901" s="16"/>
    </row>
    <row r="902" spans="19:22" ht="15.75" customHeight="1">
      <c r="S902" s="15"/>
      <c r="V902" s="16"/>
    </row>
    <row r="903" spans="19:22" ht="15.75" customHeight="1">
      <c r="S903" s="15"/>
      <c r="V903" s="16"/>
    </row>
    <row r="904" spans="19:22" ht="15.75" customHeight="1">
      <c r="S904" s="15"/>
      <c r="V904" s="16"/>
    </row>
    <row r="905" spans="19:22" ht="15.75" customHeight="1">
      <c r="S905" s="15"/>
      <c r="V905" s="16"/>
    </row>
    <row r="906" spans="19:22" ht="15.75" customHeight="1">
      <c r="S906" s="15"/>
      <c r="V906" s="16"/>
    </row>
    <row r="907" spans="19:22" ht="15.75" customHeight="1">
      <c r="S907" s="15"/>
      <c r="V907" s="16"/>
    </row>
    <row r="908" spans="19:22" ht="15.75" customHeight="1">
      <c r="S908" s="15"/>
      <c r="V908" s="16"/>
    </row>
    <row r="909" spans="19:22" ht="15.75" customHeight="1">
      <c r="S909" s="15"/>
      <c r="V909" s="16"/>
    </row>
    <row r="910" spans="19:22" ht="15.75" customHeight="1">
      <c r="S910" s="15"/>
      <c r="V910" s="16"/>
    </row>
    <row r="911" spans="19:22" ht="15.75" customHeight="1">
      <c r="S911" s="15"/>
      <c r="V911" s="16"/>
    </row>
    <row r="912" spans="19:22" ht="15.75" customHeight="1">
      <c r="S912" s="15"/>
      <c r="V912" s="16"/>
    </row>
    <row r="913" spans="19:22" ht="15.75" customHeight="1">
      <c r="S913" s="15"/>
      <c r="V913" s="16"/>
    </row>
    <row r="914" spans="19:22" ht="15.75" customHeight="1">
      <c r="S914" s="15"/>
      <c r="V914" s="16"/>
    </row>
    <row r="915" spans="19:22" ht="15.75" customHeight="1">
      <c r="S915" s="15"/>
      <c r="V915" s="16"/>
    </row>
    <row r="916" spans="19:22" ht="15.75" customHeight="1">
      <c r="S916" s="15"/>
      <c r="V916" s="16"/>
    </row>
    <row r="917" spans="19:22" ht="15.75" customHeight="1">
      <c r="S917" s="15"/>
      <c r="V917" s="16"/>
    </row>
    <row r="918" spans="19:22" ht="15.75" customHeight="1">
      <c r="S918" s="15"/>
      <c r="V918" s="16"/>
    </row>
    <row r="919" spans="19:22" ht="15.75" customHeight="1">
      <c r="S919" s="15"/>
      <c r="V919" s="16"/>
    </row>
    <row r="920" spans="19:22" ht="15.75" customHeight="1">
      <c r="S920" s="15"/>
      <c r="V920" s="16"/>
    </row>
    <row r="921" spans="19:22" ht="15.75" customHeight="1">
      <c r="S921" s="15"/>
      <c r="V921" s="16"/>
    </row>
    <row r="922" spans="19:22" ht="15.75" customHeight="1">
      <c r="S922" s="15"/>
      <c r="V922" s="16"/>
    </row>
    <row r="923" spans="19:22" ht="15.75" customHeight="1">
      <c r="S923" s="15"/>
      <c r="V923" s="16"/>
    </row>
    <row r="924" spans="19:22" ht="15.75" customHeight="1">
      <c r="S924" s="15"/>
      <c r="V924" s="16"/>
    </row>
    <row r="925" spans="19:22" ht="15.75" customHeight="1">
      <c r="S925" s="15"/>
      <c r="V925" s="16"/>
    </row>
    <row r="926" spans="19:22" ht="15.75" customHeight="1">
      <c r="S926" s="15"/>
      <c r="V926" s="16"/>
    </row>
    <row r="927" spans="19:22" ht="15.75" customHeight="1">
      <c r="S927" s="15"/>
      <c r="V927" s="16"/>
    </row>
    <row r="928" spans="19:22" ht="15.75" customHeight="1">
      <c r="S928" s="15"/>
      <c r="V928" s="16"/>
    </row>
    <row r="929" spans="19:22" ht="15.75" customHeight="1">
      <c r="S929" s="15"/>
      <c r="V929" s="16"/>
    </row>
    <row r="930" spans="19:22" ht="15.75" customHeight="1">
      <c r="S930" s="15"/>
      <c r="V930" s="16"/>
    </row>
    <row r="931" spans="19:22" ht="15.75" customHeight="1">
      <c r="S931" s="15"/>
      <c r="V931" s="16"/>
    </row>
    <row r="932" spans="19:22" ht="15.75" customHeight="1">
      <c r="S932" s="15"/>
      <c r="V932" s="16"/>
    </row>
    <row r="933" spans="19:22" ht="15.75" customHeight="1">
      <c r="S933" s="15"/>
      <c r="V933" s="16"/>
    </row>
    <row r="934" spans="19:22" ht="15.75" customHeight="1">
      <c r="S934" s="15"/>
      <c r="V934" s="16"/>
    </row>
    <row r="935" spans="19:22" ht="15.75" customHeight="1">
      <c r="S935" s="15"/>
      <c r="V935" s="16"/>
    </row>
    <row r="936" spans="19:22" ht="15.75" customHeight="1">
      <c r="S936" s="15"/>
      <c r="V936" s="16"/>
    </row>
    <row r="937" spans="19:22" ht="15.75" customHeight="1">
      <c r="S937" s="15"/>
      <c r="V937" s="16"/>
    </row>
    <row r="938" spans="19:22" ht="15.75" customHeight="1">
      <c r="S938" s="15"/>
      <c r="V938" s="16"/>
    </row>
    <row r="939" spans="19:22" ht="15.75" customHeight="1">
      <c r="S939" s="15"/>
      <c r="V939" s="16"/>
    </row>
    <row r="940" spans="19:22" ht="15.75" customHeight="1">
      <c r="S940" s="15"/>
      <c r="V940" s="16"/>
    </row>
    <row r="941" spans="19:22" ht="15.75" customHeight="1">
      <c r="S941" s="15"/>
      <c r="V941" s="16"/>
    </row>
    <row r="942" spans="19:22" ht="15.75" customHeight="1">
      <c r="S942" s="15"/>
      <c r="V942" s="16"/>
    </row>
    <row r="943" spans="19:22" ht="15.75" customHeight="1">
      <c r="S943" s="15"/>
      <c r="V943" s="16"/>
    </row>
    <row r="944" spans="19:22" ht="15.75" customHeight="1">
      <c r="S944" s="15"/>
      <c r="V944" s="16"/>
    </row>
    <row r="945" spans="19:22" ht="15.75" customHeight="1">
      <c r="S945" s="15"/>
      <c r="V945" s="16"/>
    </row>
    <row r="946" spans="19:22" ht="15.75" customHeight="1">
      <c r="S946" s="15"/>
      <c r="V946" s="16"/>
    </row>
    <row r="947" spans="19:22" ht="15.75" customHeight="1">
      <c r="S947" s="15"/>
      <c r="V947" s="16"/>
    </row>
    <row r="948" spans="19:22" ht="15.75" customHeight="1">
      <c r="S948" s="15"/>
      <c r="V948" s="16"/>
    </row>
    <row r="949" spans="19:22" ht="15.75" customHeight="1">
      <c r="S949" s="15"/>
      <c r="V949" s="16"/>
    </row>
    <row r="950" spans="19:22" ht="15.75" customHeight="1">
      <c r="S950" s="15"/>
      <c r="V950" s="16"/>
    </row>
    <row r="951" spans="19:22" ht="15.75" customHeight="1">
      <c r="S951" s="15"/>
      <c r="V951" s="16"/>
    </row>
    <row r="952" spans="19:22" ht="15.75" customHeight="1">
      <c r="S952" s="15"/>
      <c r="V952" s="16"/>
    </row>
    <row r="953" spans="19:22" ht="15.75" customHeight="1">
      <c r="S953" s="15"/>
      <c r="V953" s="16"/>
    </row>
    <row r="954" spans="19:22" ht="15.75" customHeight="1">
      <c r="S954" s="15"/>
      <c r="V954" s="16"/>
    </row>
    <row r="955" spans="19:22" ht="15.75" customHeight="1">
      <c r="S955" s="15"/>
      <c r="V955" s="16"/>
    </row>
    <row r="956" spans="19:22" ht="15.75" customHeight="1">
      <c r="S956" s="15"/>
      <c r="V956" s="16"/>
    </row>
    <row r="957" spans="19:22" ht="15.75" customHeight="1">
      <c r="S957" s="15"/>
      <c r="V957" s="16"/>
    </row>
    <row r="958" spans="19:22" ht="15.75" customHeight="1">
      <c r="S958" s="15"/>
      <c r="V958" s="16"/>
    </row>
    <row r="959" spans="19:22" ht="15.75" customHeight="1">
      <c r="S959" s="15"/>
      <c r="V959" s="16"/>
    </row>
    <row r="960" spans="19:22" ht="15.75" customHeight="1">
      <c r="S960" s="15"/>
      <c r="V960" s="16"/>
    </row>
    <row r="961" spans="19:22" ht="15.75" customHeight="1">
      <c r="S961" s="15"/>
      <c r="V961" s="16"/>
    </row>
    <row r="962" spans="19:22" ht="15.75" customHeight="1">
      <c r="S962" s="15"/>
      <c r="V962" s="16"/>
    </row>
    <row r="963" spans="19:22" ht="15.75" customHeight="1">
      <c r="S963" s="15"/>
      <c r="V963" s="16"/>
    </row>
    <row r="964" spans="19:22" ht="15.75" customHeight="1">
      <c r="S964" s="15"/>
      <c r="V964" s="16"/>
    </row>
    <row r="965" spans="19:22" ht="15.75" customHeight="1">
      <c r="S965" s="15"/>
      <c r="V965" s="16"/>
    </row>
    <row r="966" spans="19:22" ht="15.75" customHeight="1">
      <c r="S966" s="15"/>
      <c r="V966" s="16"/>
    </row>
    <row r="967" spans="19:22" ht="15.75" customHeight="1">
      <c r="S967" s="15"/>
      <c r="V967" s="16"/>
    </row>
    <row r="968" spans="19:22" ht="15.75" customHeight="1">
      <c r="S968" s="15"/>
      <c r="V968" s="16"/>
    </row>
    <row r="969" spans="19:22" ht="15.75" customHeight="1">
      <c r="S969" s="15"/>
      <c r="V969" s="16"/>
    </row>
    <row r="970" spans="19:22" ht="15.75" customHeight="1">
      <c r="S970" s="15"/>
      <c r="V970" s="16"/>
    </row>
    <row r="971" spans="19:22" ht="15.75" customHeight="1">
      <c r="S971" s="15"/>
      <c r="V971" s="16"/>
    </row>
    <row r="972" spans="19:22" ht="15.75" customHeight="1">
      <c r="S972" s="15"/>
      <c r="V972" s="16"/>
    </row>
    <row r="973" spans="19:22" ht="15.75" customHeight="1">
      <c r="S973" s="15"/>
      <c r="V973" s="16"/>
    </row>
    <row r="974" spans="19:22" ht="15.75" customHeight="1">
      <c r="S974" s="15"/>
      <c r="V974" s="16"/>
    </row>
    <row r="975" spans="19:22" ht="15.75" customHeight="1">
      <c r="S975" s="15"/>
      <c r="V975" s="16"/>
    </row>
    <row r="976" spans="19:22" ht="15.75" customHeight="1">
      <c r="S976" s="15"/>
      <c r="V976" s="16"/>
    </row>
    <row r="977" spans="19:22" ht="15.75" customHeight="1">
      <c r="S977" s="15"/>
      <c r="V977" s="16"/>
    </row>
    <row r="978" spans="19:22" ht="15.75" customHeight="1">
      <c r="S978" s="15"/>
      <c r="V978" s="16"/>
    </row>
    <row r="979" spans="19:22" ht="15.75" customHeight="1">
      <c r="S979" s="15"/>
      <c r="V979" s="16"/>
    </row>
    <row r="980" spans="19:22" ht="15.75" customHeight="1">
      <c r="S980" s="15"/>
      <c r="V980" s="16"/>
    </row>
    <row r="981" spans="19:22" ht="15.75" customHeight="1">
      <c r="S981" s="15"/>
      <c r="V981" s="16"/>
    </row>
    <row r="982" spans="19:22" ht="15.75" customHeight="1">
      <c r="S982" s="15"/>
      <c r="V982" s="16"/>
    </row>
    <row r="983" spans="19:22" ht="15.75" customHeight="1">
      <c r="S983" s="15"/>
      <c r="V983" s="16"/>
    </row>
    <row r="984" spans="19:22" ht="15.75" customHeight="1">
      <c r="S984" s="15"/>
      <c r="V984" s="16"/>
    </row>
    <row r="985" spans="19:22" ht="15.75" customHeight="1">
      <c r="S985" s="15"/>
      <c r="V985" s="16"/>
    </row>
    <row r="986" spans="19:22" ht="15.75" customHeight="1">
      <c r="S986" s="15"/>
      <c r="V986" s="16"/>
    </row>
    <row r="987" spans="19:22" ht="15.75" customHeight="1">
      <c r="S987" s="15"/>
      <c r="V987" s="16"/>
    </row>
    <row r="988" spans="19:22" ht="15.75" customHeight="1">
      <c r="S988" s="15"/>
      <c r="V988" s="16"/>
    </row>
    <row r="989" spans="19:22" ht="15.75" customHeight="1">
      <c r="S989" s="15"/>
      <c r="V989" s="16"/>
    </row>
    <row r="990" spans="19:22" ht="15.75" customHeight="1">
      <c r="S990" s="15"/>
      <c r="V990" s="16"/>
    </row>
    <row r="991" spans="19:22" ht="15.75" customHeight="1">
      <c r="S991" s="15"/>
      <c r="V991" s="16"/>
    </row>
    <row r="992" spans="19:22" ht="15.75" customHeight="1">
      <c r="S992" s="15"/>
      <c r="V992" s="16"/>
    </row>
    <row r="993" spans="19:22" ht="15.75" customHeight="1">
      <c r="S993" s="15"/>
      <c r="V993" s="16"/>
    </row>
    <row r="994" spans="19:22" ht="15.75" customHeight="1">
      <c r="S994" s="15"/>
      <c r="V994" s="16"/>
    </row>
    <row r="995" spans="19:22" ht="15.75" customHeight="1">
      <c r="S995" s="15"/>
      <c r="V995" s="16"/>
    </row>
    <row r="996" spans="19:22" ht="15.75" customHeight="1">
      <c r="S996" s="15"/>
      <c r="V996" s="16"/>
    </row>
    <row r="997" spans="19:22" ht="15.75" customHeight="1">
      <c r="S997" s="15"/>
      <c r="V997" s="16"/>
    </row>
    <row r="998" spans="19:22" ht="15.75" customHeight="1"/>
  </sheetData>
  <conditionalFormatting sqref="J1:J2 J5:J998">
    <cfRule type="cellIs" dxfId="144" priority="9" operator="lessThan">
      <formula>0</formula>
    </cfRule>
    <cfRule type="cellIs" dxfId="143" priority="8" operator="greaterThan">
      <formula>0</formula>
    </cfRule>
    <cfRule type="cellIs" dxfId="142" priority="7" operator="lessThan">
      <formula>-7</formula>
    </cfRule>
    <cfRule type="cellIs" dxfId="141" priority="6" operator="greaterThan">
      <formula>20</formula>
    </cfRule>
  </conditionalFormatting>
  <conditionalFormatting sqref="M2:M4">
    <cfRule type="cellIs" dxfId="140" priority="5" operator="greaterThan">
      <formula>0</formula>
    </cfRule>
    <cfRule type="cellIs" dxfId="139" priority="4" operator="lessThan">
      <formula>0</formula>
    </cfRule>
  </conditionalFormatting>
  <conditionalFormatting sqref="N2">
    <cfRule type="cellIs" dxfId="138" priority="1" operator="greaterThan">
      <formula>100</formula>
    </cfRule>
  </conditionalFormatting>
  <conditionalFormatting sqref="X9">
    <cfRule type="cellIs" dxfId="137" priority="3" operator="lessThanOrEqual">
      <formula>-9</formula>
    </cfRule>
    <cfRule type="cellIs" dxfId="136" priority="2" operator="greaterThan">
      <formula>10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sheetData>
    <row r="1" spans="1:48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47" t="s">
        <v>186</v>
      </c>
      <c r="F1" s="9" t="s">
        <v>89</v>
      </c>
      <c r="G1" s="48" t="s">
        <v>95</v>
      </c>
      <c r="H1" s="11" t="s">
        <v>96</v>
      </c>
      <c r="I1" s="11" t="s">
        <v>97</v>
      </c>
      <c r="J1" s="9" t="s">
        <v>98</v>
      </c>
      <c r="K1" s="12" t="s">
        <v>99</v>
      </c>
      <c r="L1" s="10" t="s">
        <v>100</v>
      </c>
      <c r="M1" s="9" t="s">
        <v>101</v>
      </c>
      <c r="N1" s="13" t="s">
        <v>102</v>
      </c>
      <c r="O1" s="9" t="s">
        <v>103</v>
      </c>
      <c r="P1" s="3" t="s">
        <v>104</v>
      </c>
      <c r="Q1" s="49">
        <f ca="1">Q4/Q2</f>
        <v>0.6785714285714286</v>
      </c>
      <c r="R1" s="50" t="s">
        <v>187</v>
      </c>
      <c r="S1" s="9" t="s">
        <v>83</v>
      </c>
      <c r="T1" s="9" t="s">
        <v>92</v>
      </c>
      <c r="U1" s="9" t="s">
        <v>93</v>
      </c>
      <c r="V1" s="9" t="s">
        <v>94</v>
      </c>
      <c r="W1" s="9" t="s">
        <v>188</v>
      </c>
      <c r="X1" s="9" t="s">
        <v>189</v>
      </c>
      <c r="Y1" s="11" t="s">
        <v>190</v>
      </c>
      <c r="Z1" s="13" t="s">
        <v>99</v>
      </c>
      <c r="AA1" s="10" t="s">
        <v>100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5.75" customHeight="1">
      <c r="B2" s="3" t="s">
        <v>105</v>
      </c>
      <c r="C2" s="19">
        <f ca="1">TODAY()</f>
        <v>45396</v>
      </c>
      <c r="E2" s="51"/>
      <c r="F2" s="52"/>
      <c r="G2" s="53" t="s">
        <v>106</v>
      </c>
      <c r="H2" s="53" t="e">
        <f ca="1">_xludf.DAYS(C2,C3)</f>
        <v>#NAME?</v>
      </c>
      <c r="I2" s="22"/>
      <c r="J2" s="23">
        <f ca="1">SUM(G2:G216)</f>
        <v>118438.16999999998</v>
      </c>
      <c r="K2" s="12" t="s">
        <v>191</v>
      </c>
      <c r="L2" s="54" t="s">
        <v>192</v>
      </c>
      <c r="M2" s="25">
        <f>SUM(L5:L729)-X2</f>
        <v>3675515.65</v>
      </c>
      <c r="N2" s="55">
        <f ca="1">O2/M2</f>
        <v>-3.4682869599534975E-2</v>
      </c>
      <c r="O2" s="25">
        <f ca="1">J2+X2+8450</f>
        <v>-127477.43000000002</v>
      </c>
      <c r="P2" s="27" t="s">
        <v>107</v>
      </c>
      <c r="Q2" s="28">
        <f ca="1">Q3+Q4</f>
        <v>28</v>
      </c>
      <c r="R2" s="56">
        <f ca="1">SUM(L5:L28)+J2</f>
        <v>3069353.2199999997</v>
      </c>
      <c r="S2" s="57"/>
      <c r="U2" s="58"/>
      <c r="W2" s="9" t="s">
        <v>193</v>
      </c>
      <c r="X2" s="23">
        <f>SUM(X3:X987)</f>
        <v>-254365.6</v>
      </c>
      <c r="Z2" s="59">
        <f>X2/AA2</f>
        <v>-7.5224758443819859E-2</v>
      </c>
      <c r="AA2" s="60">
        <f>SUM(AA3:AA940)</f>
        <v>3381408</v>
      </c>
      <c r="AB2" s="61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</row>
    <row r="3" spans="1:48" ht="15.75" customHeight="1">
      <c r="C3" s="38">
        <v>45327</v>
      </c>
      <c r="E3" s="16"/>
      <c r="G3" s="63"/>
      <c r="K3" s="12" t="s">
        <v>108</v>
      </c>
      <c r="L3" s="26">
        <f ca="1">J2/M2</f>
        <v>3.2223552088534842E-2</v>
      </c>
      <c r="M3" s="64" t="s">
        <v>194</v>
      </c>
      <c r="N3" s="64" t="s">
        <v>195</v>
      </c>
      <c r="P3" s="28" t="s">
        <v>109</v>
      </c>
      <c r="Q3" s="28">
        <f ca="1">COUNTIF(G:G, "&lt;0")</f>
        <v>9</v>
      </c>
      <c r="S3" s="3" t="s">
        <v>196</v>
      </c>
      <c r="T3" s="35">
        <v>45322</v>
      </c>
      <c r="U3" s="3">
        <v>11.31</v>
      </c>
      <c r="V3" s="3">
        <v>13750</v>
      </c>
      <c r="W3" s="3">
        <v>10.6</v>
      </c>
      <c r="X3" s="65">
        <f t="shared" ref="X3:X19" si="0">(W3-U3)*V3</f>
        <v>-9762.5000000000109</v>
      </c>
      <c r="Y3" s="35">
        <v>45307</v>
      </c>
      <c r="Z3" s="66">
        <f t="shared" ref="Z3:Z11" si="1">(W3-U3)*100/U3</f>
        <v>-6.2776304155614575</v>
      </c>
      <c r="AA3" s="60">
        <f t="shared" ref="AA3:AA19" si="2">U3*V3</f>
        <v>155512.5</v>
      </c>
      <c r="AC3" s="67"/>
      <c r="AD3" s="68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</row>
    <row r="4" spans="1:48" ht="14">
      <c r="A4" s="3"/>
      <c r="B4" s="35"/>
      <c r="C4" s="3"/>
      <c r="D4" s="3"/>
      <c r="E4" s="3"/>
      <c r="F4" s="8"/>
      <c r="G4" s="1"/>
      <c r="H4" s="3"/>
      <c r="I4" s="3"/>
      <c r="J4" s="3" t="s">
        <v>197</v>
      </c>
      <c r="K4" s="12"/>
      <c r="L4" s="68"/>
      <c r="M4" s="69">
        <f ca="1">SUM(M5:M65)/M2</f>
        <v>-2.3620563280692331E-2</v>
      </c>
      <c r="N4" s="69">
        <f ca="1">SUM(N5:N65)/M2</f>
        <v>0.38147769823806899</v>
      </c>
      <c r="P4" s="28" t="s">
        <v>110</v>
      </c>
      <c r="Q4" s="28">
        <f ca="1">COUNTIF(G:G, "&gt;0")</f>
        <v>19</v>
      </c>
      <c r="S4" s="3" t="s">
        <v>169</v>
      </c>
      <c r="T4" s="35">
        <v>45323</v>
      </c>
      <c r="U4" s="3">
        <v>885</v>
      </c>
      <c r="V4" s="3">
        <v>200</v>
      </c>
      <c r="W4" s="3">
        <v>813</v>
      </c>
      <c r="X4" s="65">
        <f t="shared" si="0"/>
        <v>-14400</v>
      </c>
      <c r="Y4" s="35">
        <v>45310</v>
      </c>
      <c r="Z4" s="66">
        <f t="shared" si="1"/>
        <v>-8.1355932203389827</v>
      </c>
      <c r="AA4" s="60">
        <f t="shared" si="2"/>
        <v>177000</v>
      </c>
      <c r="AC4" s="67"/>
      <c r="AD4" s="68"/>
    </row>
    <row r="5" spans="1:48" ht="14">
      <c r="A5" s="3" t="s">
        <v>10</v>
      </c>
      <c r="C5" s="3">
        <v>445</v>
      </c>
      <c r="D5" s="3">
        <v>350</v>
      </c>
      <c r="E5" s="3" t="s">
        <v>198</v>
      </c>
      <c r="F5" s="8">
        <f ca="1">IFERROR(__xludf.DUMMYFUNCTION("GOOGLEFINANCE(A5,""price"")"),480)</f>
        <v>480</v>
      </c>
      <c r="G5" s="1">
        <f t="shared" ref="G5:G32" ca="1" si="3">(F5-C5)*D5</f>
        <v>12250</v>
      </c>
      <c r="H5" s="3">
        <v>400</v>
      </c>
      <c r="I5" s="3">
        <v>961</v>
      </c>
      <c r="J5" s="70">
        <f ca="1">IFERROR(__xludf.DUMMYFUNCTION("GOOGLEFINANCE(A5,""marketcap"")/10000000"),16920.0347476)</f>
        <v>16920.034747599999</v>
      </c>
      <c r="K5" s="12">
        <f t="shared" ref="K5:K32" ca="1" si="4">(F5-C5)*100/C5</f>
        <v>7.8651685393258424</v>
      </c>
      <c r="L5" s="68">
        <f t="shared" ref="L5:L32" si="5">C5*D5</f>
        <v>155750</v>
      </c>
      <c r="M5" s="3">
        <f t="shared" ref="M5:M6" ca="1" si="6">(H5-F5)*D5</f>
        <v>-28000</v>
      </c>
      <c r="N5" s="3">
        <f t="shared" ref="N5:N6" ca="1" si="7">(I5-F5)*D5</f>
        <v>168350</v>
      </c>
      <c r="S5" s="3" t="s">
        <v>199</v>
      </c>
      <c r="T5" s="35">
        <v>45322</v>
      </c>
      <c r="U5" s="3">
        <v>86.95</v>
      </c>
      <c r="V5" s="3">
        <v>1750</v>
      </c>
      <c r="W5" s="3">
        <v>70</v>
      </c>
      <c r="X5" s="65">
        <f t="shared" si="0"/>
        <v>-29662.500000000004</v>
      </c>
      <c r="Y5" s="35">
        <v>45362</v>
      </c>
      <c r="Z5" s="66">
        <f t="shared" si="1"/>
        <v>-19.493962047153538</v>
      </c>
      <c r="AA5" s="60">
        <f t="shared" si="2"/>
        <v>152162.5</v>
      </c>
      <c r="AC5" s="67"/>
      <c r="AD5" s="68"/>
    </row>
    <row r="6" spans="1:48" ht="14">
      <c r="A6" s="3" t="s">
        <v>12</v>
      </c>
      <c r="C6" s="3">
        <v>830</v>
      </c>
      <c r="D6" s="3">
        <v>200</v>
      </c>
      <c r="E6" s="3" t="s">
        <v>198</v>
      </c>
      <c r="F6" s="8">
        <f ca="1">IFERROR(__xludf.DUMMYFUNCTION("GOOGLEFINANCE(A6,""price"")"),725)</f>
        <v>725</v>
      </c>
      <c r="G6" s="1">
        <f t="shared" ca="1" si="3"/>
        <v>-21000</v>
      </c>
      <c r="H6" s="3">
        <v>770</v>
      </c>
      <c r="I6" s="3">
        <v>1713</v>
      </c>
      <c r="J6" s="70">
        <f ca="1">IFERROR(__xludf.DUMMYFUNCTION("GOOGLEFINANCE(A6,""marketcap"")/10000000"),1086.797)</f>
        <v>1086.797</v>
      </c>
      <c r="K6" s="12">
        <f t="shared" ca="1" si="4"/>
        <v>-12.650602409638553</v>
      </c>
      <c r="L6" s="68">
        <f t="shared" si="5"/>
        <v>166000</v>
      </c>
      <c r="M6" s="3">
        <f t="shared" ca="1" si="6"/>
        <v>9000</v>
      </c>
      <c r="N6" s="3">
        <f t="shared" ca="1" si="7"/>
        <v>197600</v>
      </c>
      <c r="S6" s="3" t="s">
        <v>200</v>
      </c>
      <c r="T6" s="35">
        <v>45338</v>
      </c>
      <c r="U6" s="3">
        <v>295.35000000000002</v>
      </c>
      <c r="V6" s="3">
        <v>500</v>
      </c>
      <c r="W6" s="3">
        <v>236.3</v>
      </c>
      <c r="X6" s="65">
        <f t="shared" si="0"/>
        <v>-29525.000000000007</v>
      </c>
      <c r="Y6" s="1"/>
      <c r="Z6" s="66">
        <f t="shared" si="1"/>
        <v>-19.993228373116644</v>
      </c>
      <c r="AA6" s="60">
        <f t="shared" si="2"/>
        <v>147675</v>
      </c>
      <c r="AC6" s="67"/>
      <c r="AD6" s="68"/>
    </row>
    <row r="7" spans="1:48" ht="14">
      <c r="A7" s="3" t="s">
        <v>20</v>
      </c>
      <c r="B7" s="71">
        <v>45599</v>
      </c>
      <c r="C7" s="3">
        <v>1206</v>
      </c>
      <c r="D7" s="3">
        <v>85</v>
      </c>
      <c r="F7" s="8">
        <f ca="1">IFERROR(__xludf.DUMMYFUNCTION("GOOGLEFINANCE(A7,""price"")"),1222.85)</f>
        <v>1222.8499999999999</v>
      </c>
      <c r="G7" s="1">
        <f t="shared" ca="1" si="3"/>
        <v>1432.2499999999923</v>
      </c>
      <c r="J7" s="70">
        <f ca="1">IFERROR(__xludf.DUMMYFUNCTION("GOOGLEFINANCE(A7,""marketcap"")/10000000"),726471.5292877)</f>
        <v>726471.52928769996</v>
      </c>
      <c r="K7" s="12">
        <f t="shared" ca="1" si="4"/>
        <v>1.3971807628523971</v>
      </c>
      <c r="L7" s="68">
        <f t="shared" si="5"/>
        <v>102510</v>
      </c>
      <c r="S7" s="3" t="s">
        <v>201</v>
      </c>
      <c r="T7" s="35">
        <v>45321</v>
      </c>
      <c r="U7" s="3">
        <v>145.25</v>
      </c>
      <c r="V7" s="3">
        <v>1050</v>
      </c>
      <c r="W7" s="3">
        <v>121.38</v>
      </c>
      <c r="X7" s="65">
        <f t="shared" si="0"/>
        <v>-25063.500000000004</v>
      </c>
      <c r="Y7" s="1"/>
      <c r="Z7" s="66">
        <f t="shared" si="1"/>
        <v>-16.433734939759038</v>
      </c>
      <c r="AA7" s="60">
        <f t="shared" si="2"/>
        <v>152512.5</v>
      </c>
      <c r="AC7" s="67"/>
      <c r="AD7" s="68"/>
    </row>
    <row r="8" spans="1:48" ht="14">
      <c r="A8" s="3" t="s">
        <v>21</v>
      </c>
      <c r="C8" s="3">
        <v>6782</v>
      </c>
      <c r="D8" s="3">
        <v>25</v>
      </c>
      <c r="E8" s="3" t="s">
        <v>198</v>
      </c>
      <c r="F8" s="8">
        <f ca="1">IFERROR(__xludf.DUMMYFUNCTION("GOOGLEFINANCE(A8,""price"")"),7829.95)</f>
        <v>7829.95</v>
      </c>
      <c r="G8" s="1">
        <f t="shared" ca="1" si="3"/>
        <v>26198.749999999996</v>
      </c>
      <c r="H8" s="3">
        <v>6250</v>
      </c>
      <c r="I8" s="3">
        <v>15350</v>
      </c>
      <c r="J8" s="70">
        <f ca="1">IFERROR(__xludf.DUMMYFUNCTION("GOOGLEFINANCE(A8,""marketcap"")/10000000"),46840.0070304)</f>
        <v>46840.007030399996</v>
      </c>
      <c r="K8" s="12">
        <f t="shared" ca="1" si="4"/>
        <v>15.451931583603654</v>
      </c>
      <c r="L8" s="68">
        <f t="shared" si="5"/>
        <v>169550</v>
      </c>
      <c r="M8" s="3">
        <f ca="1">(H8-F8)*D8</f>
        <v>-39498.749999999993</v>
      </c>
      <c r="N8" s="3">
        <f ca="1">(I8-F8)*D8</f>
        <v>188001.25</v>
      </c>
      <c r="S8" s="3" t="s">
        <v>63</v>
      </c>
      <c r="T8" s="35">
        <v>45329</v>
      </c>
      <c r="U8" s="3">
        <v>63.2</v>
      </c>
      <c r="V8" s="3">
        <v>2500</v>
      </c>
      <c r="W8" s="3">
        <v>47.25</v>
      </c>
      <c r="X8" s="65">
        <f t="shared" si="0"/>
        <v>-39875.000000000007</v>
      </c>
      <c r="Y8" s="1"/>
      <c r="Z8" s="66">
        <f t="shared" si="1"/>
        <v>-25.2373417721519</v>
      </c>
      <c r="AA8" s="60">
        <f t="shared" si="2"/>
        <v>158000</v>
      </c>
      <c r="AC8" s="67"/>
      <c r="AD8" s="68"/>
    </row>
    <row r="9" spans="1:48" ht="14">
      <c r="A9" s="3" t="s">
        <v>30</v>
      </c>
      <c r="C9" s="3">
        <v>54.55</v>
      </c>
      <c r="D9" s="3">
        <v>2001</v>
      </c>
      <c r="E9" s="3" t="s">
        <v>198</v>
      </c>
      <c r="F9" s="8">
        <f ca="1">IFERROR(__xludf.DUMMYFUNCTION("GOOGLEFINANCE(A9,""price"")"),61.92)</f>
        <v>61.92</v>
      </c>
      <c r="G9" s="1">
        <f t="shared" ca="1" si="3"/>
        <v>14747.37000000001</v>
      </c>
      <c r="J9" s="70"/>
      <c r="K9" s="12">
        <f t="shared" ca="1" si="4"/>
        <v>13.510540788267653</v>
      </c>
      <c r="L9" s="68">
        <f t="shared" si="5"/>
        <v>109154.54999999999</v>
      </c>
      <c r="S9" s="3" t="s">
        <v>202</v>
      </c>
      <c r="T9" s="35">
        <v>45357</v>
      </c>
      <c r="U9" s="3">
        <v>1080</v>
      </c>
      <c r="V9" s="3">
        <v>100</v>
      </c>
      <c r="W9" s="3">
        <v>1034</v>
      </c>
      <c r="X9" s="65">
        <f t="shared" si="0"/>
        <v>-4600</v>
      </c>
      <c r="Y9" s="1"/>
      <c r="Z9" s="66">
        <f t="shared" si="1"/>
        <v>-4.2592592592592595</v>
      </c>
      <c r="AA9" s="60">
        <f t="shared" si="2"/>
        <v>108000</v>
      </c>
      <c r="AC9" s="67"/>
      <c r="AD9" s="68"/>
    </row>
    <row r="10" spans="1:48" ht="14">
      <c r="A10" s="3" t="s">
        <v>35</v>
      </c>
      <c r="C10" s="3">
        <v>1552</v>
      </c>
      <c r="D10" s="3">
        <v>70</v>
      </c>
      <c r="F10" s="8">
        <f ca="1">IFERROR(__xludf.DUMMYFUNCTION("GOOGLEFINANCE(A10,""price"")"),1509.6)</f>
        <v>1509.6</v>
      </c>
      <c r="G10" s="1">
        <f t="shared" ca="1" si="3"/>
        <v>-2968.0000000000064</v>
      </c>
      <c r="J10" s="70">
        <f ca="1">IFERROR(__xludf.DUMMYFUNCTION("GOOGLEFINANCE(A10,""marketcap"")/10000000"),94669.88)</f>
        <v>94669.88</v>
      </c>
      <c r="K10" s="12">
        <f t="shared" ca="1" si="4"/>
        <v>-2.7319587628866038</v>
      </c>
      <c r="L10" s="68">
        <f t="shared" si="5"/>
        <v>108640</v>
      </c>
      <c r="S10" s="3" t="s">
        <v>203</v>
      </c>
      <c r="T10" s="35">
        <v>45322</v>
      </c>
      <c r="U10" s="3">
        <v>145.5</v>
      </c>
      <c r="V10" s="3">
        <v>1000</v>
      </c>
      <c r="W10" s="3">
        <v>108.95</v>
      </c>
      <c r="X10" s="65">
        <f t="shared" si="0"/>
        <v>-36550</v>
      </c>
      <c r="Y10" s="1"/>
      <c r="Z10" s="66">
        <f t="shared" si="1"/>
        <v>-25.120274914089343</v>
      </c>
      <c r="AA10" s="60">
        <f t="shared" si="2"/>
        <v>145500</v>
      </c>
      <c r="AC10" s="67"/>
      <c r="AD10" s="68"/>
    </row>
    <row r="11" spans="1:48" ht="14">
      <c r="A11" s="3" t="s">
        <v>36</v>
      </c>
      <c r="B11" s="35">
        <v>45338</v>
      </c>
      <c r="C11" s="3">
        <v>538</v>
      </c>
      <c r="D11" s="3">
        <v>280</v>
      </c>
      <c r="E11" s="3" t="s">
        <v>198</v>
      </c>
      <c r="F11" s="8">
        <f ca="1">IFERROR(__xludf.DUMMYFUNCTION("GOOGLEFINANCE(A11,""price"")"),524.6)</f>
        <v>524.6</v>
      </c>
      <c r="G11" s="1">
        <f t="shared" ca="1" si="3"/>
        <v>-3751.9999999999936</v>
      </c>
      <c r="H11" s="3">
        <v>500</v>
      </c>
      <c r="I11" s="3">
        <v>790</v>
      </c>
      <c r="J11" s="70">
        <f ca="1">IFERROR(__xludf.DUMMYFUNCTION("GOOGLEFINANCE(A11,""marketcap"")/10000000"),70661.7281515)</f>
        <v>70661.728151500007</v>
      </c>
      <c r="K11" s="12">
        <f t="shared" ca="1" si="4"/>
        <v>-2.490706319702598</v>
      </c>
      <c r="L11" s="68">
        <f t="shared" si="5"/>
        <v>150640</v>
      </c>
      <c r="M11" s="3">
        <f ca="1">(H11-F11)*D11</f>
        <v>-6888.0000000000064</v>
      </c>
      <c r="N11" s="3">
        <f ca="1">(I11-F11)*D11</f>
        <v>74312</v>
      </c>
      <c r="S11" s="3" t="s">
        <v>204</v>
      </c>
      <c r="T11" s="35">
        <v>45338</v>
      </c>
      <c r="U11" s="3">
        <v>913</v>
      </c>
      <c r="V11" s="3">
        <v>160</v>
      </c>
      <c r="W11" s="3">
        <v>791.24</v>
      </c>
      <c r="X11" s="65">
        <f t="shared" si="0"/>
        <v>-19481.599999999999</v>
      </c>
      <c r="Y11" s="1"/>
      <c r="Z11" s="66">
        <f t="shared" si="1"/>
        <v>-13.336254107338444</v>
      </c>
      <c r="AA11" s="60">
        <f t="shared" si="2"/>
        <v>146080</v>
      </c>
      <c r="AC11" s="67"/>
      <c r="AD11" s="68"/>
    </row>
    <row r="12" spans="1:48" ht="14">
      <c r="A12" s="3" t="s">
        <v>53</v>
      </c>
      <c r="B12" s="71">
        <v>45599</v>
      </c>
      <c r="C12" s="3">
        <v>3458</v>
      </c>
      <c r="D12" s="3">
        <v>30</v>
      </c>
      <c r="F12" s="8">
        <f ca="1">IFERROR(__xludf.DUMMYFUNCTION("GOOGLEFINANCE(A12,""price"")"),3989)</f>
        <v>3989</v>
      </c>
      <c r="G12" s="1">
        <f t="shared" ca="1" si="3"/>
        <v>15930</v>
      </c>
      <c r="J12" s="70">
        <f ca="1">IFERROR(__xludf.DUMMYFUNCTION("GOOGLEFINANCE(A12,""marketcap"")/10000000"),36029.35)</f>
        <v>36029.35</v>
      </c>
      <c r="K12" s="12">
        <f t="shared" ca="1" si="4"/>
        <v>15.355696934644303</v>
      </c>
      <c r="L12" s="68">
        <f t="shared" si="5"/>
        <v>103740</v>
      </c>
      <c r="S12" s="3" t="s">
        <v>205</v>
      </c>
      <c r="T12" s="3" t="s">
        <v>206</v>
      </c>
      <c r="U12" s="3">
        <v>22408</v>
      </c>
      <c r="V12" s="3">
        <v>50</v>
      </c>
      <c r="W12" s="3">
        <v>22630</v>
      </c>
      <c r="X12" s="65">
        <f t="shared" si="0"/>
        <v>11100</v>
      </c>
      <c r="Y12" s="1"/>
      <c r="Z12" s="66">
        <f t="shared" ref="Z12:Z19" si="8">X12*100/AA12</f>
        <v>0.9907176008568368</v>
      </c>
      <c r="AA12" s="60">
        <f t="shared" si="2"/>
        <v>1120400</v>
      </c>
    </row>
    <row r="13" spans="1:48" ht="14">
      <c r="A13" s="3" t="s">
        <v>67</v>
      </c>
      <c r="B13" s="35">
        <v>45327</v>
      </c>
      <c r="C13" s="3">
        <v>283.14999999999998</v>
      </c>
      <c r="D13" s="3">
        <v>530</v>
      </c>
      <c r="E13" s="3" t="s">
        <v>198</v>
      </c>
      <c r="F13" s="8">
        <f ca="1">IFERROR(__xludf.DUMMYFUNCTION("GOOGLEFINANCE(A13,""price"")"),235.7)</f>
        <v>235.7</v>
      </c>
      <c r="G13" s="1">
        <f t="shared" ca="1" si="3"/>
        <v>-25148.499999999993</v>
      </c>
      <c r="H13" s="3">
        <v>210</v>
      </c>
      <c r="I13" s="3">
        <v>509</v>
      </c>
      <c r="J13" s="70">
        <f ca="1">IFERROR(__xludf.DUMMYFUNCTION("GOOGLEFINANCE(A13,""marketcap"")/10000000"),32683.0100968)</f>
        <v>32683.010096800001</v>
      </c>
      <c r="K13" s="12">
        <f t="shared" ca="1" si="4"/>
        <v>-16.757902171993642</v>
      </c>
      <c r="L13" s="68">
        <f t="shared" si="5"/>
        <v>150069.5</v>
      </c>
      <c r="M13" s="3">
        <f ca="1">(H13-F13)*D13</f>
        <v>-13620.999999999995</v>
      </c>
      <c r="N13" s="3">
        <f ca="1">(I13-F13)*D13</f>
        <v>144849</v>
      </c>
      <c r="S13" s="3" t="s">
        <v>40</v>
      </c>
      <c r="T13" s="35">
        <v>45329</v>
      </c>
      <c r="U13" s="3">
        <v>29</v>
      </c>
      <c r="V13" s="3">
        <v>1000</v>
      </c>
      <c r="W13" s="3">
        <v>22</v>
      </c>
      <c r="X13" s="65">
        <f t="shared" si="0"/>
        <v>-7000</v>
      </c>
      <c r="Y13" s="1"/>
      <c r="Z13" s="66">
        <f t="shared" si="8"/>
        <v>-24.137931034482758</v>
      </c>
      <c r="AA13" s="60">
        <f t="shared" si="2"/>
        <v>29000</v>
      </c>
      <c r="AB13" s="70"/>
      <c r="AC13" s="12"/>
      <c r="AD13" s="68"/>
    </row>
    <row r="14" spans="1:48" ht="14">
      <c r="A14" s="3" t="s">
        <v>72</v>
      </c>
      <c r="C14" s="3">
        <v>110.5</v>
      </c>
      <c r="D14" s="3">
        <v>503</v>
      </c>
      <c r="E14" s="3" t="s">
        <v>198</v>
      </c>
      <c r="F14" s="8">
        <f ca="1">IFERROR(__xludf.DUMMYFUNCTION("GOOGLEFINANCE(A14,""price"")"),141.95)</f>
        <v>141.94999999999999</v>
      </c>
      <c r="G14" s="1">
        <f t="shared" ca="1" si="3"/>
        <v>15819.349999999995</v>
      </c>
      <c r="J14" s="70">
        <f ca="1">IFERROR(__xludf.DUMMYFUNCTION("GOOGLEFINANCE(A14,""marketcap"")/10000000"),1914.959)</f>
        <v>1914.9590000000001</v>
      </c>
      <c r="K14" s="12">
        <f t="shared" ca="1" si="4"/>
        <v>28.461538461538453</v>
      </c>
      <c r="L14" s="68">
        <f t="shared" si="5"/>
        <v>55581.5</v>
      </c>
      <c r="S14" s="3" t="s">
        <v>13</v>
      </c>
      <c r="T14" s="35">
        <v>45323</v>
      </c>
      <c r="U14" s="3">
        <v>73.7</v>
      </c>
      <c r="V14" s="3">
        <v>2000</v>
      </c>
      <c r="W14" s="3">
        <v>69.8</v>
      </c>
      <c r="X14" s="65">
        <f t="shared" si="0"/>
        <v>-7800.0000000000109</v>
      </c>
      <c r="Y14" s="1"/>
      <c r="Z14" s="66">
        <f t="shared" si="8"/>
        <v>-5.2917232021709708</v>
      </c>
      <c r="AA14" s="60">
        <f t="shared" si="2"/>
        <v>147400</v>
      </c>
      <c r="AB14" s="70"/>
      <c r="AC14" s="12"/>
      <c r="AD14" s="68"/>
    </row>
    <row r="15" spans="1:48" ht="14">
      <c r="A15" s="3" t="s">
        <v>72</v>
      </c>
      <c r="C15" s="3">
        <v>118.2</v>
      </c>
      <c r="D15" s="3">
        <v>1000</v>
      </c>
      <c r="E15" s="3" t="s">
        <v>198</v>
      </c>
      <c r="F15" s="8">
        <f ca="1">IFERROR(__xludf.DUMMYFUNCTION("GOOGLEFINANCE(A15,""price"")"),141.95)</f>
        <v>141.94999999999999</v>
      </c>
      <c r="G15" s="1">
        <f t="shared" ca="1" si="3"/>
        <v>23749.999999999985</v>
      </c>
      <c r="J15" s="70">
        <f ca="1">IFERROR(__xludf.DUMMYFUNCTION("GOOGLEFINANCE(A15,""marketcap"")/10000000"),1914.959)</f>
        <v>1914.9590000000001</v>
      </c>
      <c r="K15" s="12">
        <f t="shared" ca="1" si="4"/>
        <v>20.093062605752948</v>
      </c>
      <c r="L15" s="68">
        <f t="shared" si="5"/>
        <v>118200</v>
      </c>
      <c r="S15" s="3" t="s">
        <v>18</v>
      </c>
      <c r="T15" s="35">
        <v>45327</v>
      </c>
      <c r="U15" s="3">
        <v>97.35</v>
      </c>
      <c r="V15" s="3">
        <v>1530</v>
      </c>
      <c r="W15" s="3">
        <v>92</v>
      </c>
      <c r="X15" s="65">
        <f t="shared" si="0"/>
        <v>-8185.4999999999909</v>
      </c>
      <c r="Y15" s="1"/>
      <c r="Z15" s="66">
        <f t="shared" si="8"/>
        <v>-5.4956343091936253</v>
      </c>
      <c r="AA15" s="60">
        <f t="shared" si="2"/>
        <v>148945.5</v>
      </c>
      <c r="AB15" s="70"/>
      <c r="AC15" s="12"/>
      <c r="AD15" s="68"/>
    </row>
    <row r="16" spans="1:48" ht="14">
      <c r="A16" s="3" t="s">
        <v>28</v>
      </c>
      <c r="B16" s="35">
        <v>45338</v>
      </c>
      <c r="C16" s="3">
        <v>509.5</v>
      </c>
      <c r="D16" s="3">
        <v>295</v>
      </c>
      <c r="E16" s="3" t="s">
        <v>198</v>
      </c>
      <c r="F16" s="8">
        <f ca="1">IFERROR(__xludf.DUMMYFUNCTION("GOOGLEFINANCE(A16,""price"")"),513.5)</f>
        <v>513.5</v>
      </c>
      <c r="G16" s="1">
        <f t="shared" ca="1" si="3"/>
        <v>1180</v>
      </c>
      <c r="H16" s="3">
        <v>500</v>
      </c>
      <c r="I16" s="3">
        <v>745</v>
      </c>
      <c r="J16" s="70">
        <f ca="1">IFERROR(__xludf.DUMMYFUNCTION("GOOGLEFINANCE(A16,""marketcap"")/10000000"),3112.387128)</f>
        <v>3112.3871279999998</v>
      </c>
      <c r="K16" s="12">
        <f t="shared" ca="1" si="4"/>
        <v>0.78508341511285573</v>
      </c>
      <c r="L16" s="68">
        <f t="shared" si="5"/>
        <v>150302.5</v>
      </c>
      <c r="M16" s="3">
        <f t="shared" ref="M16:M17" ca="1" si="9">(H16-F16)*D16</f>
        <v>-3982.5</v>
      </c>
      <c r="N16" s="3">
        <f t="shared" ref="N16:N17" ca="1" si="10">(I16-F16)*D16</f>
        <v>68292.5</v>
      </c>
      <c r="S16" s="3" t="s">
        <v>207</v>
      </c>
      <c r="T16" s="35">
        <v>45322</v>
      </c>
      <c r="U16" s="3">
        <v>214.95</v>
      </c>
      <c r="V16" s="3">
        <v>700</v>
      </c>
      <c r="W16" s="3">
        <v>170.6</v>
      </c>
      <c r="X16" s="65">
        <f t="shared" si="0"/>
        <v>-31044.999999999996</v>
      </c>
      <c r="Y16" s="1"/>
      <c r="Z16" s="66">
        <f t="shared" si="8"/>
        <v>-20.632705280297742</v>
      </c>
      <c r="AA16" s="60">
        <f t="shared" si="2"/>
        <v>150465</v>
      </c>
      <c r="AB16" s="70"/>
      <c r="AC16" s="12"/>
      <c r="AD16" s="68"/>
    </row>
    <row r="17" spans="1:30" ht="14">
      <c r="A17" s="3" t="s">
        <v>49</v>
      </c>
      <c r="B17" s="35">
        <v>45338</v>
      </c>
      <c r="C17" s="3">
        <v>1620</v>
      </c>
      <c r="D17" s="3">
        <v>95</v>
      </c>
      <c r="E17" s="3" t="s">
        <v>198</v>
      </c>
      <c r="F17" s="8">
        <f ca="1">IFERROR(__xludf.DUMMYFUNCTION("GOOGLEFINANCE(A17,""price"")"),2030)</f>
        <v>2030</v>
      </c>
      <c r="G17" s="1">
        <f t="shared" ca="1" si="3"/>
        <v>38950</v>
      </c>
      <c r="H17" s="3">
        <v>2000</v>
      </c>
      <c r="I17" s="3">
        <v>2580</v>
      </c>
      <c r="J17" s="70">
        <f ca="1">IFERROR(__xludf.DUMMYFUNCTION("GOOGLEFINANCE(A17,""marketcap"")/10000000"),2937.74292)</f>
        <v>2937.7429200000001</v>
      </c>
      <c r="K17" s="12">
        <f t="shared" ca="1" si="4"/>
        <v>25.308641975308642</v>
      </c>
      <c r="L17" s="68">
        <f t="shared" si="5"/>
        <v>153900</v>
      </c>
      <c r="M17" s="3">
        <f t="shared" ca="1" si="9"/>
        <v>-2850</v>
      </c>
      <c r="N17" s="3">
        <f t="shared" ca="1" si="10"/>
        <v>52250</v>
      </c>
      <c r="S17" s="3" t="s">
        <v>208</v>
      </c>
      <c r="T17" s="35">
        <v>45323</v>
      </c>
      <c r="U17" s="3">
        <v>285.89999999999998</v>
      </c>
      <c r="V17" s="3">
        <v>500</v>
      </c>
      <c r="W17" s="3">
        <v>315.3</v>
      </c>
      <c r="X17" s="65">
        <f t="shared" si="0"/>
        <v>14700.000000000016</v>
      </c>
      <c r="Y17" s="1"/>
      <c r="Z17" s="66">
        <f t="shared" si="8"/>
        <v>10.283315844700956</v>
      </c>
      <c r="AA17" s="60">
        <f t="shared" si="2"/>
        <v>142950</v>
      </c>
    </row>
    <row r="18" spans="1:30" ht="14">
      <c r="A18" s="3" t="s">
        <v>66</v>
      </c>
      <c r="B18" s="71">
        <v>45599</v>
      </c>
      <c r="C18" s="3">
        <v>7889</v>
      </c>
      <c r="D18" s="3">
        <v>15</v>
      </c>
      <c r="E18" s="3" t="s">
        <v>198</v>
      </c>
      <c r="F18" s="8">
        <f ca="1">IFERROR(__xludf.DUMMYFUNCTION("GOOGLEFINANCE(A18,""price"")"),8540)</f>
        <v>8540</v>
      </c>
      <c r="G18" s="1">
        <f t="shared" ca="1" si="3"/>
        <v>9765</v>
      </c>
      <c r="J18" s="70">
        <f ca="1">IFERROR(__xludf.DUMMYFUNCTION("GOOGLEFINANCE(A18,""marketcap"")/10000000"),76747.8148987)</f>
        <v>76747.814898700002</v>
      </c>
      <c r="K18" s="12">
        <f t="shared" ca="1" si="4"/>
        <v>8.2519964507542145</v>
      </c>
      <c r="L18" s="68">
        <f t="shared" si="5"/>
        <v>118335</v>
      </c>
      <c r="S18" s="3" t="s">
        <v>82</v>
      </c>
      <c r="T18" s="35">
        <v>45338</v>
      </c>
      <c r="U18" s="3">
        <v>69.7</v>
      </c>
      <c r="V18" s="3">
        <v>2200</v>
      </c>
      <c r="W18" s="3">
        <v>71.7</v>
      </c>
      <c r="X18" s="65">
        <f t="shared" si="0"/>
        <v>4400</v>
      </c>
      <c r="Y18" s="1"/>
      <c r="Z18" s="66">
        <f t="shared" si="8"/>
        <v>2.8694404591104736</v>
      </c>
      <c r="AA18" s="60">
        <f t="shared" si="2"/>
        <v>153340</v>
      </c>
      <c r="AB18" s="70"/>
      <c r="AC18" s="12"/>
      <c r="AD18" s="68"/>
    </row>
    <row r="19" spans="1:30" ht="14">
      <c r="A19" s="3" t="s">
        <v>73</v>
      </c>
      <c r="C19" s="3">
        <v>4108.8999999999996</v>
      </c>
      <c r="D19" s="3">
        <v>30</v>
      </c>
      <c r="E19" s="3" t="s">
        <v>198</v>
      </c>
      <c r="F19" s="8">
        <f ca="1">IFERROR(__xludf.DUMMYFUNCTION("GOOGLEFINANCE(A19,""price"")"),4003.8)</f>
        <v>4003.8</v>
      </c>
      <c r="G19" s="1">
        <f t="shared" ca="1" si="3"/>
        <v>-3152.9999999999836</v>
      </c>
      <c r="J19" s="70">
        <f ca="1">IFERROR(__xludf.DUMMYFUNCTION("GOOGLEFINANCE(A19,""marketcap"")/10000000"),1449525.923983)</f>
        <v>1449525.923983</v>
      </c>
      <c r="K19" s="12">
        <f t="shared" ca="1" si="4"/>
        <v>-2.557862201562449</v>
      </c>
      <c r="L19" s="68">
        <f t="shared" si="5"/>
        <v>123266.99999999999</v>
      </c>
      <c r="S19" s="3" t="s">
        <v>177</v>
      </c>
      <c r="T19" s="35">
        <v>45327</v>
      </c>
      <c r="U19" s="3">
        <v>266.3</v>
      </c>
      <c r="V19" s="3">
        <v>550</v>
      </c>
      <c r="W19" s="3">
        <v>227</v>
      </c>
      <c r="X19" s="65">
        <f t="shared" si="0"/>
        <v>-21615.000000000007</v>
      </c>
      <c r="Y19" s="1"/>
      <c r="Z19" s="66">
        <f t="shared" si="8"/>
        <v>-14.757791963950439</v>
      </c>
      <c r="AA19" s="60">
        <f t="shared" si="2"/>
        <v>146465</v>
      </c>
      <c r="AB19" s="70"/>
      <c r="AC19" s="12"/>
      <c r="AD19" s="68"/>
    </row>
    <row r="20" spans="1:30" ht="14">
      <c r="A20" s="3" t="s">
        <v>23</v>
      </c>
      <c r="C20" s="3">
        <v>303</v>
      </c>
      <c r="D20" s="3">
        <v>500</v>
      </c>
      <c r="E20" s="3" t="s">
        <v>198</v>
      </c>
      <c r="F20" s="8">
        <f ca="1">IFERROR(__xludf.DUMMYFUNCTION("GOOGLEFINANCE(A20,""price"")"),304)</f>
        <v>304</v>
      </c>
      <c r="G20" s="1">
        <f t="shared" ca="1" si="3"/>
        <v>500</v>
      </c>
      <c r="J20" s="72">
        <f ca="1">IFERROR(__xludf.DUMMYFUNCTION("GOOGLEFINANCE(A20,""marketcap"")/10000000"),1958.4263175)</f>
        <v>1958.4263175000001</v>
      </c>
      <c r="K20" s="73">
        <f t="shared" ca="1" si="4"/>
        <v>0.33003300330033003</v>
      </c>
      <c r="L20" s="68">
        <f t="shared" si="5"/>
        <v>151500</v>
      </c>
      <c r="AB20" s="70"/>
      <c r="AC20" s="12"/>
      <c r="AD20" s="68"/>
    </row>
    <row r="21" spans="1:30" ht="14">
      <c r="A21" s="3" t="s">
        <v>62</v>
      </c>
      <c r="B21" s="71">
        <v>45326</v>
      </c>
      <c r="C21" s="3">
        <v>1560</v>
      </c>
      <c r="D21" s="3">
        <v>75</v>
      </c>
      <c r="E21" s="3" t="s">
        <v>198</v>
      </c>
      <c r="F21" s="8">
        <f ca="1">IFERROR(__xludf.DUMMYFUNCTION("GOOGLEFINANCE(A21,""price"")"),1659.05)</f>
        <v>1659.05</v>
      </c>
      <c r="G21" s="1">
        <f t="shared" ca="1" si="3"/>
        <v>7428.7499999999964</v>
      </c>
      <c r="J21" s="72">
        <f ca="1">IFERROR(__xludf.DUMMYFUNCTION("GOOGLEFINANCE(A21,""marketcap"")/10000000"),66663.0863559)</f>
        <v>66663.086355899999</v>
      </c>
      <c r="K21" s="73">
        <f t="shared" ca="1" si="4"/>
        <v>6.3493589743589718</v>
      </c>
      <c r="L21" s="68">
        <f t="shared" si="5"/>
        <v>117000</v>
      </c>
    </row>
    <row r="22" spans="1:30" ht="14">
      <c r="A22" s="3" t="s">
        <v>39</v>
      </c>
      <c r="B22" s="71">
        <v>45326</v>
      </c>
      <c r="C22" s="3">
        <v>309</v>
      </c>
      <c r="D22" s="3">
        <v>350</v>
      </c>
      <c r="E22" s="3" t="s">
        <v>198</v>
      </c>
      <c r="F22" s="8">
        <f ca="1">IFERROR(__xludf.DUMMYFUNCTION("GOOGLEFINANCE(A22,""price"")"),362.6)</f>
        <v>362.6</v>
      </c>
      <c r="G22" s="1">
        <f t="shared" ca="1" si="3"/>
        <v>18760.000000000007</v>
      </c>
      <c r="J22" s="72">
        <f ca="1">IFERROR(__xludf.DUMMYFUNCTION("GOOGLEFINANCE(A22,""marketcap"")/10000000"),35084.2277199)</f>
        <v>35084.227719900002</v>
      </c>
      <c r="K22" s="73">
        <f t="shared" ca="1" si="4"/>
        <v>17.346278317152109</v>
      </c>
      <c r="L22" s="68">
        <f t="shared" si="5"/>
        <v>108150</v>
      </c>
    </row>
    <row r="23" spans="1:30" ht="14">
      <c r="A23" s="3" t="s">
        <v>37</v>
      </c>
      <c r="B23" s="71">
        <v>45326</v>
      </c>
      <c r="C23" s="3">
        <v>1040</v>
      </c>
      <c r="D23" s="3">
        <v>50</v>
      </c>
      <c r="E23" s="3" t="s">
        <v>198</v>
      </c>
      <c r="F23" s="8">
        <f ca="1">IFERROR(__xludf.DUMMYFUNCTION("GOOGLEFINANCE(A23,""price"")"),1062)</f>
        <v>1062</v>
      </c>
      <c r="G23" s="1">
        <f t="shared" ca="1" si="3"/>
        <v>1100</v>
      </c>
      <c r="J23" s="72">
        <f ca="1">IFERROR(__xludf.DUMMYFUNCTION("GOOGLEFINANCE(A23,""marketcap"")/10000000"),6921.171882)</f>
        <v>6921.1718819999996</v>
      </c>
      <c r="K23" s="73">
        <f t="shared" ca="1" si="4"/>
        <v>2.1153846153846154</v>
      </c>
      <c r="L23" s="68">
        <f t="shared" si="5"/>
        <v>52000</v>
      </c>
    </row>
    <row r="24" spans="1:30" ht="14">
      <c r="A24" s="3" t="s">
        <v>47</v>
      </c>
      <c r="B24" s="71">
        <v>45355</v>
      </c>
      <c r="C24" s="3">
        <v>602</v>
      </c>
      <c r="D24" s="3">
        <v>175</v>
      </c>
      <c r="E24" s="3" t="s">
        <v>198</v>
      </c>
      <c r="F24" s="8">
        <f ca="1">IFERROR(__xludf.DUMMYFUNCTION("GOOGLEFINANCE(A24,""price"")"),608)</f>
        <v>608</v>
      </c>
      <c r="G24" s="1">
        <f t="shared" ca="1" si="3"/>
        <v>1050</v>
      </c>
      <c r="J24" s="72">
        <f ca="1">IFERROR(__xludf.DUMMYFUNCTION("GOOGLEFINANCE(A24,""marketcap"")/10000000"),86466.39)</f>
        <v>86466.39</v>
      </c>
      <c r="K24" s="73">
        <f t="shared" ca="1" si="4"/>
        <v>0.99667774086378735</v>
      </c>
      <c r="L24" s="68">
        <f t="shared" si="5"/>
        <v>105350</v>
      </c>
    </row>
    <row r="25" spans="1:30" ht="14">
      <c r="A25" s="3" t="s">
        <v>44</v>
      </c>
      <c r="B25" s="71">
        <v>45355</v>
      </c>
      <c r="C25" s="3">
        <v>694</v>
      </c>
      <c r="D25" s="3">
        <v>200</v>
      </c>
      <c r="E25" s="3" t="s">
        <v>198</v>
      </c>
      <c r="F25" s="8">
        <f ca="1">IFERROR(__xludf.DUMMYFUNCTION("GOOGLEFINANCE(A25,""price"")"),719.7)</f>
        <v>719.7</v>
      </c>
      <c r="G25" s="1">
        <f t="shared" ca="1" si="3"/>
        <v>5140.0000000000091</v>
      </c>
      <c r="J25" s="72">
        <f ca="1">IFERROR(__xludf.DUMMYFUNCTION("GOOGLEFINANCE(A25,""marketcap"")/10000000"),3896.835)</f>
        <v>3896.835</v>
      </c>
      <c r="K25" s="73">
        <f t="shared" ca="1" si="4"/>
        <v>3.7031700288184504</v>
      </c>
      <c r="L25" s="68">
        <f t="shared" si="5"/>
        <v>138800</v>
      </c>
    </row>
    <row r="26" spans="1:30" ht="14">
      <c r="A26" s="3" t="s">
        <v>51</v>
      </c>
      <c r="B26" s="71">
        <v>45355</v>
      </c>
      <c r="C26" s="3">
        <v>545</v>
      </c>
      <c r="D26" s="3">
        <v>200</v>
      </c>
      <c r="E26" s="3" t="s">
        <v>198</v>
      </c>
      <c r="F26" s="8">
        <f ca="1">IFERROR(__xludf.DUMMYFUNCTION("GOOGLEFINANCE(A26,""price"")"),614.8)</f>
        <v>614.79999999999995</v>
      </c>
      <c r="G26" s="1">
        <f t="shared" ca="1" si="3"/>
        <v>13959.999999999991</v>
      </c>
      <c r="J26" s="72">
        <f ca="1">IFERROR(__xludf.DUMMYFUNCTION("GOOGLEFINANCE(A26,""marketcap"")/10000000"),107484.0598573)</f>
        <v>107484.0598573</v>
      </c>
      <c r="K26" s="73">
        <f t="shared" ca="1" si="4"/>
        <v>12.807339449541276</v>
      </c>
      <c r="L26" s="68">
        <f t="shared" si="5"/>
        <v>109000</v>
      </c>
    </row>
    <row r="27" spans="1:30" ht="14">
      <c r="A27" s="3" t="s">
        <v>57</v>
      </c>
      <c r="B27" s="71">
        <v>45630</v>
      </c>
      <c r="C27" s="3">
        <v>4349</v>
      </c>
      <c r="D27" s="3">
        <v>25</v>
      </c>
      <c r="E27" s="3" t="s">
        <v>198</v>
      </c>
      <c r="F27" s="8">
        <f ca="1">IFERROR(__xludf.DUMMYFUNCTION("GOOGLEFINANCE(A27,""price"")"),4355)</f>
        <v>4355</v>
      </c>
      <c r="G27" s="1">
        <f t="shared" ca="1" si="3"/>
        <v>150</v>
      </c>
      <c r="J27" s="72">
        <f ca="1">IFERROR(__xludf.DUMMYFUNCTION("GOOGLEFINANCE(A27,""marketcap"")/10000000"),15285.9101758)</f>
        <v>15285.9101758</v>
      </c>
      <c r="K27" s="73">
        <f t="shared" ca="1" si="4"/>
        <v>0.13796275005748448</v>
      </c>
      <c r="L27" s="68">
        <f t="shared" si="5"/>
        <v>108725</v>
      </c>
    </row>
    <row r="28" spans="1:30" ht="14">
      <c r="A28" s="3" t="s">
        <v>76</v>
      </c>
      <c r="B28" s="71">
        <v>45630</v>
      </c>
      <c r="C28" s="3">
        <v>2495</v>
      </c>
      <c r="D28" s="3">
        <v>50</v>
      </c>
      <c r="E28" s="3" t="s">
        <v>198</v>
      </c>
      <c r="F28" s="8">
        <f ca="1">IFERROR(__xludf.DUMMYFUNCTION("GOOGLEFINANCE(A28,""price"")"),2486)</f>
        <v>2486</v>
      </c>
      <c r="G28" s="1">
        <f t="shared" ca="1" si="3"/>
        <v>-450</v>
      </c>
      <c r="J28" s="72">
        <f ca="1">IFERROR(__xludf.DUMMYFUNCTION("GOOGLEFINANCE(A28,""marketcap"")/10000000"),93739.1048)</f>
        <v>93739.104800000001</v>
      </c>
      <c r="K28" s="73">
        <f t="shared" ca="1" si="4"/>
        <v>-0.36072144288577157</v>
      </c>
      <c r="L28" s="68">
        <f t="shared" si="5"/>
        <v>124750</v>
      </c>
    </row>
    <row r="29" spans="1:30" ht="14">
      <c r="A29" s="3" t="s">
        <v>60</v>
      </c>
      <c r="B29" s="71">
        <v>45630</v>
      </c>
      <c r="C29" s="3">
        <v>2057</v>
      </c>
      <c r="D29" s="3">
        <v>51</v>
      </c>
      <c r="E29" s="3" t="s">
        <v>198</v>
      </c>
      <c r="F29" s="8">
        <f ca="1">IFERROR(__xludf.DUMMYFUNCTION("GOOGLEFINANCE(A29,""price"")"),2070.2)</f>
        <v>2070.1999999999998</v>
      </c>
      <c r="G29" s="1">
        <f t="shared" ca="1" si="3"/>
        <v>673.19999999999072</v>
      </c>
      <c r="J29" s="72">
        <f ca="1">IFERROR(__xludf.DUMMYFUNCTION("GOOGLEFINANCE(A29,""marketcap"")/10000000"),30969.6116135)</f>
        <v>30969.611613500001</v>
      </c>
      <c r="K29" s="73">
        <f t="shared" ca="1" si="4"/>
        <v>0.64171122994651519</v>
      </c>
      <c r="L29" s="68">
        <f t="shared" si="5"/>
        <v>104907</v>
      </c>
    </row>
    <row r="30" spans="1:30" ht="14">
      <c r="A30" s="3" t="s">
        <v>25</v>
      </c>
      <c r="B30" s="35">
        <v>45324</v>
      </c>
      <c r="C30" s="3">
        <v>133</v>
      </c>
      <c r="D30" s="3">
        <v>1150</v>
      </c>
      <c r="E30" s="3" t="s">
        <v>198</v>
      </c>
      <c r="F30" s="8">
        <f ca="1">IFERROR(__xludf.DUMMYFUNCTION("GOOGLEFINANCE(A30,""price"")"),104.85)</f>
        <v>104.85</v>
      </c>
      <c r="G30" s="1">
        <f t="shared" ca="1" si="3"/>
        <v>-32372.500000000007</v>
      </c>
      <c r="H30" s="3">
        <v>104</v>
      </c>
      <c r="I30" s="3">
        <v>547</v>
      </c>
      <c r="J30" s="70">
        <f ca="1">IFERROR(__xludf.DUMMYFUNCTION("GOOGLEFINANCE(A30,""marketcap"")/10000000"),3132.1378704)</f>
        <v>3132.1378703999999</v>
      </c>
      <c r="K30" s="12">
        <f t="shared" ca="1" si="4"/>
        <v>-21.165413533834588</v>
      </c>
      <c r="L30" s="68">
        <f t="shared" si="5"/>
        <v>152950</v>
      </c>
      <c r="M30" s="3">
        <f ca="1">(H30-F30)*D30</f>
        <v>-977.49999999999341</v>
      </c>
      <c r="N30" s="3">
        <f ca="1">(I30-F30)*D30</f>
        <v>508472.5</v>
      </c>
    </row>
    <row r="31" spans="1:30" ht="14">
      <c r="A31" s="3" t="s">
        <v>69</v>
      </c>
      <c r="B31" s="71">
        <v>45630</v>
      </c>
      <c r="C31" s="3">
        <v>306.8</v>
      </c>
      <c r="D31" s="3">
        <v>335</v>
      </c>
      <c r="E31" s="3" t="s">
        <v>198</v>
      </c>
      <c r="F31" s="8">
        <f ca="1">IFERROR(__xludf.DUMMYFUNCTION("GOOGLEFINANCE(A31,""price"")"),305.3)</f>
        <v>305.3</v>
      </c>
      <c r="G31" s="1">
        <f t="shared" ca="1" si="3"/>
        <v>-502.5</v>
      </c>
      <c r="J31" s="72">
        <f ca="1">IFERROR(__xludf.DUMMYFUNCTION("GOOGLEFINANCE(A31,""marketcap"")/10000000"),45798.87975)</f>
        <v>45798.87975</v>
      </c>
      <c r="K31" s="73">
        <f t="shared" ca="1" si="4"/>
        <v>-0.4889178617992177</v>
      </c>
      <c r="L31" s="68">
        <f t="shared" si="5"/>
        <v>102778</v>
      </c>
    </row>
    <row r="32" spans="1:30" ht="14">
      <c r="A32" s="3" t="s">
        <v>64</v>
      </c>
      <c r="B32" s="71">
        <v>45630</v>
      </c>
      <c r="C32" s="3">
        <v>548</v>
      </c>
      <c r="D32" s="3">
        <v>200</v>
      </c>
      <c r="E32" s="3" t="s">
        <v>198</v>
      </c>
      <c r="F32" s="8">
        <f ca="1">IFERROR(__xludf.DUMMYFUNCTION("GOOGLEFINANCE(A32,""price"")"),543)</f>
        <v>543</v>
      </c>
      <c r="G32" s="1">
        <f t="shared" ca="1" si="3"/>
        <v>-1000</v>
      </c>
      <c r="J32" s="72">
        <f ca="1">IFERROR(__xludf.DUMMYFUNCTION("GOOGLEFINANCE(A32,""marketcap"")/10000000"),34233.88026)</f>
        <v>34233.880259999998</v>
      </c>
      <c r="K32" s="73">
        <f t="shared" ca="1" si="4"/>
        <v>-0.91240875912408759</v>
      </c>
      <c r="L32" s="68">
        <f t="shared" si="5"/>
        <v>109600</v>
      </c>
    </row>
    <row r="33" spans="6:6" ht="14">
      <c r="F33" s="8"/>
    </row>
    <row r="34" spans="6:6" ht="14">
      <c r="F34" s="8"/>
    </row>
    <row r="35" spans="6:6" ht="14">
      <c r="F35" s="8"/>
    </row>
    <row r="36" spans="6:6" ht="14">
      <c r="F36" s="8"/>
    </row>
    <row r="37" spans="6:6" ht="14">
      <c r="F37" s="8"/>
    </row>
    <row r="38" spans="6:6" ht="14">
      <c r="F38" s="8"/>
    </row>
    <row r="39" spans="6:6" ht="14">
      <c r="F39" s="8"/>
    </row>
  </sheetData>
  <conditionalFormatting sqref="G1 G3 AC3:AC11">
    <cfRule type="cellIs" dxfId="135" priority="8" operator="lessThan">
      <formula>0</formula>
    </cfRule>
    <cfRule type="cellIs" dxfId="134" priority="7" operator="greaterThan">
      <formula>0</formula>
    </cfRule>
  </conditionalFormatting>
  <conditionalFormatting sqref="J2">
    <cfRule type="cellIs" dxfId="133" priority="2" operator="greaterThan">
      <formula>0</formula>
    </cfRule>
  </conditionalFormatting>
  <conditionalFormatting sqref="K1:K996 AC13:AC20">
    <cfRule type="cellIs" dxfId="132" priority="14" operator="lessThan">
      <formula>0</formula>
    </cfRule>
    <cfRule type="cellIs" dxfId="131" priority="13" operator="greaterThan">
      <formula>0</formula>
    </cfRule>
  </conditionalFormatting>
  <conditionalFormatting sqref="L3">
    <cfRule type="cellIs" dxfId="130" priority="12" operator="lessThan">
      <formula>0</formula>
    </cfRule>
    <cfRule type="cellIs" dxfId="129" priority="11" operator="greaterThan">
      <formula>0</formula>
    </cfRule>
  </conditionalFormatting>
  <conditionalFormatting sqref="O2">
    <cfRule type="cellIs" dxfId="128" priority="6" operator="greaterThan">
      <formula>100</formula>
    </cfRule>
  </conditionalFormatting>
  <conditionalFormatting sqref="Q1:Q2">
    <cfRule type="cellIs" dxfId="127" priority="3" operator="lessThan">
      <formula>0</formula>
    </cfRule>
  </conditionalFormatting>
  <conditionalFormatting sqref="R1:R2">
    <cfRule type="cellIs" dxfId="126" priority="1" operator="lessThan">
      <formula>1</formula>
    </cfRule>
    <cfRule type="cellIs" dxfId="125" priority="4" operator="lessThan">
      <formula>-2</formula>
    </cfRule>
    <cfRule type="cellIs" dxfId="124" priority="5" operator="greaterThan">
      <formula>5</formula>
    </cfRule>
  </conditionalFormatting>
  <conditionalFormatting sqref="AC3:AC11">
    <cfRule type="cellIs" dxfId="123" priority="9" operator="greaterThan">
      <formula>20</formula>
    </cfRule>
    <cfRule type="cellIs" dxfId="122" priority="10" operator="lessThan">
      <formula>-7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S9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cols>
    <col min="1" max="1" width="17.1640625" customWidth="1"/>
    <col min="11" max="11" width="14.5" customWidth="1"/>
  </cols>
  <sheetData>
    <row r="1" spans="1:45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9" t="s">
        <v>89</v>
      </c>
      <c r="F1" s="10" t="s">
        <v>209</v>
      </c>
      <c r="G1" s="11" t="s">
        <v>210</v>
      </c>
      <c r="H1" s="11" t="s">
        <v>97</v>
      </c>
      <c r="I1" s="9" t="s">
        <v>211</v>
      </c>
      <c r="J1" s="29" t="s">
        <v>99</v>
      </c>
      <c r="K1" s="10" t="s">
        <v>100</v>
      </c>
      <c r="L1" s="3"/>
      <c r="M1" s="5" t="s">
        <v>104</v>
      </c>
      <c r="N1" s="49">
        <f ca="1">N4/N2</f>
        <v>0.69767441860465118</v>
      </c>
      <c r="O1" s="50" t="s">
        <v>187</v>
      </c>
      <c r="P1" s="74" t="s">
        <v>212</v>
      </c>
      <c r="Q1" s="75" t="s">
        <v>213</v>
      </c>
      <c r="R1" s="76">
        <f>SUM(W:W)</f>
        <v>1276479.95</v>
      </c>
      <c r="S1" s="9"/>
      <c r="T1" s="9"/>
      <c r="U1" s="9"/>
      <c r="V1" s="9"/>
      <c r="W1" s="11"/>
      <c r="X1" s="9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">
      <c r="B2" s="77">
        <v>45202</v>
      </c>
      <c r="C2" s="19">
        <f ca="1">TODAY()</f>
        <v>45396</v>
      </c>
      <c r="D2" s="78"/>
      <c r="E2" s="79"/>
      <c r="F2" s="80">
        <f ca="1">SUM(F3:F215)</f>
        <v>753203</v>
      </c>
      <c r="G2" s="53" t="s">
        <v>106</v>
      </c>
      <c r="H2" s="53" t="e">
        <f ca="1">_xludf.DAYS(C2,B2)</f>
        <v>#NAME?</v>
      </c>
      <c r="I2" s="80">
        <f ca="1">F2+R1</f>
        <v>2029682.95</v>
      </c>
      <c r="J2" s="81">
        <f ca="1">I2/K2</f>
        <v>0.20325087062040614</v>
      </c>
      <c r="K2" s="80">
        <f>SUM(K3:K137)-R1</f>
        <v>9986097.1999999993</v>
      </c>
      <c r="L2" s="28"/>
      <c r="M2" s="28" t="s">
        <v>107</v>
      </c>
      <c r="N2" s="82">
        <f ca="1">N3+N4</f>
        <v>43</v>
      </c>
      <c r="O2" s="56">
        <f ca="1">SUM(K4:K50)+F2</f>
        <v>12015780.149999999</v>
      </c>
      <c r="P2" s="78"/>
      <c r="Q2" s="3" t="s">
        <v>83</v>
      </c>
      <c r="R2" s="3" t="s">
        <v>92</v>
      </c>
      <c r="S2" s="3" t="s">
        <v>93</v>
      </c>
      <c r="T2" s="3" t="s">
        <v>94</v>
      </c>
      <c r="U2" s="3" t="s">
        <v>89</v>
      </c>
      <c r="V2" s="3" t="s">
        <v>115</v>
      </c>
      <c r="W2" s="3" t="s">
        <v>214</v>
      </c>
      <c r="X2" s="29" t="s">
        <v>99</v>
      </c>
      <c r="Y2" s="12" t="s">
        <v>215</v>
      </c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</row>
    <row r="3" spans="1:45" ht="16">
      <c r="L3" s="82"/>
      <c r="M3" s="82" t="s">
        <v>109</v>
      </c>
      <c r="N3" s="83">
        <f ca="1">COUNTIF(F:F, "&lt;0")</f>
        <v>13</v>
      </c>
      <c r="O3" s="78"/>
      <c r="P3" s="78"/>
      <c r="Q3" s="3" t="s">
        <v>216</v>
      </c>
      <c r="R3" s="38">
        <v>45205</v>
      </c>
      <c r="S3" s="3">
        <v>3080</v>
      </c>
      <c r="T3" s="3">
        <v>65</v>
      </c>
      <c r="U3" s="20">
        <f ca="1">IFERROR(__xludf.DUMMYFUNCTION("GOOGLEFINANCE(Q3,""price"")"),2508)</f>
        <v>2508</v>
      </c>
      <c r="V3" s="3">
        <v>2630</v>
      </c>
      <c r="W3" s="3">
        <f t="shared" ref="W3:W75" si="0">(V3-S3)*T3</f>
        <v>-29250</v>
      </c>
      <c r="X3" s="15">
        <f t="shared" ref="X3:X75" si="1">W3/ (S3*T3)</f>
        <v>-0.1461038961038961</v>
      </c>
      <c r="Y3" s="15">
        <f t="shared" ref="Y3:Y60" ca="1" si="2">(U3-S3)*T3/ (T3*U3)</f>
        <v>-0.22807017543859648</v>
      </c>
      <c r="AB3" s="15"/>
      <c r="AC3" s="1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</row>
    <row r="4" spans="1:45" ht="14">
      <c r="M4" s="82" t="s">
        <v>110</v>
      </c>
      <c r="N4" s="83">
        <f ca="1">COUNTIF(F:F, "&gt;0")</f>
        <v>30</v>
      </c>
      <c r="Q4" s="3" t="s">
        <v>217</v>
      </c>
      <c r="R4" s="32">
        <v>45217</v>
      </c>
      <c r="S4" s="3">
        <v>139</v>
      </c>
      <c r="T4" s="3">
        <v>2300</v>
      </c>
      <c r="U4" s="20">
        <f ca="1">IFERROR(__xludf.DUMMYFUNCTION("GOOGLEFINANCE(Q4,""price"")"),216.05)</f>
        <v>216.05</v>
      </c>
      <c r="V4" s="3">
        <v>120</v>
      </c>
      <c r="W4" s="3">
        <f t="shared" si="0"/>
        <v>-43700</v>
      </c>
      <c r="X4" s="15">
        <f t="shared" si="1"/>
        <v>-0.1366906474820144</v>
      </c>
      <c r="Y4" s="15">
        <f t="shared" ca="1" si="2"/>
        <v>0.35663040962740111</v>
      </c>
      <c r="AB4" s="15"/>
      <c r="AC4" s="1"/>
    </row>
    <row r="5" spans="1:45" ht="14">
      <c r="A5" s="3" t="s">
        <v>11</v>
      </c>
      <c r="B5" s="32">
        <v>45217</v>
      </c>
      <c r="C5" s="3">
        <v>106.38</v>
      </c>
      <c r="D5" s="3">
        <v>2250</v>
      </c>
      <c r="E5" s="20">
        <f ca="1">IFERROR(__xludf.DUMMYFUNCTION("GOOGLEFINANCE(A5,""price"")"),143.1)</f>
        <v>143.1</v>
      </c>
      <c r="F5" s="3">
        <f t="shared" ref="F5:F46" ca="1" si="3">(E5-C5)*D5</f>
        <v>82620</v>
      </c>
      <c r="G5" s="3" t="str">
        <f>VLOOKUP(A5,'all stocks &gt; 500 cr'!$B:$H,6,0)</f>
        <v>Banking and Finance</v>
      </c>
      <c r="J5" s="15">
        <f t="shared" ref="J5:J46" ca="1" si="4">F5/K5</f>
        <v>0.34517766497461927</v>
      </c>
      <c r="K5" s="1">
        <f t="shared" ref="K5:K46" si="5">C5*D5</f>
        <v>239355</v>
      </c>
      <c r="L5" s="82" t="str">
        <f t="shared" ref="L5:L46" si="6">A5&amp;""&amp;","</f>
        <v>NSE:BANKINDIA,</v>
      </c>
      <c r="N5" s="84"/>
      <c r="Q5" s="3" t="s">
        <v>139</v>
      </c>
      <c r="R5" s="38">
        <v>45202</v>
      </c>
      <c r="S5" s="3">
        <f>532.07/10</f>
        <v>53.207000000000008</v>
      </c>
      <c r="T5" s="3">
        <f>380*10</f>
        <v>3800</v>
      </c>
      <c r="U5" s="20">
        <f ca="1">IFERROR(__xludf.DUMMYFUNCTION("GOOGLEFINANCE(Q5,""price"")"),60.45)</f>
        <v>60.45</v>
      </c>
      <c r="V5" s="3">
        <v>58.7</v>
      </c>
      <c r="W5" s="3">
        <f t="shared" si="0"/>
        <v>20873.39999999998</v>
      </c>
      <c r="X5" s="15">
        <f t="shared" si="1"/>
        <v>0.10323829571296998</v>
      </c>
      <c r="Y5" s="15">
        <f t="shared" ca="1" si="2"/>
        <v>0.11981803143093457</v>
      </c>
      <c r="Z5" s="85" t="s">
        <v>218</v>
      </c>
      <c r="AA5" s="85" t="s">
        <v>219</v>
      </c>
      <c r="AB5" s="15"/>
      <c r="AC5" s="1"/>
    </row>
    <row r="6" spans="1:45" ht="14">
      <c r="A6" s="3" t="s">
        <v>58</v>
      </c>
      <c r="B6" s="32">
        <v>45252</v>
      </c>
      <c r="C6" s="3">
        <v>546.77</v>
      </c>
      <c r="D6" s="3">
        <v>390</v>
      </c>
      <c r="E6" s="20">
        <f ca="1">IFERROR(__xludf.DUMMYFUNCTION("GOOGLEFINANCE(A6,""price"")"),612.55)</f>
        <v>612.54999999999995</v>
      </c>
      <c r="F6" s="3">
        <f t="shared" ca="1" si="3"/>
        <v>25654.19999999999</v>
      </c>
      <c r="G6" s="3" t="str">
        <f>VLOOKUP(A6,'all stocks &gt; 500 cr'!$B:$H,6,0)</f>
        <v>Software &amp; Services</v>
      </c>
      <c r="J6" s="15">
        <f t="shared" ca="1" si="4"/>
        <v>0.12030652742469407</v>
      </c>
      <c r="K6" s="1">
        <f t="shared" si="5"/>
        <v>213240.3</v>
      </c>
      <c r="L6" s="82" t="str">
        <f t="shared" si="6"/>
        <v>NSE:ZENSARTECH,</v>
      </c>
      <c r="Q6" s="3" t="s">
        <v>220</v>
      </c>
      <c r="R6" s="38">
        <v>45202</v>
      </c>
      <c r="S6" s="3">
        <v>516</v>
      </c>
      <c r="T6" s="3">
        <v>400</v>
      </c>
      <c r="U6" s="20">
        <f ca="1">IFERROR(__xludf.DUMMYFUNCTION("GOOGLEFINANCE(Q6,""price"")"),408)</f>
        <v>408</v>
      </c>
      <c r="V6" s="3">
        <v>455</v>
      </c>
      <c r="W6" s="3">
        <f t="shared" si="0"/>
        <v>-24400</v>
      </c>
      <c r="X6" s="15">
        <f t="shared" si="1"/>
        <v>-0.11821705426356589</v>
      </c>
      <c r="Y6" s="15">
        <f t="shared" ca="1" si="2"/>
        <v>-0.26470588235294118</v>
      </c>
      <c r="AB6" s="15"/>
      <c r="AC6" s="1"/>
    </row>
    <row r="7" spans="1:45" ht="14">
      <c r="A7" s="3" t="s">
        <v>17</v>
      </c>
      <c r="B7" s="38">
        <v>45264</v>
      </c>
      <c r="C7" s="3">
        <v>267.45</v>
      </c>
      <c r="D7" s="3">
        <v>380</v>
      </c>
      <c r="E7" s="20">
        <f ca="1">IFERROR(__xludf.DUMMYFUNCTION("GOOGLEFINANCE(A7,""price"")"),364)</f>
        <v>364</v>
      </c>
      <c r="F7" s="3">
        <f t="shared" ca="1" si="3"/>
        <v>36689.000000000007</v>
      </c>
      <c r="G7" s="3" t="str">
        <f>VLOOKUP(A7,'all stocks &gt; 500 cr'!$B:$H,6,0)</f>
        <v>Realty</v>
      </c>
      <c r="J7" s="15">
        <f t="shared" ca="1" si="4"/>
        <v>0.36100205645915129</v>
      </c>
      <c r="K7" s="1">
        <f t="shared" si="5"/>
        <v>101631</v>
      </c>
      <c r="L7" s="82" t="str">
        <f t="shared" si="6"/>
        <v>NSE:ARIHANTSUP,</v>
      </c>
      <c r="Q7" s="3" t="s">
        <v>221</v>
      </c>
      <c r="R7" s="38">
        <v>45205</v>
      </c>
      <c r="S7" s="3">
        <v>709.94</v>
      </c>
      <c r="T7" s="3">
        <v>300</v>
      </c>
      <c r="U7" s="20">
        <f ca="1">IFERROR(__xludf.DUMMYFUNCTION("GOOGLEFINANCE(Q7,""price"")"),616.5)</f>
        <v>616.5</v>
      </c>
      <c r="V7" s="3">
        <v>664.8</v>
      </c>
      <c r="W7" s="3">
        <f t="shared" si="0"/>
        <v>-13542.000000000029</v>
      </c>
      <c r="X7" s="15">
        <f t="shared" si="1"/>
        <v>-6.3582837986308829E-2</v>
      </c>
      <c r="Y7" s="15">
        <f t="shared" ca="1" si="2"/>
        <v>-0.15156528791565296</v>
      </c>
      <c r="AB7" s="15"/>
      <c r="AC7" s="1"/>
    </row>
    <row r="8" spans="1:45" ht="14">
      <c r="A8" s="3" t="s">
        <v>59</v>
      </c>
      <c r="B8" s="32">
        <v>45287</v>
      </c>
      <c r="C8" s="3">
        <v>1408</v>
      </c>
      <c r="D8" s="3">
        <v>200</v>
      </c>
      <c r="E8" s="20">
        <f ca="1">IFERROR(__xludf.DUMMYFUNCTION("GOOGLEFINANCE(A8,""price"")"),1636.55)</f>
        <v>1636.55</v>
      </c>
      <c r="F8" s="3">
        <f t="shared" ca="1" si="3"/>
        <v>45709.999999999993</v>
      </c>
      <c r="G8" s="3" t="str">
        <f>VLOOKUP(A8,'all stocks &gt; 500 cr'!$B:$H,6,0)</f>
        <v>Software &amp; Services</v>
      </c>
      <c r="J8" s="15">
        <f t="shared" ca="1" si="4"/>
        <v>0.16232244318181815</v>
      </c>
      <c r="K8" s="1">
        <f t="shared" si="5"/>
        <v>281600</v>
      </c>
      <c r="L8" s="82" t="str">
        <f t="shared" si="6"/>
        <v>NSE:SASKEN,</v>
      </c>
      <c r="Q8" s="3" t="s">
        <v>222</v>
      </c>
      <c r="R8" s="32">
        <v>45215</v>
      </c>
      <c r="S8" s="3">
        <v>610.20000000000005</v>
      </c>
      <c r="T8" s="3">
        <v>400</v>
      </c>
      <c r="U8" s="20">
        <f ca="1">IFERROR(__xludf.DUMMYFUNCTION("GOOGLEFINANCE(Q8,""price"")"),450)</f>
        <v>450</v>
      </c>
      <c r="V8" s="3">
        <v>545</v>
      </c>
      <c r="W8" s="3">
        <f t="shared" si="0"/>
        <v>-26080.000000000018</v>
      </c>
      <c r="X8" s="15">
        <f t="shared" si="1"/>
        <v>-0.10685021304490337</v>
      </c>
      <c r="Y8" s="15">
        <f t="shared" ca="1" si="2"/>
        <v>-0.35600000000000009</v>
      </c>
      <c r="AB8" s="15"/>
      <c r="AC8" s="1"/>
    </row>
    <row r="9" spans="1:45" ht="14">
      <c r="A9" s="3" t="s">
        <v>11</v>
      </c>
      <c r="B9" s="32">
        <v>45289</v>
      </c>
      <c r="C9" s="3">
        <v>112.93</v>
      </c>
      <c r="D9" s="3">
        <v>2000</v>
      </c>
      <c r="E9" s="20">
        <f ca="1">IFERROR(__xludf.DUMMYFUNCTION("GOOGLEFINANCE(A9,""price"")"),143.1)</f>
        <v>143.1</v>
      </c>
      <c r="F9" s="3">
        <f t="shared" ca="1" si="3"/>
        <v>60339.999999999978</v>
      </c>
      <c r="G9" s="3" t="str">
        <f>VLOOKUP(A9,'all stocks &gt; 500 cr'!$B:$H,6,0)</f>
        <v>Banking and Finance</v>
      </c>
      <c r="J9" s="15">
        <f t="shared" ca="1" si="4"/>
        <v>0.26715664570973158</v>
      </c>
      <c r="K9" s="1">
        <f t="shared" si="5"/>
        <v>225860</v>
      </c>
      <c r="L9" s="82" t="str">
        <f t="shared" si="6"/>
        <v>NSE:BANKINDIA,</v>
      </c>
      <c r="Q9" s="3" t="s">
        <v>223</v>
      </c>
      <c r="R9" s="32">
        <v>45240</v>
      </c>
      <c r="S9" s="3">
        <v>204.15</v>
      </c>
      <c r="T9" s="3">
        <v>1007</v>
      </c>
      <c r="U9" s="20">
        <f ca="1">IFERROR(__xludf.DUMMYFUNCTION("GOOGLEFINANCE(Q9,""price"")"),164)</f>
        <v>164</v>
      </c>
      <c r="V9" s="3">
        <v>181.91</v>
      </c>
      <c r="W9" s="3">
        <f t="shared" si="0"/>
        <v>-22395.680000000008</v>
      </c>
      <c r="X9" s="15">
        <f t="shared" si="1"/>
        <v>-0.10893950526573601</v>
      </c>
      <c r="Y9" s="15">
        <f t="shared" ca="1" si="2"/>
        <v>-0.24481707317073173</v>
      </c>
      <c r="AB9" s="15"/>
      <c r="AC9" s="1"/>
    </row>
    <row r="10" spans="1:45" ht="14">
      <c r="A10" s="3" t="s">
        <v>61</v>
      </c>
      <c r="B10" s="35">
        <v>45293</v>
      </c>
      <c r="C10" s="3">
        <v>100.24</v>
      </c>
      <c r="D10" s="3">
        <v>2000</v>
      </c>
      <c r="E10" s="20">
        <f ca="1">IFERROR(__xludf.DUMMYFUNCTION("GOOGLEFINANCE(A10,""price"")"),116.05)</f>
        <v>116.05</v>
      </c>
      <c r="F10" s="3">
        <f t="shared" ca="1" si="3"/>
        <v>31620.000000000004</v>
      </c>
      <c r="G10" s="3" t="str">
        <f>VLOOKUP(A10,'all stocks &gt; 500 cr'!$B:$H,6,0)</f>
        <v>Cement and Construction</v>
      </c>
      <c r="J10" s="15">
        <f t="shared" ca="1" si="4"/>
        <v>0.15772146847565843</v>
      </c>
      <c r="K10" s="1">
        <f t="shared" si="5"/>
        <v>200480</v>
      </c>
      <c r="L10" s="82" t="str">
        <f t="shared" si="6"/>
        <v>NSE:SHREDIGCEM,</v>
      </c>
      <c r="Q10" s="3" t="s">
        <v>223</v>
      </c>
      <c r="R10" s="38">
        <v>45239</v>
      </c>
      <c r="S10" s="3">
        <v>204.3</v>
      </c>
      <c r="T10" s="3">
        <v>493</v>
      </c>
      <c r="U10" s="20">
        <f ca="1">IFERROR(__xludf.DUMMYFUNCTION("GOOGLEFINANCE(Q10,""price"")"),164)</f>
        <v>164</v>
      </c>
      <c r="V10" s="3">
        <v>181.91</v>
      </c>
      <c r="W10" s="3">
        <f t="shared" si="0"/>
        <v>-11038.270000000008</v>
      </c>
      <c r="X10" s="15">
        <f t="shared" si="1"/>
        <v>-0.10959373470386694</v>
      </c>
      <c r="Y10" s="15">
        <f t="shared" ca="1" si="2"/>
        <v>-0.24573170731707322</v>
      </c>
      <c r="AB10" s="15"/>
      <c r="AC10" s="1"/>
    </row>
    <row r="11" spans="1:45" ht="14">
      <c r="A11" s="3" t="s">
        <v>81</v>
      </c>
      <c r="B11" s="35">
        <v>45303</v>
      </c>
      <c r="C11" s="3">
        <v>1563.35</v>
      </c>
      <c r="D11" s="3">
        <v>125</v>
      </c>
      <c r="E11" s="20">
        <f ca="1">IFERROR(__xludf.DUMMYFUNCTION("GOOGLEFINANCE(A11,""price"")"),2087)</f>
        <v>2087</v>
      </c>
      <c r="F11" s="3">
        <f t="shared" ca="1" si="3"/>
        <v>65456.250000000015</v>
      </c>
      <c r="G11" s="3" t="str">
        <f>VLOOKUP(A11,'all stocks &gt; 500 cr'!$B:$H,6,0)</f>
        <v>General Industrials</v>
      </c>
      <c r="J11" s="15">
        <f t="shared" ca="1" si="4"/>
        <v>0.33495378514088342</v>
      </c>
      <c r="K11" s="1">
        <f t="shared" si="5"/>
        <v>195418.75</v>
      </c>
      <c r="L11" s="82" t="str">
        <f t="shared" si="6"/>
        <v>NSE:SHRIPISTON,</v>
      </c>
      <c r="Q11" s="17" t="s">
        <v>224</v>
      </c>
      <c r="R11" s="86">
        <v>45237</v>
      </c>
      <c r="S11" s="46">
        <v>96.25</v>
      </c>
      <c r="T11" s="46">
        <v>1300</v>
      </c>
      <c r="U11" s="8">
        <f ca="1">IFERROR(__xludf.DUMMYFUNCTION("GOOGLEFINANCE(Q11,""price"")"),170.15)</f>
        <v>170.15</v>
      </c>
      <c r="V11" s="46">
        <v>155</v>
      </c>
      <c r="W11" s="3">
        <f t="shared" si="0"/>
        <v>76375</v>
      </c>
      <c r="X11" s="15">
        <f t="shared" si="1"/>
        <v>0.61038961038961037</v>
      </c>
      <c r="Y11" s="15">
        <f t="shared" ca="1" si="2"/>
        <v>0.43432265647957691</v>
      </c>
      <c r="Z11" s="17"/>
      <c r="AA11" s="87"/>
      <c r="AB11" s="88"/>
      <c r="AC11" s="89"/>
    </row>
    <row r="12" spans="1:45" ht="14">
      <c r="A12" s="3" t="s">
        <v>65</v>
      </c>
      <c r="B12" s="35">
        <v>45309</v>
      </c>
      <c r="C12" s="3">
        <v>834.93</v>
      </c>
      <c r="D12" s="3">
        <v>300</v>
      </c>
      <c r="E12" s="20">
        <f ca="1">IFERROR(__xludf.DUMMYFUNCTION("GOOGLEFINANCE(A12,""price"")"),1342.55)</f>
        <v>1342.55</v>
      </c>
      <c r="F12" s="3">
        <f t="shared" ca="1" si="3"/>
        <v>152286</v>
      </c>
      <c r="G12" s="3" t="str">
        <f>VLOOKUP(A12,'all stocks &gt; 500 cr'!$B:$H,6,0)</f>
        <v>General Industrials</v>
      </c>
      <c r="J12" s="15">
        <f t="shared" ca="1" si="4"/>
        <v>0.60797911202136712</v>
      </c>
      <c r="K12" s="1">
        <f t="shared" si="5"/>
        <v>250478.99999999997</v>
      </c>
      <c r="L12" s="82" t="str">
        <f t="shared" si="6"/>
        <v>NSE:INDOTECH,</v>
      </c>
      <c r="Q12" s="3" t="s">
        <v>146</v>
      </c>
      <c r="R12" s="32">
        <v>45260</v>
      </c>
      <c r="S12" s="3">
        <v>366</v>
      </c>
      <c r="T12" s="3">
        <v>250</v>
      </c>
      <c r="U12" s="20">
        <f ca="1">IFERROR(__xludf.DUMMYFUNCTION("GOOGLEFINANCE(Q12,""price"")"),370.5)</f>
        <v>370.5</v>
      </c>
      <c r="V12" s="3">
        <v>364</v>
      </c>
      <c r="W12" s="3">
        <f t="shared" si="0"/>
        <v>-500</v>
      </c>
      <c r="X12" s="15">
        <f t="shared" si="1"/>
        <v>-5.4644808743169399E-3</v>
      </c>
      <c r="Y12" s="15">
        <f t="shared" ca="1" si="2"/>
        <v>1.2145748987854251E-2</v>
      </c>
      <c r="AA12" s="39"/>
      <c r="AB12" s="39"/>
      <c r="AC12" s="39"/>
    </row>
    <row r="13" spans="1:45" ht="14">
      <c r="A13" s="3" t="s">
        <v>22</v>
      </c>
      <c r="B13" s="35">
        <v>45314</v>
      </c>
      <c r="C13" s="3">
        <v>140</v>
      </c>
      <c r="D13" s="3">
        <v>1500</v>
      </c>
      <c r="E13" s="20">
        <f ca="1">IFERROR(__xludf.DUMMYFUNCTION("GOOGLEFINANCE(A13,""price"")"),122)</f>
        <v>122</v>
      </c>
      <c r="F13" s="3">
        <f t="shared" ca="1" si="3"/>
        <v>-27000</v>
      </c>
      <c r="G13" s="3" t="str">
        <f>VLOOKUP(A13,'all stocks &gt; 500 cr'!$B:$H,6,0)</f>
        <v>Automobiles &amp; Auto Components</v>
      </c>
      <c r="J13" s="15">
        <f t="shared" ca="1" si="4"/>
        <v>-0.12857142857142856</v>
      </c>
      <c r="K13" s="1">
        <f t="shared" si="5"/>
        <v>210000</v>
      </c>
      <c r="L13" s="82" t="str">
        <f t="shared" si="6"/>
        <v>NSE:JAYBARMARU,</v>
      </c>
      <c r="Q13" s="3" t="s">
        <v>225</v>
      </c>
      <c r="R13" s="32">
        <v>45242</v>
      </c>
      <c r="S13" s="3">
        <v>1642.69</v>
      </c>
      <c r="T13" s="3">
        <v>180</v>
      </c>
      <c r="U13" s="3">
        <v>1690</v>
      </c>
      <c r="V13" s="3">
        <v>1696</v>
      </c>
      <c r="W13" s="3">
        <f t="shared" si="0"/>
        <v>9595.7999999999902</v>
      </c>
      <c r="X13" s="15">
        <f t="shared" si="1"/>
        <v>3.2452866943854256E-2</v>
      </c>
      <c r="Y13" s="15">
        <f t="shared" si="2"/>
        <v>2.7994082840236655E-2</v>
      </c>
      <c r="AA13" s="39"/>
      <c r="AB13" s="90"/>
      <c r="AC13" s="91"/>
    </row>
    <row r="14" spans="1:45" ht="14">
      <c r="A14" s="3" t="s">
        <v>79</v>
      </c>
      <c r="B14" s="35">
        <v>45315</v>
      </c>
      <c r="C14" s="3">
        <v>406</v>
      </c>
      <c r="D14" s="3">
        <v>600</v>
      </c>
      <c r="E14" s="20">
        <f ca="1">IFERROR(__xludf.DUMMYFUNCTION("GOOGLEFINANCE(A14,""price"")"),465)</f>
        <v>465</v>
      </c>
      <c r="F14" s="3">
        <f t="shared" ca="1" si="3"/>
        <v>35400</v>
      </c>
      <c r="G14" s="3" t="str">
        <f>VLOOKUP(A14,'all stocks &gt; 500 cr'!$B:$H,6,0)</f>
        <v>Media</v>
      </c>
      <c r="J14" s="15">
        <f t="shared" ca="1" si="4"/>
        <v>0.14532019704433496</v>
      </c>
      <c r="K14" s="1">
        <f t="shared" si="5"/>
        <v>243600</v>
      </c>
      <c r="L14" s="82" t="str">
        <f t="shared" si="6"/>
        <v>NSE:TIPSINDLTD,</v>
      </c>
      <c r="Q14" s="3" t="s">
        <v>226</v>
      </c>
      <c r="R14" s="32">
        <v>45218</v>
      </c>
      <c r="S14" s="3">
        <v>102.05</v>
      </c>
      <c r="T14" s="3">
        <v>2500</v>
      </c>
      <c r="U14" s="20">
        <f ca="1">IFERROR(__xludf.DUMMYFUNCTION("GOOGLEFINANCE(Q14,""price"")"),134.5)</f>
        <v>134.5</v>
      </c>
      <c r="V14" s="3">
        <v>103.5</v>
      </c>
      <c r="W14" s="3">
        <f t="shared" si="0"/>
        <v>3625.0000000000073</v>
      </c>
      <c r="X14" s="15">
        <f t="shared" si="1"/>
        <v>1.420872121509067E-2</v>
      </c>
      <c r="Y14" s="15">
        <f t="shared" ca="1" si="2"/>
        <v>0.24126394052044609</v>
      </c>
      <c r="AB14" s="15"/>
      <c r="AC14" s="1"/>
    </row>
    <row r="15" spans="1:45" ht="14">
      <c r="A15" s="3" t="s">
        <v>18</v>
      </c>
      <c r="B15" s="35">
        <v>45327</v>
      </c>
      <c r="C15" s="3">
        <v>97.4</v>
      </c>
      <c r="D15" s="3">
        <v>2100</v>
      </c>
      <c r="E15" s="20">
        <f ca="1">IFERROR(__xludf.DUMMYFUNCTION("GOOGLEFINANCE(A15,""price"")"),92.5)</f>
        <v>92.5</v>
      </c>
      <c r="F15" s="3">
        <f t="shared" ca="1" si="3"/>
        <v>-10290.000000000013</v>
      </c>
      <c r="G15" s="3" t="str">
        <f>VLOOKUP(A15,'all stocks &gt; 500 cr'!$B:$H,6,0)</f>
        <v>Oil &amp; Gas</v>
      </c>
      <c r="J15" s="15">
        <f t="shared" ca="1" si="4"/>
        <v>-5.0308008213552427E-2</v>
      </c>
      <c r="K15" s="1">
        <f t="shared" si="5"/>
        <v>204540</v>
      </c>
      <c r="L15" s="82" t="str">
        <f t="shared" si="6"/>
        <v>NSE:CONFIPET,</v>
      </c>
      <c r="Q15" s="3" t="s">
        <v>150</v>
      </c>
      <c r="R15" s="38">
        <v>45237</v>
      </c>
      <c r="S15" s="3">
        <v>1335.98</v>
      </c>
      <c r="T15" s="3">
        <v>190</v>
      </c>
      <c r="U15" s="3">
        <v>1424.5</v>
      </c>
      <c r="V15" s="3">
        <v>1415.5</v>
      </c>
      <c r="W15" s="3">
        <f t="shared" si="0"/>
        <v>15108.799999999996</v>
      </c>
      <c r="X15" s="15">
        <f t="shared" si="1"/>
        <v>5.9521849129477965E-2</v>
      </c>
      <c r="Y15" s="15">
        <f t="shared" si="2"/>
        <v>6.2141102141102127E-2</v>
      </c>
      <c r="AB15" s="15"/>
      <c r="AC15" s="1"/>
    </row>
    <row r="16" spans="1:45" ht="14">
      <c r="A16" s="3" t="s">
        <v>25</v>
      </c>
      <c r="B16" s="35">
        <v>45327</v>
      </c>
      <c r="C16" s="3">
        <v>139.19999999999999</v>
      </c>
      <c r="D16" s="3">
        <v>1500</v>
      </c>
      <c r="E16" s="20">
        <f ca="1">IFERROR(__xludf.DUMMYFUNCTION("GOOGLEFINANCE(A16,""price"")"),104.85)</f>
        <v>104.85</v>
      </c>
      <c r="F16" s="3">
        <f t="shared" ca="1" si="3"/>
        <v>-51524.999999999993</v>
      </c>
      <c r="G16" s="3" t="str">
        <f>VLOOKUP(A16,'all stocks &gt; 500 cr'!$B:$H,6,0)</f>
        <v>Media</v>
      </c>
      <c r="J16" s="15">
        <f t="shared" ca="1" si="4"/>
        <v>-0.24676724137931033</v>
      </c>
      <c r="K16" s="1">
        <f t="shared" si="5"/>
        <v>208799.99999999997</v>
      </c>
      <c r="L16" s="82" t="str">
        <f t="shared" si="6"/>
        <v>NSE:PFOCUS,</v>
      </c>
      <c r="Q16" s="3" t="s">
        <v>227</v>
      </c>
      <c r="R16" s="32">
        <v>45217</v>
      </c>
      <c r="S16" s="3">
        <v>44</v>
      </c>
      <c r="T16" s="3">
        <v>6500</v>
      </c>
      <c r="U16" s="20">
        <f ca="1">IFERROR(__xludf.DUMMYFUNCTION("GOOGLEFINANCE(Q16,""price"")"),64.05)</f>
        <v>64.05</v>
      </c>
      <c r="V16" s="3">
        <v>43.4</v>
      </c>
      <c r="W16" s="3">
        <f t="shared" si="0"/>
        <v>-3900.0000000000091</v>
      </c>
      <c r="X16" s="15">
        <f t="shared" si="1"/>
        <v>-1.3636363636363669E-2</v>
      </c>
      <c r="Y16" s="15">
        <f t="shared" ca="1" si="2"/>
        <v>0.31303669008587037</v>
      </c>
      <c r="AB16" s="15"/>
      <c r="AC16" s="1"/>
    </row>
    <row r="17" spans="1:29" ht="14.25" customHeight="1">
      <c r="A17" s="3" t="s">
        <v>18</v>
      </c>
      <c r="B17" s="35">
        <v>45331</v>
      </c>
      <c r="C17" s="3">
        <v>91.8</v>
      </c>
      <c r="D17" s="3">
        <v>1350</v>
      </c>
      <c r="E17" s="20">
        <f ca="1">IFERROR(__xludf.DUMMYFUNCTION("GOOGLEFINANCE(A17,""price"")"),92.5)</f>
        <v>92.5</v>
      </c>
      <c r="F17" s="3">
        <f t="shared" ca="1" si="3"/>
        <v>945.00000000000387</v>
      </c>
      <c r="G17" s="3" t="str">
        <f>VLOOKUP(A17,'all stocks &gt; 500 cr'!$B:$H,6,0)</f>
        <v>Oil &amp; Gas</v>
      </c>
      <c r="J17" s="15">
        <f t="shared" ca="1" si="4"/>
        <v>7.6252723311547154E-3</v>
      </c>
      <c r="K17" s="1">
        <f t="shared" si="5"/>
        <v>123930</v>
      </c>
      <c r="L17" s="82" t="str">
        <f t="shared" si="6"/>
        <v>NSE:CONFIPET,</v>
      </c>
      <c r="Q17" s="3" t="s">
        <v>228</v>
      </c>
      <c r="R17" s="32">
        <v>45217</v>
      </c>
      <c r="S17" s="3">
        <v>44</v>
      </c>
      <c r="T17" s="3">
        <v>5000</v>
      </c>
      <c r="U17" s="20">
        <f ca="1">IFERROR(__xludf.DUMMYFUNCTION("GOOGLEFINANCE(Q17,""price"")"),61)</f>
        <v>61</v>
      </c>
      <c r="V17" s="3">
        <v>43.45</v>
      </c>
      <c r="W17" s="3">
        <f t="shared" si="0"/>
        <v>-2749.9999999999859</v>
      </c>
      <c r="X17" s="15">
        <f t="shared" si="1"/>
        <v>-1.2499999999999937E-2</v>
      </c>
      <c r="Y17" s="15">
        <f t="shared" ca="1" si="2"/>
        <v>0.27868852459016391</v>
      </c>
      <c r="AB17" s="15"/>
      <c r="AC17" s="1"/>
    </row>
    <row r="18" spans="1:29" ht="14">
      <c r="A18" s="3" t="s">
        <v>24</v>
      </c>
      <c r="B18" s="35">
        <v>45331</v>
      </c>
      <c r="C18" s="3">
        <v>805</v>
      </c>
      <c r="D18" s="3">
        <v>380</v>
      </c>
      <c r="E18" s="20">
        <f ca="1">IFERROR(__xludf.DUMMYFUNCTION("GOOGLEFINANCE(A18,""price"")"),896)</f>
        <v>896</v>
      </c>
      <c r="F18" s="3">
        <f t="shared" ca="1" si="3"/>
        <v>34580</v>
      </c>
      <c r="G18" s="3" t="str">
        <f>VLOOKUP(A18,'all stocks &gt; 500 cr'!$B:$H,6,0)</f>
        <v>General Industrials</v>
      </c>
      <c r="J18" s="15">
        <f t="shared" ca="1" si="4"/>
        <v>0.11304347826086956</v>
      </c>
      <c r="K18" s="1">
        <f t="shared" si="5"/>
        <v>305900</v>
      </c>
      <c r="L18" s="82" t="str">
        <f t="shared" si="6"/>
        <v>NSE:GET&amp;D,</v>
      </c>
      <c r="Q18" s="3" t="s">
        <v>229</v>
      </c>
      <c r="R18" s="32">
        <v>45217</v>
      </c>
      <c r="S18" s="3">
        <v>381.5</v>
      </c>
      <c r="T18" s="3">
        <v>400</v>
      </c>
      <c r="U18" s="20">
        <f ca="1">IFERROR(__xludf.DUMMYFUNCTION("GOOGLEFINANCE(Q18,""price"")"),343.4)</f>
        <v>343.4</v>
      </c>
      <c r="V18" s="3">
        <v>362.27</v>
      </c>
      <c r="W18" s="3">
        <f t="shared" si="0"/>
        <v>-7692.0000000000073</v>
      </c>
      <c r="X18" s="15">
        <f t="shared" si="1"/>
        <v>-5.0406290956749721E-2</v>
      </c>
      <c r="Y18" s="15">
        <f t="shared" ca="1" si="2"/>
        <v>-0.11094933022714043</v>
      </c>
      <c r="AB18" s="15"/>
      <c r="AC18" s="1"/>
    </row>
    <row r="19" spans="1:29" ht="14">
      <c r="A19" s="3" t="s">
        <v>45</v>
      </c>
      <c r="B19" s="35">
        <v>45331</v>
      </c>
      <c r="C19" s="3">
        <v>190.8</v>
      </c>
      <c r="D19" s="3">
        <v>1600</v>
      </c>
      <c r="E19" s="20">
        <f ca="1">IFERROR(__xludf.DUMMYFUNCTION("GOOGLEFINANCE(A19,""price"")"),175.6)</f>
        <v>175.6</v>
      </c>
      <c r="F19" s="3">
        <f t="shared" ca="1" si="3"/>
        <v>-24320.000000000029</v>
      </c>
      <c r="G19" s="3" t="str">
        <f>VLOOKUP(A19,'all stocks &gt; 500 cr'!$B:$H,6,0)</f>
        <v>Cement and Construction</v>
      </c>
      <c r="J19" s="15">
        <f t="shared" ca="1" si="4"/>
        <v>-7.9664570230608064E-2</v>
      </c>
      <c r="K19" s="1">
        <f t="shared" si="5"/>
        <v>305280</v>
      </c>
      <c r="L19" s="82" t="str">
        <f t="shared" si="6"/>
        <v>NSE:PRSMJOHNSN,</v>
      </c>
      <c r="Q19" s="3" t="s">
        <v>230</v>
      </c>
      <c r="R19" s="38">
        <v>45231</v>
      </c>
      <c r="S19" s="3">
        <v>461.4</v>
      </c>
      <c r="T19" s="3">
        <v>400</v>
      </c>
      <c r="U19" s="20">
        <f ca="1">IFERROR(__xludf.DUMMYFUNCTION("GOOGLEFINANCE(Q19,""price"")"),347.25)</f>
        <v>347.25</v>
      </c>
      <c r="V19" s="3">
        <v>377.45</v>
      </c>
      <c r="W19" s="3">
        <f t="shared" si="0"/>
        <v>-33579.999999999993</v>
      </c>
      <c r="X19" s="15">
        <f t="shared" si="1"/>
        <v>-0.18194625054182917</v>
      </c>
      <c r="Y19" s="15">
        <f t="shared" ca="1" si="2"/>
        <v>-0.32872570194384443</v>
      </c>
      <c r="AB19" s="15"/>
      <c r="AC19" s="1"/>
    </row>
    <row r="20" spans="1:29" ht="14">
      <c r="A20" s="3" t="s">
        <v>49</v>
      </c>
      <c r="B20" s="35">
        <v>45331</v>
      </c>
      <c r="C20" s="3">
        <v>1584.5</v>
      </c>
      <c r="D20" s="3">
        <v>180</v>
      </c>
      <c r="E20" s="20">
        <f ca="1">IFERROR(__xludf.DUMMYFUNCTION("GOOGLEFINANCE(A20,""price"")"),2030)</f>
        <v>2030</v>
      </c>
      <c r="F20" s="3">
        <f t="shared" ca="1" si="3"/>
        <v>80190</v>
      </c>
      <c r="G20" s="3" t="str">
        <f>VLOOKUP(A20,'all stocks &gt; 500 cr'!$B:$H,6,0)</f>
        <v>Automobiles &amp; Auto Components</v>
      </c>
      <c r="J20" s="15">
        <f t="shared" ca="1" si="4"/>
        <v>0.28116124960555378</v>
      </c>
      <c r="K20" s="1">
        <f t="shared" si="5"/>
        <v>285210</v>
      </c>
      <c r="L20" s="82" t="str">
        <f t="shared" si="6"/>
        <v>NSE:SMLISUZU,</v>
      </c>
      <c r="Q20" s="3" t="s">
        <v>156</v>
      </c>
      <c r="R20" s="32">
        <v>45289</v>
      </c>
      <c r="S20" s="3">
        <v>233</v>
      </c>
      <c r="T20" s="3">
        <v>1000</v>
      </c>
      <c r="U20" s="20">
        <f ca="1">IFERROR(__xludf.DUMMYFUNCTION("GOOGLEFINANCE(Q20,""price"")"),267.7)</f>
        <v>267.7</v>
      </c>
      <c r="V20" s="3">
        <v>225.48</v>
      </c>
      <c r="W20" s="3">
        <f t="shared" si="0"/>
        <v>-7520.00000000001</v>
      </c>
      <c r="X20" s="15">
        <f t="shared" si="1"/>
        <v>-3.2274678111588025E-2</v>
      </c>
      <c r="Y20" s="15">
        <f t="shared" ca="1" si="2"/>
        <v>0.12962271199103467</v>
      </c>
      <c r="AB20" s="15"/>
      <c r="AC20" s="1"/>
    </row>
    <row r="21" spans="1:29" ht="14">
      <c r="A21" s="3" t="s">
        <v>36</v>
      </c>
      <c r="B21" s="35">
        <v>45338</v>
      </c>
      <c r="C21" s="3">
        <v>540.6</v>
      </c>
      <c r="D21" s="3">
        <v>750</v>
      </c>
      <c r="E21" s="20">
        <f ca="1">IFERROR(__xludf.DUMMYFUNCTION("GOOGLEFINANCE(A21,""price"")"),524.6)</f>
        <v>524.6</v>
      </c>
      <c r="F21" s="3">
        <f t="shared" ca="1" si="3"/>
        <v>-12000</v>
      </c>
      <c r="G21" s="3" t="str">
        <f>VLOOKUP(A21,'all stocks &gt; 500 cr'!$B:$H,6,0)</f>
        <v>Banking and Finance</v>
      </c>
      <c r="J21" s="15">
        <f t="shared" ca="1" si="4"/>
        <v>-2.9596744358120607E-2</v>
      </c>
      <c r="K21" s="1">
        <f t="shared" si="5"/>
        <v>405450</v>
      </c>
      <c r="L21" s="82" t="str">
        <f t="shared" si="6"/>
        <v>NSE:INDIANB,</v>
      </c>
      <c r="Q21" s="3" t="s">
        <v>224</v>
      </c>
      <c r="R21" s="38">
        <v>45237</v>
      </c>
      <c r="S21" s="3">
        <v>96.25</v>
      </c>
      <c r="T21" s="3">
        <v>1200</v>
      </c>
      <c r="U21" s="20">
        <f ca="1">IFERROR(__xludf.DUMMYFUNCTION("GOOGLEFINANCE(Q21,""price"")"),170.15)</f>
        <v>170.15</v>
      </c>
      <c r="V21" s="3">
        <v>170.37</v>
      </c>
      <c r="W21" s="3">
        <f t="shared" si="0"/>
        <v>88944</v>
      </c>
      <c r="X21" s="15">
        <f t="shared" si="1"/>
        <v>0.77007792207792203</v>
      </c>
      <c r="Y21" s="15">
        <f t="shared" ca="1" si="2"/>
        <v>0.43432265647957685</v>
      </c>
      <c r="AB21" s="15"/>
      <c r="AC21" s="1"/>
    </row>
    <row r="22" spans="1:29" ht="14">
      <c r="A22" s="3" t="s">
        <v>25</v>
      </c>
      <c r="B22" s="35">
        <v>45338</v>
      </c>
      <c r="C22" s="3">
        <v>120.7</v>
      </c>
      <c r="D22" s="3">
        <v>830</v>
      </c>
      <c r="E22" s="20">
        <f ca="1">IFERROR(__xludf.DUMMYFUNCTION("GOOGLEFINANCE(A22,""price"")"),104.85)</f>
        <v>104.85</v>
      </c>
      <c r="F22" s="3">
        <f t="shared" ca="1" si="3"/>
        <v>-13155.500000000007</v>
      </c>
      <c r="G22" s="3" t="str">
        <f>VLOOKUP(A22,'all stocks &gt; 500 cr'!$B:$H,6,0)</f>
        <v>Media</v>
      </c>
      <c r="J22" s="15">
        <f t="shared" ca="1" si="4"/>
        <v>-0.1313173156586579</v>
      </c>
      <c r="K22" s="1">
        <f t="shared" si="5"/>
        <v>100181</v>
      </c>
      <c r="L22" s="82" t="str">
        <f t="shared" si="6"/>
        <v>NSE:PFOCUS,</v>
      </c>
      <c r="Q22" s="3" t="s">
        <v>231</v>
      </c>
      <c r="R22" s="32">
        <v>45217</v>
      </c>
      <c r="S22" s="3">
        <v>41</v>
      </c>
      <c r="T22" s="3">
        <v>6000</v>
      </c>
      <c r="U22" s="20">
        <f ca="1">IFERROR(__xludf.DUMMYFUNCTION("GOOGLEFINANCE(Q22,""price"")"),55.3)</f>
        <v>55.3</v>
      </c>
      <c r="V22" s="3">
        <v>39.25</v>
      </c>
      <c r="W22" s="3">
        <f t="shared" si="0"/>
        <v>-10500</v>
      </c>
      <c r="X22" s="15">
        <f t="shared" si="1"/>
        <v>-4.2682926829268296E-2</v>
      </c>
      <c r="Y22" s="15">
        <f t="shared" ca="1" si="2"/>
        <v>0.25858951175406869</v>
      </c>
      <c r="AB22" s="15"/>
      <c r="AC22" s="1"/>
    </row>
    <row r="23" spans="1:29" ht="14">
      <c r="A23" s="3" t="s">
        <v>81</v>
      </c>
      <c r="B23" s="35">
        <v>45338</v>
      </c>
      <c r="C23" s="3">
        <v>1728</v>
      </c>
      <c r="D23" s="3">
        <v>60</v>
      </c>
      <c r="E23" s="20">
        <f ca="1">IFERROR(__xludf.DUMMYFUNCTION("GOOGLEFINANCE(A23,""price"")"),2087)</f>
        <v>2087</v>
      </c>
      <c r="F23" s="3">
        <f t="shared" ca="1" si="3"/>
        <v>21540</v>
      </c>
      <c r="G23" s="3" t="str">
        <f>VLOOKUP(A23,'all stocks &gt; 500 cr'!$B:$H,6,0)</f>
        <v>General Industrials</v>
      </c>
      <c r="J23" s="15">
        <f t="shared" ca="1" si="4"/>
        <v>0.20775462962962962</v>
      </c>
      <c r="K23" s="1">
        <f t="shared" si="5"/>
        <v>103680</v>
      </c>
      <c r="L23" s="82" t="str">
        <f t="shared" si="6"/>
        <v>NSE:SHRIPISTON,</v>
      </c>
      <c r="Q23" s="3" t="s">
        <v>158</v>
      </c>
      <c r="R23" s="38">
        <v>45264</v>
      </c>
      <c r="S23" s="3">
        <v>1594</v>
      </c>
      <c r="T23" s="3">
        <v>65</v>
      </c>
      <c r="U23" s="20">
        <f ca="1">IFERROR(__xludf.DUMMYFUNCTION("GOOGLEFINANCE(Q23,""price"")"),1546)</f>
        <v>1546</v>
      </c>
      <c r="V23" s="3">
        <v>1420</v>
      </c>
      <c r="W23" s="3">
        <f t="shared" si="0"/>
        <v>-11310</v>
      </c>
      <c r="X23" s="15">
        <f t="shared" si="1"/>
        <v>-0.10915934755332497</v>
      </c>
      <c r="Y23" s="15">
        <f t="shared" ca="1" si="2"/>
        <v>-3.1047865459249677E-2</v>
      </c>
      <c r="AB23" s="15"/>
      <c r="AC23" s="1"/>
    </row>
    <row r="24" spans="1:29" ht="14">
      <c r="A24" s="3" t="s">
        <v>10</v>
      </c>
      <c r="B24" s="35">
        <v>45341</v>
      </c>
      <c r="C24" s="3">
        <v>444</v>
      </c>
      <c r="D24" s="3">
        <v>690</v>
      </c>
      <c r="E24" s="20">
        <f ca="1">IFERROR(__xludf.DUMMYFUNCTION("GOOGLEFINANCE(A24,""price"")"),480)</f>
        <v>480</v>
      </c>
      <c r="F24" s="3">
        <f t="shared" ca="1" si="3"/>
        <v>24840</v>
      </c>
      <c r="G24" s="3" t="str">
        <f>VLOOKUP(A24,'all stocks &gt; 500 cr'!$B:$H,6,0)</f>
        <v>Oil &amp; Gas</v>
      </c>
      <c r="J24" s="15">
        <f t="shared" ca="1" si="4"/>
        <v>8.1081081081081086E-2</v>
      </c>
      <c r="K24" s="1">
        <f t="shared" si="5"/>
        <v>306360</v>
      </c>
      <c r="L24" s="82" t="str">
        <f t="shared" si="6"/>
        <v>NSE:AEGISCHEM,</v>
      </c>
      <c r="Q24" s="3" t="s">
        <v>157</v>
      </c>
      <c r="R24" s="32">
        <v>45259</v>
      </c>
      <c r="S24" s="3">
        <v>2700</v>
      </c>
      <c r="T24" s="3">
        <v>75</v>
      </c>
      <c r="U24" s="20">
        <f ca="1">IFERROR(__xludf.DUMMYFUNCTION("GOOGLEFINANCE(Q24,""price"")"),2459)</f>
        <v>2459</v>
      </c>
      <c r="V24" s="3">
        <v>2445.11</v>
      </c>
      <c r="W24" s="3">
        <f t="shared" si="0"/>
        <v>-19116.749999999989</v>
      </c>
      <c r="X24" s="15">
        <f t="shared" si="1"/>
        <v>-9.4403703703703656E-2</v>
      </c>
      <c r="Y24" s="15">
        <f t="shared" ca="1" si="2"/>
        <v>-9.800732004880032E-2</v>
      </c>
      <c r="AB24" s="15"/>
      <c r="AC24" s="1"/>
    </row>
    <row r="25" spans="1:29" ht="14">
      <c r="A25" s="3" t="s">
        <v>12</v>
      </c>
      <c r="B25" s="35">
        <v>45341</v>
      </c>
      <c r="C25" s="3">
        <v>828</v>
      </c>
      <c r="D25" s="3">
        <v>475</v>
      </c>
      <c r="E25" s="20">
        <f ca="1">IFERROR(__xludf.DUMMYFUNCTION("GOOGLEFINANCE(A25,""price"")"),725)</f>
        <v>725</v>
      </c>
      <c r="F25" s="3">
        <f t="shared" ca="1" si="3"/>
        <v>-48925</v>
      </c>
      <c r="G25" s="3" t="str">
        <f>VLOOKUP(A25,'all stocks &gt; 500 cr'!$B:$H,6,0)</f>
        <v>Software &amp; Services</v>
      </c>
      <c r="J25" s="15">
        <f t="shared" ca="1" si="4"/>
        <v>-0.12439613526570048</v>
      </c>
      <c r="K25" s="1">
        <f t="shared" si="5"/>
        <v>393300</v>
      </c>
      <c r="L25" s="82" t="str">
        <f t="shared" si="6"/>
        <v>NSE:ALLSEC,</v>
      </c>
      <c r="Q25" s="3" t="s">
        <v>232</v>
      </c>
      <c r="R25" s="35">
        <v>45294</v>
      </c>
      <c r="S25" s="3">
        <v>556</v>
      </c>
      <c r="T25" s="3">
        <v>350</v>
      </c>
      <c r="U25" s="20">
        <f ca="1">IFERROR(__xludf.DUMMYFUNCTION("GOOGLEFINANCE(Q25,""price"")"),652)</f>
        <v>652</v>
      </c>
      <c r="V25" s="3">
        <v>526.67999999999995</v>
      </c>
      <c r="W25" s="3">
        <f t="shared" si="0"/>
        <v>-10262.000000000018</v>
      </c>
      <c r="X25" s="15">
        <f t="shared" si="1"/>
        <v>-5.2733812949640378E-2</v>
      </c>
      <c r="Y25" s="15">
        <f t="shared" ca="1" si="2"/>
        <v>0.14723926380368099</v>
      </c>
      <c r="AB25" s="15"/>
      <c r="AC25" s="1"/>
    </row>
    <row r="26" spans="1:29" ht="14">
      <c r="A26" s="3" t="s">
        <v>21</v>
      </c>
      <c r="B26" s="35">
        <v>45341</v>
      </c>
      <c r="C26" s="3">
        <v>6760</v>
      </c>
      <c r="D26" s="3">
        <v>55</v>
      </c>
      <c r="E26" s="20">
        <f ca="1">IFERROR(__xludf.DUMMYFUNCTION("GOOGLEFINANCE(A26,""price"")"),7829.95)</f>
        <v>7829.95</v>
      </c>
      <c r="F26" s="3">
        <f t="shared" ca="1" si="3"/>
        <v>58847.249999999993</v>
      </c>
      <c r="G26" s="3" t="str">
        <f>VLOOKUP(A26,'all stocks &gt; 500 cr'!$B:$H,6,0)</f>
        <v>Consumer Durables</v>
      </c>
      <c r="J26" s="15">
        <f t="shared" ca="1" si="4"/>
        <v>0.1582766272189349</v>
      </c>
      <c r="K26" s="1">
        <f t="shared" si="5"/>
        <v>371800</v>
      </c>
      <c r="L26" s="82" t="str">
        <f t="shared" si="6"/>
        <v>NSE:DIXON,</v>
      </c>
      <c r="Q26" s="3" t="s">
        <v>170</v>
      </c>
      <c r="R26" s="32">
        <v>45240</v>
      </c>
      <c r="S26" s="3">
        <v>1254.5</v>
      </c>
      <c r="T26" s="3">
        <v>330</v>
      </c>
      <c r="U26" s="20">
        <f ca="1">IFERROR(__xludf.DUMMYFUNCTION("GOOGLEFINANCE(Q26,""price"")"),1164.8)</f>
        <v>1164.8</v>
      </c>
      <c r="V26" s="3">
        <v>1230</v>
      </c>
      <c r="W26" s="3">
        <f t="shared" si="0"/>
        <v>-8085</v>
      </c>
      <c r="X26" s="15">
        <f t="shared" si="1"/>
        <v>-1.9529693104822637E-2</v>
      </c>
      <c r="Y26" s="15">
        <f t="shared" ca="1" si="2"/>
        <v>-7.7008928571428603E-2</v>
      </c>
      <c r="AB26" s="15"/>
      <c r="AC26" s="1"/>
    </row>
    <row r="27" spans="1:29" ht="14">
      <c r="A27" s="3" t="s">
        <v>30</v>
      </c>
      <c r="B27" s="35">
        <v>45356</v>
      </c>
      <c r="C27" s="3">
        <v>54.46</v>
      </c>
      <c r="D27" s="3">
        <v>3500</v>
      </c>
      <c r="E27" s="8">
        <f ca="1">IFERROR(__xludf.DUMMYFUNCTION("GOOGLEFINANCE(A27,""price"")"),61.92)</f>
        <v>61.92</v>
      </c>
      <c r="F27" s="46">
        <f t="shared" ca="1" si="3"/>
        <v>26110.000000000004</v>
      </c>
      <c r="G27" s="17" t="e">
        <f>VLOOKUP(A27,'all stocks &gt; 500 cr'!$B:$H,6,0)</f>
        <v>#N/A</v>
      </c>
      <c r="H27" s="17"/>
      <c r="I27" s="17"/>
      <c r="J27" s="92">
        <f t="shared" ca="1" si="4"/>
        <v>0.13698127065736321</v>
      </c>
      <c r="K27" s="68">
        <f t="shared" si="5"/>
        <v>190610</v>
      </c>
      <c r="L27" s="82" t="str">
        <f t="shared" si="6"/>
        <v>NSE:GOLDBEES,</v>
      </c>
      <c r="Q27" s="3" t="s">
        <v>233</v>
      </c>
      <c r="R27" s="32">
        <v>45258</v>
      </c>
      <c r="S27" s="3">
        <v>163</v>
      </c>
      <c r="T27" s="3">
        <v>1220</v>
      </c>
      <c r="U27" s="20">
        <f ca="1">IFERROR(__xludf.DUMMYFUNCTION("GOOGLEFINANCE(Q27,""price"")"),126.15)</f>
        <v>126.15</v>
      </c>
      <c r="V27" s="3">
        <v>150.26</v>
      </c>
      <c r="W27" s="3">
        <f t="shared" si="0"/>
        <v>-15542.80000000001</v>
      </c>
      <c r="X27" s="15">
        <f t="shared" si="1"/>
        <v>-7.8159509202454042E-2</v>
      </c>
      <c r="Y27" s="15">
        <f t="shared" ca="1" si="2"/>
        <v>-0.29211256440745142</v>
      </c>
      <c r="AB27" s="15"/>
      <c r="AC27" s="1"/>
    </row>
    <row r="28" spans="1:29" ht="14">
      <c r="A28" s="3" t="s">
        <v>66</v>
      </c>
      <c r="B28" s="71">
        <v>45599</v>
      </c>
      <c r="C28" s="3">
        <v>7788.47</v>
      </c>
      <c r="D28" s="3">
        <v>30</v>
      </c>
      <c r="E28" s="8">
        <f ca="1">IFERROR(__xludf.DUMMYFUNCTION("GOOGLEFINANCE(A28,""price"")"),8540)</f>
        <v>8540</v>
      </c>
      <c r="F28" s="46">
        <f t="shared" ca="1" si="3"/>
        <v>22545.899999999994</v>
      </c>
      <c r="G28" s="17" t="str">
        <f>VLOOKUP(A28,'all stocks &gt; 500 cr'!$B:$H,6,0)</f>
        <v>General Industrials</v>
      </c>
      <c r="H28" s="17"/>
      <c r="I28" s="17"/>
      <c r="J28" s="92">
        <f t="shared" ca="1" si="4"/>
        <v>9.6492635909235028E-2</v>
      </c>
      <c r="K28" s="68">
        <f t="shared" si="5"/>
        <v>233654.1</v>
      </c>
      <c r="L28" s="82" t="str">
        <f t="shared" si="6"/>
        <v>NSE:SOLARINDS,</v>
      </c>
      <c r="Q28" s="3" t="s">
        <v>234</v>
      </c>
      <c r="R28" s="32">
        <v>45217</v>
      </c>
      <c r="S28" s="3">
        <v>232.5</v>
      </c>
      <c r="T28" s="3">
        <v>1200</v>
      </c>
      <c r="U28" s="20">
        <f ca="1">IFERROR(__xludf.DUMMYFUNCTION("GOOGLEFINANCE(Q28,""price"")"),244.95)</f>
        <v>244.95</v>
      </c>
      <c r="V28" s="3">
        <v>252.4</v>
      </c>
      <c r="W28" s="3">
        <f t="shared" si="0"/>
        <v>23880.000000000007</v>
      </c>
      <c r="X28" s="15">
        <f t="shared" si="1"/>
        <v>8.5591397849462389E-2</v>
      </c>
      <c r="Y28" s="15">
        <f t="shared" ca="1" si="2"/>
        <v>5.0826699326393089E-2</v>
      </c>
      <c r="AB28" s="15"/>
      <c r="AC28" s="1"/>
    </row>
    <row r="29" spans="1:29" ht="14">
      <c r="A29" s="3" t="s">
        <v>23</v>
      </c>
      <c r="B29" s="3" t="s">
        <v>235</v>
      </c>
      <c r="C29" s="3">
        <v>302.10000000000002</v>
      </c>
      <c r="D29" s="3">
        <v>1300</v>
      </c>
      <c r="E29" s="20">
        <f ca="1">IFERROR(__xludf.DUMMYFUNCTION("GOOGLEFINANCE(A29,""price"")"),304)</f>
        <v>304</v>
      </c>
      <c r="F29" s="3">
        <f t="shared" ca="1" si="3"/>
        <v>2469.9999999999704</v>
      </c>
      <c r="G29" s="3" t="str">
        <f>VLOOKUP(A29,'all stocks &gt; 500 cr'!$B:$H,6,0)</f>
        <v>Oil &amp; Gas</v>
      </c>
      <c r="J29" s="15">
        <f t="shared" ca="1" si="4"/>
        <v>6.2893081761005529E-3</v>
      </c>
      <c r="K29" s="1">
        <f t="shared" si="5"/>
        <v>392730.00000000006</v>
      </c>
      <c r="L29" s="82" t="str">
        <f t="shared" si="6"/>
        <v>NSE:DEEPINDS,</v>
      </c>
      <c r="Q29" s="3" t="s">
        <v>171</v>
      </c>
      <c r="R29" s="38">
        <v>45231</v>
      </c>
      <c r="S29" s="3">
        <v>214.63</v>
      </c>
      <c r="T29" s="3">
        <v>1200</v>
      </c>
      <c r="U29" s="20">
        <f ca="1">IFERROR(__xludf.DUMMYFUNCTION("GOOGLEFINANCE(Q29,""price"")"),223.1)</f>
        <v>223.1</v>
      </c>
      <c r="V29" s="3">
        <v>246.7</v>
      </c>
      <c r="W29" s="3">
        <f t="shared" si="0"/>
        <v>38483.999999999993</v>
      </c>
      <c r="X29" s="15">
        <f t="shared" si="1"/>
        <v>0.1494199319759586</v>
      </c>
      <c r="Y29" s="15">
        <f t="shared" ca="1" si="2"/>
        <v>3.7965038099506944E-2</v>
      </c>
      <c r="AB29" s="15"/>
      <c r="AC29" s="1"/>
    </row>
    <row r="30" spans="1:29" ht="14">
      <c r="A30" s="3" t="s">
        <v>39</v>
      </c>
      <c r="B30" s="71">
        <v>45326</v>
      </c>
      <c r="C30" s="3">
        <v>308</v>
      </c>
      <c r="D30" s="3">
        <v>1000</v>
      </c>
      <c r="E30" s="20">
        <f ca="1">IFERROR(__xludf.DUMMYFUNCTION("GOOGLEFINANCE(A30,""price"")"),362.6)</f>
        <v>362.6</v>
      </c>
      <c r="F30" s="3">
        <f t="shared" ca="1" si="3"/>
        <v>54600.000000000022</v>
      </c>
      <c r="G30" s="3" t="str">
        <f>VLOOKUP(A30,'all stocks &gt; 500 cr'!$B:$H,6,0)</f>
        <v>Metals &amp; Mining</v>
      </c>
      <c r="J30" s="15">
        <f t="shared" ca="1" si="4"/>
        <v>0.17727272727272733</v>
      </c>
      <c r="K30" s="1">
        <f t="shared" si="5"/>
        <v>308000</v>
      </c>
      <c r="L30" s="82" t="str">
        <f t="shared" si="6"/>
        <v>NSE:HINDCOPPER,</v>
      </c>
      <c r="Q30" s="3" t="s">
        <v>82</v>
      </c>
      <c r="R30" s="32">
        <v>45259</v>
      </c>
      <c r="S30" s="3">
        <v>58.4</v>
      </c>
      <c r="T30" s="3">
        <v>2100</v>
      </c>
      <c r="U30" s="20">
        <f ca="1">IFERROR(__xludf.DUMMYFUNCTION("GOOGLEFINANCE(Q30,""price"")"),71.9)</f>
        <v>71.900000000000006</v>
      </c>
      <c r="V30" s="3">
        <v>69.55</v>
      </c>
      <c r="W30" s="3">
        <f t="shared" si="0"/>
        <v>23414.999999999996</v>
      </c>
      <c r="X30" s="15">
        <f t="shared" si="1"/>
        <v>0.19092465753424653</v>
      </c>
      <c r="Y30" s="15">
        <f t="shared" ca="1" si="2"/>
        <v>0.18776077885952722</v>
      </c>
      <c r="AB30" s="15"/>
      <c r="AC30" s="1"/>
    </row>
    <row r="31" spans="1:29" ht="14">
      <c r="A31" s="3" t="s">
        <v>62</v>
      </c>
      <c r="B31" s="71">
        <v>45326</v>
      </c>
      <c r="C31" s="3">
        <v>1561</v>
      </c>
      <c r="D31" s="3">
        <v>200</v>
      </c>
      <c r="E31" s="20">
        <f ca="1">IFERROR(__xludf.DUMMYFUNCTION("GOOGLEFINANCE(A31,""price"")"),1659.05)</f>
        <v>1659.05</v>
      </c>
      <c r="F31" s="3">
        <f t="shared" ca="1" si="3"/>
        <v>19609.999999999993</v>
      </c>
      <c r="G31" s="3" t="str">
        <f>VLOOKUP(A31,'all stocks &gt; 500 cr'!$B:$H,6,0)</f>
        <v>Banking and Finance</v>
      </c>
      <c r="J31" s="15">
        <f t="shared" ca="1" si="4"/>
        <v>6.2812299807815483E-2</v>
      </c>
      <c r="K31" s="1">
        <f t="shared" si="5"/>
        <v>312200</v>
      </c>
      <c r="L31" s="82" t="str">
        <f t="shared" si="6"/>
        <v>NSE:MUTHOOTFIN,</v>
      </c>
      <c r="Q31" s="3" t="s">
        <v>163</v>
      </c>
      <c r="R31" s="32">
        <v>45275</v>
      </c>
      <c r="S31" s="3">
        <v>666.14</v>
      </c>
      <c r="T31" s="3">
        <v>300</v>
      </c>
      <c r="U31" s="20">
        <f ca="1">IFERROR(__xludf.DUMMYFUNCTION("GOOGLEFINANCE(Q31,""price"")"),486.5)</f>
        <v>486.5</v>
      </c>
      <c r="V31" s="3">
        <v>555.20000000000005</v>
      </c>
      <c r="W31" s="3">
        <f t="shared" si="0"/>
        <v>-33281.999999999985</v>
      </c>
      <c r="X31" s="15">
        <f t="shared" si="1"/>
        <v>-0.16654156783859242</v>
      </c>
      <c r="Y31" s="15">
        <f t="shared" ca="1" si="2"/>
        <v>-0.36924974306269265</v>
      </c>
      <c r="AB31" s="15"/>
      <c r="AC31" s="1"/>
    </row>
    <row r="32" spans="1:29" ht="14">
      <c r="A32" s="3" t="s">
        <v>37</v>
      </c>
      <c r="B32" s="71">
        <v>45326</v>
      </c>
      <c r="C32" s="3">
        <v>1040</v>
      </c>
      <c r="D32" s="3">
        <v>150</v>
      </c>
      <c r="E32" s="20">
        <f ca="1">IFERROR(__xludf.DUMMYFUNCTION("GOOGLEFINANCE(A32,""price"")"),1062)</f>
        <v>1062</v>
      </c>
      <c r="F32" s="3">
        <f t="shared" ca="1" si="3"/>
        <v>3300</v>
      </c>
      <c r="G32" s="3" t="str">
        <f>VLOOKUP(A32,'all stocks &gt; 500 cr'!$B:$H,6,0)</f>
        <v>Cement and Construction</v>
      </c>
      <c r="J32" s="15">
        <f t="shared" ca="1" si="4"/>
        <v>2.1153846153846155E-2</v>
      </c>
      <c r="K32" s="1">
        <f t="shared" si="5"/>
        <v>156000</v>
      </c>
      <c r="L32" s="82" t="str">
        <f t="shared" si="6"/>
        <v>NSE:HGINFRA,</v>
      </c>
      <c r="Q32" s="3" t="s">
        <v>164</v>
      </c>
      <c r="R32" s="38">
        <v>45202</v>
      </c>
      <c r="S32" s="3">
        <v>474</v>
      </c>
      <c r="T32" s="3">
        <v>420</v>
      </c>
      <c r="U32" s="20">
        <f ca="1">IFERROR(__xludf.DUMMYFUNCTION("GOOGLEFINANCE(""NSE:DREDGECORP"",""price"")"),774.15)</f>
        <v>774.15</v>
      </c>
      <c r="V32" s="3">
        <v>783.1</v>
      </c>
      <c r="W32" s="3">
        <f t="shared" si="0"/>
        <v>129822.00000000001</v>
      </c>
      <c r="X32" s="15">
        <f t="shared" si="1"/>
        <v>0.65210970464135032</v>
      </c>
      <c r="Y32" s="15">
        <f t="shared" ca="1" si="2"/>
        <v>0.38771555900019372</v>
      </c>
      <c r="AB32" s="15"/>
      <c r="AC32" s="1"/>
    </row>
    <row r="33" spans="1:29" ht="14">
      <c r="A33" s="3" t="s">
        <v>47</v>
      </c>
      <c r="B33" s="71">
        <v>45355</v>
      </c>
      <c r="C33" s="3">
        <v>602.75</v>
      </c>
      <c r="D33" s="3">
        <v>500</v>
      </c>
      <c r="E33" s="20">
        <f ca="1">IFERROR(__xludf.DUMMYFUNCTION("GOOGLEFINANCE(A33,""price"")"),608)</f>
        <v>608</v>
      </c>
      <c r="F33" s="3">
        <f t="shared" ca="1" si="3"/>
        <v>2625</v>
      </c>
      <c r="G33" s="3" t="str">
        <f>VLOOKUP(A33,'all stocks &gt; 500 cr'!$B:$H,6,0)</f>
        <v>Hotels Restaurants &amp; Tourism</v>
      </c>
      <c r="J33" s="15">
        <f t="shared" ca="1" si="4"/>
        <v>8.7100788054749068E-3</v>
      </c>
      <c r="K33" s="1">
        <f t="shared" si="5"/>
        <v>301375</v>
      </c>
      <c r="L33" s="82" t="str">
        <f t="shared" si="6"/>
        <v>NSE:INDHOTEL,</v>
      </c>
      <c r="Q33" s="3" t="s">
        <v>174</v>
      </c>
      <c r="R33" s="32">
        <v>45252</v>
      </c>
      <c r="S33" s="3">
        <v>984.59</v>
      </c>
      <c r="T33" s="3">
        <v>200</v>
      </c>
      <c r="U33" s="20">
        <f ca="1">IFERROR(__xludf.DUMMYFUNCTION("GOOGLEFINANCE(Q33,""price"")"),924)</f>
        <v>924</v>
      </c>
      <c r="V33" s="3">
        <v>1210</v>
      </c>
      <c r="W33" s="3">
        <f t="shared" si="0"/>
        <v>45081.999999999993</v>
      </c>
      <c r="X33" s="15">
        <f t="shared" si="1"/>
        <v>0.22893793355609945</v>
      </c>
      <c r="Y33" s="15">
        <f t="shared" ca="1" si="2"/>
        <v>-6.5573593073593117E-2</v>
      </c>
      <c r="AB33" s="15"/>
      <c r="AC33" s="1"/>
    </row>
    <row r="34" spans="1:29" ht="14">
      <c r="A34" s="3" t="s">
        <v>44</v>
      </c>
      <c r="B34" s="71">
        <v>45355</v>
      </c>
      <c r="C34" s="3">
        <v>690</v>
      </c>
      <c r="D34" s="3">
        <v>450</v>
      </c>
      <c r="E34" s="20">
        <f ca="1">IFERROR(__xludf.DUMMYFUNCTION("GOOGLEFINANCE(A34,""price"")"),719.7)</f>
        <v>719.7</v>
      </c>
      <c r="F34" s="3">
        <f t="shared" ca="1" si="3"/>
        <v>13365.00000000002</v>
      </c>
      <c r="G34" s="3" t="str">
        <f>VLOOKUP(A34,'all stocks &gt; 500 cr'!$B:$H,6,0)</f>
        <v>Metals &amp; Mining</v>
      </c>
      <c r="J34" s="15">
        <f t="shared" ca="1" si="4"/>
        <v>4.3043478260869628E-2</v>
      </c>
      <c r="K34" s="1">
        <f t="shared" si="5"/>
        <v>310500</v>
      </c>
      <c r="L34" s="82" t="str">
        <f t="shared" si="6"/>
        <v>NSE:IMFA,</v>
      </c>
      <c r="Q34" s="3" t="s">
        <v>176</v>
      </c>
      <c r="R34" s="38">
        <v>45202</v>
      </c>
      <c r="S34" s="3">
        <v>166.5</v>
      </c>
      <c r="T34" s="3">
        <v>269</v>
      </c>
      <c r="U34" s="20">
        <f ca="1">IFERROR(__xludf.DUMMYFUNCTION("GOOGLEFINANCE(""NSE:PCBL"",""price"")"),273.95)</f>
        <v>273.95</v>
      </c>
      <c r="V34" s="3">
        <v>322.5</v>
      </c>
      <c r="W34" s="3">
        <f t="shared" si="0"/>
        <v>41964</v>
      </c>
      <c r="X34" s="15">
        <f t="shared" si="1"/>
        <v>0.93693693693693691</v>
      </c>
      <c r="Y34" s="15">
        <f t="shared" ca="1" si="2"/>
        <v>0.39222485855083039</v>
      </c>
      <c r="AB34" s="15"/>
      <c r="AC34" s="1"/>
    </row>
    <row r="35" spans="1:29" ht="14">
      <c r="A35" s="3" t="s">
        <v>51</v>
      </c>
      <c r="B35" s="71">
        <v>45355</v>
      </c>
      <c r="C35" s="3">
        <v>546</v>
      </c>
      <c r="D35" s="3">
        <v>550</v>
      </c>
      <c r="E35" s="20">
        <f ca="1">IFERROR(__xludf.DUMMYFUNCTION("GOOGLEFINANCE(A35,""price"")"),614.8)</f>
        <v>614.79999999999995</v>
      </c>
      <c r="F35" s="3">
        <f t="shared" ca="1" si="3"/>
        <v>37839.999999999978</v>
      </c>
      <c r="G35" s="3" t="str">
        <f>VLOOKUP(A35,'all stocks &gt; 500 cr'!$B:$H,6,0)</f>
        <v>Utilities</v>
      </c>
      <c r="J35" s="15">
        <f t="shared" ca="1" si="4"/>
        <v>0.12600732600732595</v>
      </c>
      <c r="K35" s="1">
        <f t="shared" si="5"/>
        <v>300300</v>
      </c>
      <c r="L35" s="82" t="str">
        <f t="shared" si="6"/>
        <v>NSE:JSWENERGY,</v>
      </c>
      <c r="Q35" s="3" t="s">
        <v>162</v>
      </c>
      <c r="R35" s="38">
        <v>45202</v>
      </c>
      <c r="S35" s="3">
        <v>358.07</v>
      </c>
      <c r="T35" s="3">
        <v>560</v>
      </c>
      <c r="U35" s="20">
        <f ca="1">IFERROR(__xludf.DUMMYFUNCTION("GOOGLEFINANCE(""NSE:HITECHGEAR"",""price"")"),880)</f>
        <v>880</v>
      </c>
      <c r="V35" s="3">
        <v>448.5</v>
      </c>
      <c r="W35" s="3">
        <f t="shared" si="0"/>
        <v>50640.800000000003</v>
      </c>
      <c r="X35" s="15">
        <f t="shared" si="1"/>
        <v>0.25254838439411292</v>
      </c>
      <c r="Y35" s="15">
        <f t="shared" ca="1" si="2"/>
        <v>0.59310227272727278</v>
      </c>
      <c r="AB35" s="15"/>
      <c r="AC35" s="1"/>
    </row>
    <row r="36" spans="1:29" ht="14">
      <c r="A36" s="3" t="s">
        <v>70</v>
      </c>
      <c r="B36" s="71">
        <v>45386</v>
      </c>
      <c r="C36" s="3">
        <v>421</v>
      </c>
      <c r="D36" s="3">
        <v>725</v>
      </c>
      <c r="E36" s="20">
        <f ca="1">IFERROR(__xludf.DUMMYFUNCTION("GOOGLEFINANCE(A36,""price"")"),431.9)</f>
        <v>431.9</v>
      </c>
      <c r="F36" s="3">
        <f t="shared" ca="1" si="3"/>
        <v>7902.4999999999836</v>
      </c>
      <c r="G36" s="3" t="str">
        <f>VLOOKUP(A36,'all stocks &gt; 500 cr'!$B:$H,6,0)</f>
        <v>General Industrials</v>
      </c>
      <c r="J36" s="15">
        <f t="shared" ca="1" si="4"/>
        <v>2.5890736342042701E-2</v>
      </c>
      <c r="K36" s="1">
        <f t="shared" si="5"/>
        <v>305225</v>
      </c>
      <c r="L36" s="82" t="str">
        <f t="shared" si="6"/>
        <v>NSE:LOKESHMACH,</v>
      </c>
      <c r="Q36" s="3" t="s">
        <v>162</v>
      </c>
      <c r="R36" s="38">
        <v>45237</v>
      </c>
      <c r="S36" s="3">
        <v>404</v>
      </c>
      <c r="T36" s="3">
        <v>250</v>
      </c>
      <c r="U36" s="20">
        <f ca="1">IFERROR(__xludf.DUMMYFUNCTION("GOOGLEFINANCE(Q36,""price"")"),880)</f>
        <v>880</v>
      </c>
      <c r="V36" s="3">
        <v>448.5</v>
      </c>
      <c r="W36" s="3">
        <f t="shared" si="0"/>
        <v>11125</v>
      </c>
      <c r="X36" s="15">
        <f t="shared" si="1"/>
        <v>0.11014851485148515</v>
      </c>
      <c r="Y36" s="15">
        <f t="shared" ca="1" si="2"/>
        <v>0.54090909090909089</v>
      </c>
      <c r="AB36" s="15"/>
      <c r="AC36" s="1"/>
    </row>
    <row r="37" spans="1:29" ht="14">
      <c r="A37" s="3" t="s">
        <v>34</v>
      </c>
      <c r="B37" s="71">
        <v>45386</v>
      </c>
      <c r="C37" s="3">
        <v>299</v>
      </c>
      <c r="D37" s="3">
        <v>507</v>
      </c>
      <c r="E37" s="20">
        <f ca="1">IFERROR(__xludf.DUMMYFUNCTION("GOOGLEFINANCE(A37,""price"")"),325.2)</f>
        <v>325.2</v>
      </c>
      <c r="F37" s="3">
        <f t="shared" ca="1" si="3"/>
        <v>13283.399999999994</v>
      </c>
      <c r="G37" s="3" t="e">
        <f>VLOOKUP(A37,'all stocks &gt; 500 cr'!$B:$H,6,0)</f>
        <v>#N/A</v>
      </c>
      <c r="J37" s="15">
        <f t="shared" ca="1" si="4"/>
        <v>8.7625418060200633E-2</v>
      </c>
      <c r="K37" s="1">
        <f t="shared" si="5"/>
        <v>151593</v>
      </c>
      <c r="L37" s="82" t="str">
        <f t="shared" si="6"/>
        <v>NSE:CAREERP,</v>
      </c>
      <c r="Q37" s="3" t="s">
        <v>236</v>
      </c>
      <c r="R37" s="32">
        <v>45242</v>
      </c>
      <c r="S37" s="3">
        <v>997</v>
      </c>
      <c r="T37" s="3">
        <v>200</v>
      </c>
      <c r="U37" s="20">
        <f ca="1">IFERROR(__xludf.DUMMYFUNCTION("GOOGLEFINANCE(Q37,""price"")"),881.95)</f>
        <v>881.95</v>
      </c>
      <c r="V37" s="3">
        <v>952.5</v>
      </c>
      <c r="W37" s="3">
        <f t="shared" si="0"/>
        <v>-8900</v>
      </c>
      <c r="X37" s="15">
        <f t="shared" si="1"/>
        <v>-4.4633901705115345E-2</v>
      </c>
      <c r="Y37" s="15">
        <f t="shared" ca="1" si="2"/>
        <v>-0.13044957197120013</v>
      </c>
      <c r="AB37" s="15"/>
      <c r="AC37" s="1"/>
    </row>
    <row r="38" spans="1:29" ht="14">
      <c r="A38" s="3" t="s">
        <v>78</v>
      </c>
      <c r="B38" s="71">
        <v>45508</v>
      </c>
      <c r="C38" s="3">
        <v>271.60000000000002</v>
      </c>
      <c r="D38" s="3">
        <v>1200</v>
      </c>
      <c r="E38" s="20">
        <f ca="1">IFERROR(__xludf.DUMMYFUNCTION("GOOGLEFINANCE(A38,""price"")"),258.35)</f>
        <v>258.35000000000002</v>
      </c>
      <c r="F38" s="3">
        <f t="shared" ca="1" si="3"/>
        <v>-15900</v>
      </c>
      <c r="G38" s="3" t="str">
        <f>VLOOKUP(A38,'all stocks &gt; 500 cr'!$B:$H,6,0)</f>
        <v>Cement and Construction</v>
      </c>
      <c r="J38" s="15">
        <f t="shared" ca="1" si="4"/>
        <v>-4.8784977908689249E-2</v>
      </c>
      <c r="K38" s="1">
        <f t="shared" si="5"/>
        <v>325920</v>
      </c>
      <c r="L38" s="82" t="str">
        <f t="shared" si="6"/>
        <v>NSE:NCC,</v>
      </c>
      <c r="Q38" s="3" t="s">
        <v>237</v>
      </c>
      <c r="R38" s="32">
        <v>45216</v>
      </c>
      <c r="S38" s="3">
        <v>271.02999999999997</v>
      </c>
      <c r="T38" s="3">
        <v>750</v>
      </c>
      <c r="U38" s="20">
        <f ca="1">IFERROR(__xludf.DUMMYFUNCTION("GOOGLEFINANCE(Q38,""price"")"),318)</f>
        <v>318</v>
      </c>
      <c r="V38" s="3">
        <v>354.7</v>
      </c>
      <c r="W38" s="3">
        <f t="shared" si="0"/>
        <v>62752.500000000015</v>
      </c>
      <c r="X38" s="15">
        <f t="shared" si="1"/>
        <v>0.3087112127808731</v>
      </c>
      <c r="Y38" s="15">
        <f t="shared" ca="1" si="2"/>
        <v>0.14770440251572337</v>
      </c>
      <c r="AB38" s="15"/>
      <c r="AC38" s="1"/>
    </row>
    <row r="39" spans="1:29" ht="14">
      <c r="A39" s="3" t="s">
        <v>14</v>
      </c>
      <c r="B39" s="71">
        <v>45539</v>
      </c>
      <c r="C39" s="3">
        <v>800</v>
      </c>
      <c r="D39" s="3">
        <v>400</v>
      </c>
      <c r="E39" s="20">
        <f ca="1">IFERROR(__xludf.DUMMYFUNCTION("GOOGLEFINANCE(A39,""price"")"),818)</f>
        <v>818</v>
      </c>
      <c r="F39" s="3">
        <f t="shared" ca="1" si="3"/>
        <v>7200</v>
      </c>
      <c r="G39" s="3" t="str">
        <f>VLOOKUP(A39,'all stocks &gt; 500 cr'!$B:$H,6,0)</f>
        <v>Realty</v>
      </c>
      <c r="J39" s="15">
        <f t="shared" ca="1" si="4"/>
        <v>2.2499999999999999E-2</v>
      </c>
      <c r="K39" s="1">
        <f t="shared" si="5"/>
        <v>320000</v>
      </c>
      <c r="L39" s="82" t="str">
        <f t="shared" si="6"/>
        <v>NSE:AJMERA,</v>
      </c>
      <c r="Q39" s="3" t="s">
        <v>173</v>
      </c>
      <c r="R39" s="32">
        <v>45260</v>
      </c>
      <c r="S39" s="3">
        <v>452.5</v>
      </c>
      <c r="T39" s="3">
        <v>200</v>
      </c>
      <c r="U39" s="20">
        <f ca="1">IFERROR(__xludf.DUMMYFUNCTION("GOOGLEFINANCE(Q39,""price"")"),498)</f>
        <v>498</v>
      </c>
      <c r="V39" s="3">
        <v>489</v>
      </c>
      <c r="W39" s="3">
        <f t="shared" si="0"/>
        <v>7300</v>
      </c>
      <c r="X39" s="15">
        <f t="shared" si="1"/>
        <v>8.0662983425414364E-2</v>
      </c>
      <c r="Y39" s="15">
        <f t="shared" ca="1" si="2"/>
        <v>9.1365461847389556E-2</v>
      </c>
      <c r="AB39" s="15"/>
      <c r="AC39" s="1"/>
    </row>
    <row r="40" spans="1:29" ht="14">
      <c r="A40" s="3" t="s">
        <v>80</v>
      </c>
      <c r="B40" s="71">
        <v>45600</v>
      </c>
      <c r="C40" s="3">
        <v>153</v>
      </c>
      <c r="D40" s="3">
        <v>2300</v>
      </c>
      <c r="E40" s="20">
        <f ca="1">IFERROR(__xludf.DUMMYFUNCTION("GOOGLEFINANCE(A40,""price"")"),155.35)</f>
        <v>155.35</v>
      </c>
      <c r="F40" s="3">
        <f t="shared" ca="1" si="3"/>
        <v>5404.9999999999873</v>
      </c>
      <c r="G40" s="3" t="str">
        <f>VLOOKUP(A40,'all stocks &gt; 500 cr'!$B:$H,6,0)</f>
        <v>Metals &amp; Mining</v>
      </c>
      <c r="J40" s="15">
        <f t="shared" ca="1" si="4"/>
        <v>1.5359477124182971E-2</v>
      </c>
      <c r="K40" s="1">
        <f t="shared" si="5"/>
        <v>351900</v>
      </c>
      <c r="L40" s="82" t="str">
        <f t="shared" si="6"/>
        <v>NSE:SAIL,</v>
      </c>
      <c r="Q40" s="3" t="s">
        <v>238</v>
      </c>
      <c r="R40" s="32">
        <v>45258</v>
      </c>
      <c r="S40" s="3">
        <v>358.3</v>
      </c>
      <c r="T40" s="3">
        <v>500</v>
      </c>
      <c r="U40" s="20">
        <f ca="1">IFERROR(__xludf.DUMMYFUNCTION("GOOGLEFINANCE(Q40,""price"")"),522.1)</f>
        <v>522.1</v>
      </c>
      <c r="V40" s="3">
        <v>427.8</v>
      </c>
      <c r="W40" s="3">
        <f t="shared" si="0"/>
        <v>34750</v>
      </c>
      <c r="X40" s="15">
        <f t="shared" si="1"/>
        <v>0.1939715322355568</v>
      </c>
      <c r="Y40" s="15">
        <f t="shared" ca="1" si="2"/>
        <v>0.31373300134073934</v>
      </c>
      <c r="AB40" s="15"/>
      <c r="AC40" s="1"/>
    </row>
    <row r="41" spans="1:29" ht="14">
      <c r="A41" s="3" t="s">
        <v>64</v>
      </c>
      <c r="B41" s="71">
        <v>45630</v>
      </c>
      <c r="C41" s="3">
        <v>550</v>
      </c>
      <c r="D41" s="3">
        <v>625</v>
      </c>
      <c r="E41" s="20">
        <f ca="1">IFERROR(__xludf.DUMMYFUNCTION("GOOGLEFINANCE(A41,""price"")"),543)</f>
        <v>543</v>
      </c>
      <c r="F41" s="3">
        <f t="shared" ca="1" si="3"/>
        <v>-4375</v>
      </c>
      <c r="G41" s="3" t="str">
        <f>VLOOKUP(A41,'all stocks &gt; 500 cr'!$B:$H,6,0)</f>
        <v>Banking and Finance</v>
      </c>
      <c r="J41" s="15">
        <f t="shared" ca="1" si="4"/>
        <v>-1.2727272727272728E-2</v>
      </c>
      <c r="K41" s="1">
        <f t="shared" si="5"/>
        <v>343750</v>
      </c>
      <c r="L41" s="82" t="str">
        <f t="shared" si="6"/>
        <v>NSE:NAM-INDIA,</v>
      </c>
      <c r="Q41" s="3" t="s">
        <v>55</v>
      </c>
      <c r="R41" s="38">
        <v>45264</v>
      </c>
      <c r="S41" s="3">
        <v>169.44</v>
      </c>
      <c r="T41" s="3">
        <v>350</v>
      </c>
      <c r="U41" s="20">
        <f ca="1">IFERROR(__xludf.DUMMYFUNCTION("GOOGLEFINANCE(Q41,""price"")"),162.5)</f>
        <v>162.5</v>
      </c>
      <c r="V41" s="3">
        <v>151.6</v>
      </c>
      <c r="W41" s="3">
        <f t="shared" si="0"/>
        <v>-6244.0000000000009</v>
      </c>
      <c r="X41" s="15">
        <f t="shared" si="1"/>
        <v>-0.10528800755429653</v>
      </c>
      <c r="Y41" s="15">
        <f t="shared" ca="1" si="2"/>
        <v>-4.2707692307692294E-2</v>
      </c>
      <c r="AB41" s="15"/>
      <c r="AC41" s="1"/>
    </row>
    <row r="42" spans="1:29" ht="14">
      <c r="A42" s="3" t="s">
        <v>29</v>
      </c>
      <c r="B42" s="71">
        <v>45630</v>
      </c>
      <c r="C42" s="3">
        <v>302.5</v>
      </c>
      <c r="D42" s="3">
        <v>1000</v>
      </c>
      <c r="E42" s="20">
        <f ca="1">IFERROR(__xludf.DUMMYFUNCTION("GOOGLEFINANCE(A42,""price"")"),296.25)</f>
        <v>296.25</v>
      </c>
      <c r="F42" s="3">
        <f t="shared" ca="1" si="3"/>
        <v>-6250</v>
      </c>
      <c r="G42" s="3" t="str">
        <f>VLOOKUP(A42,'all stocks &gt; 500 cr'!$B:$H,6,0)</f>
        <v>Cement and Construction</v>
      </c>
      <c r="J42" s="15">
        <f t="shared" ca="1" si="4"/>
        <v>-2.0661157024793389E-2</v>
      </c>
      <c r="K42" s="1">
        <f t="shared" si="5"/>
        <v>302500</v>
      </c>
      <c r="L42" s="82" t="str">
        <f t="shared" si="6"/>
        <v>NSE:CAPACITE,</v>
      </c>
      <c r="Q42" s="3" t="s">
        <v>161</v>
      </c>
      <c r="R42" s="38">
        <v>45204</v>
      </c>
      <c r="S42" s="3">
        <f>949.96/2</f>
        <v>474.98</v>
      </c>
      <c r="T42" s="3">
        <f>220*2</f>
        <v>440</v>
      </c>
      <c r="U42" s="20">
        <f ca="1">IFERROR(__xludf.DUMMYFUNCTION("GOOGLEFINANCE(""500336"",""price"")"),559.15)</f>
        <v>559.15</v>
      </c>
      <c r="V42" s="3">
        <v>643.6</v>
      </c>
      <c r="W42" s="3">
        <f t="shared" si="0"/>
        <v>74192.800000000003</v>
      </c>
      <c r="X42" s="15">
        <f t="shared" si="1"/>
        <v>0.355004421238789</v>
      </c>
      <c r="Y42" s="15">
        <f t="shared" ca="1" si="2"/>
        <v>0.1505320575874094</v>
      </c>
      <c r="AB42" s="15"/>
      <c r="AC42" s="1"/>
    </row>
    <row r="43" spans="1:29" ht="14">
      <c r="A43" s="3" t="s">
        <v>69</v>
      </c>
      <c r="B43" s="71">
        <v>45630</v>
      </c>
      <c r="C43" s="3">
        <v>310</v>
      </c>
      <c r="D43" s="3">
        <v>1200</v>
      </c>
      <c r="E43" s="20">
        <f ca="1">IFERROR(__xludf.DUMMYFUNCTION("GOOGLEFINANCE(A43,""price"")"),305.3)</f>
        <v>305.3</v>
      </c>
      <c r="F43" s="3">
        <f t="shared" ca="1" si="3"/>
        <v>-5639.9999999999864</v>
      </c>
      <c r="G43" s="3" t="str">
        <f>VLOOKUP(A43,'all stocks &gt; 500 cr'!$B:$H,6,0)</f>
        <v>Oil &amp; Gas</v>
      </c>
      <c r="J43" s="15">
        <f t="shared" ca="1" si="4"/>
        <v>-1.5161290322580609E-2</v>
      </c>
      <c r="K43" s="1">
        <f t="shared" si="5"/>
        <v>372000</v>
      </c>
      <c r="L43" s="82" t="str">
        <f t="shared" si="6"/>
        <v>NSE:PETRONET,</v>
      </c>
      <c r="Q43" s="3" t="s">
        <v>38</v>
      </c>
      <c r="R43" s="38">
        <v>45265</v>
      </c>
      <c r="S43" s="3">
        <v>478.05</v>
      </c>
      <c r="T43" s="3">
        <v>300</v>
      </c>
      <c r="U43" s="20">
        <f ca="1">IFERROR(__xludf.DUMMYFUNCTION("GOOGLEFINANCE(Q43,""price"")"),461)</f>
        <v>461</v>
      </c>
      <c r="V43" s="3">
        <v>378</v>
      </c>
      <c r="W43" s="3">
        <f t="shared" si="0"/>
        <v>-30015.000000000004</v>
      </c>
      <c r="X43" s="15">
        <f t="shared" si="1"/>
        <v>-0.20928773140884846</v>
      </c>
      <c r="Y43" s="15">
        <f t="shared" ca="1" si="2"/>
        <v>-3.6984815618221284E-2</v>
      </c>
      <c r="AB43" s="15"/>
      <c r="AC43" s="1"/>
    </row>
    <row r="44" spans="1:29" ht="14">
      <c r="A44" s="3" t="s">
        <v>50</v>
      </c>
      <c r="B44" s="71">
        <v>45630</v>
      </c>
      <c r="C44" s="3">
        <v>1073</v>
      </c>
      <c r="D44" s="3">
        <v>325</v>
      </c>
      <c r="E44" s="20">
        <f ca="1">IFERROR(__xludf.DUMMYFUNCTION("GOOGLEFINANCE(A44,""price"")"),1062)</f>
        <v>1062</v>
      </c>
      <c r="F44" s="3">
        <f t="shared" ca="1" si="3"/>
        <v>-3575</v>
      </c>
      <c r="G44" s="3" t="str">
        <f>VLOOKUP(A44,'all stocks &gt; 500 cr'!$B:$H,6,0)</f>
        <v>Oil &amp; Gas</v>
      </c>
      <c r="J44" s="15">
        <f t="shared" ca="1" si="4"/>
        <v>-1.0251630941286114E-2</v>
      </c>
      <c r="K44" s="1">
        <f t="shared" si="5"/>
        <v>348725</v>
      </c>
      <c r="L44" s="82" t="str">
        <f t="shared" si="6"/>
        <v>NSE:GULFOILLUB,</v>
      </c>
      <c r="Q44" s="3" t="s">
        <v>165</v>
      </c>
      <c r="R44" s="32">
        <v>45217</v>
      </c>
      <c r="S44" s="3">
        <v>35.880000000000003</v>
      </c>
      <c r="T44" s="3">
        <v>4500</v>
      </c>
      <c r="U44" s="20">
        <f ca="1">IFERROR(__xludf.DUMMYFUNCTION("GOOGLEFINANCE(Q44,""price"")"),32.1)</f>
        <v>32.1</v>
      </c>
      <c r="V44" s="3">
        <v>37.700000000000003</v>
      </c>
      <c r="W44" s="3">
        <f t="shared" si="0"/>
        <v>8190.0000000000009</v>
      </c>
      <c r="X44" s="15">
        <f t="shared" si="1"/>
        <v>5.0724637681159424E-2</v>
      </c>
      <c r="Y44" s="15">
        <f t="shared" ca="1" si="2"/>
        <v>-0.11775700934579442</v>
      </c>
      <c r="AB44" s="15"/>
      <c r="AC44" s="1"/>
    </row>
    <row r="45" spans="1:29" ht="14">
      <c r="A45" s="3" t="s">
        <v>76</v>
      </c>
      <c r="B45" s="71">
        <v>45630</v>
      </c>
      <c r="C45" s="3">
        <v>2488</v>
      </c>
      <c r="D45" s="3">
        <v>125</v>
      </c>
      <c r="E45" s="20">
        <f ca="1">IFERROR(__xludf.DUMMYFUNCTION("GOOGLEFINANCE(A45,""price"")"),2486)</f>
        <v>2486</v>
      </c>
      <c r="F45" s="3">
        <f t="shared" ca="1" si="3"/>
        <v>-250</v>
      </c>
      <c r="G45" s="3" t="str">
        <f>VLOOKUP(A45,'all stocks &gt; 500 cr'!$B:$H,6,0)</f>
        <v>Banking and Finance</v>
      </c>
      <c r="J45" s="15">
        <f t="shared" ca="1" si="4"/>
        <v>-8.0385852090032153E-4</v>
      </c>
      <c r="K45" s="1">
        <f t="shared" si="5"/>
        <v>311000</v>
      </c>
      <c r="L45" s="82" t="str">
        <f t="shared" si="6"/>
        <v>NSE:SHRIRAMFIN,</v>
      </c>
      <c r="Q45" s="3" t="s">
        <v>165</v>
      </c>
      <c r="R45" s="38">
        <v>45238</v>
      </c>
      <c r="S45" s="3">
        <v>35.049999999999997</v>
      </c>
      <c r="T45" s="3">
        <v>3000</v>
      </c>
      <c r="U45" s="20">
        <f ca="1">IFERROR(__xludf.DUMMYFUNCTION("GOOGLEFINANCE(Q45,""price"")"),32.1)</f>
        <v>32.1</v>
      </c>
      <c r="V45" s="3">
        <v>37.700000000000003</v>
      </c>
      <c r="W45" s="3">
        <f t="shared" si="0"/>
        <v>7950.0000000000173</v>
      </c>
      <c r="X45" s="15">
        <f t="shared" si="1"/>
        <v>7.5606276747503739E-2</v>
      </c>
      <c r="Y45" s="15">
        <f t="shared" ca="1" si="2"/>
        <v>-9.1900311526479622E-2</v>
      </c>
      <c r="AB45" s="15"/>
      <c r="AC45" s="1"/>
    </row>
    <row r="46" spans="1:29" ht="14">
      <c r="A46" s="3" t="s">
        <v>60</v>
      </c>
      <c r="B46" s="71">
        <v>45630</v>
      </c>
      <c r="C46" s="3">
        <v>2050</v>
      </c>
      <c r="D46" s="3">
        <v>170</v>
      </c>
      <c r="E46" s="20">
        <f ca="1">IFERROR(__xludf.DUMMYFUNCTION("GOOGLEFINANCE(A46,""price"")"),2070.2)</f>
        <v>2070.1999999999998</v>
      </c>
      <c r="F46" s="3">
        <f t="shared" ca="1" si="3"/>
        <v>3433.9999999999691</v>
      </c>
      <c r="G46" s="3" t="str">
        <f>VLOOKUP(A46,'all stocks &gt; 500 cr'!$B:$H,6,0)</f>
        <v>Banking and Finance</v>
      </c>
      <c r="J46" s="15">
        <f t="shared" ca="1" si="4"/>
        <v>9.8536585365852775E-3</v>
      </c>
      <c r="K46" s="1">
        <f t="shared" si="5"/>
        <v>348500</v>
      </c>
      <c r="L46" s="82" t="str">
        <f t="shared" si="6"/>
        <v>NSE:MOTILALOFS,</v>
      </c>
      <c r="Q46" s="3" t="s">
        <v>178</v>
      </c>
      <c r="R46" s="32">
        <v>45280</v>
      </c>
      <c r="S46" s="3">
        <v>58.75</v>
      </c>
      <c r="T46" s="3">
        <v>2200</v>
      </c>
      <c r="U46" s="20">
        <f ca="1">IFERROR(__xludf.DUMMYFUNCTION("GOOGLEFINANCE(Q46,""price"")"),61.15)</f>
        <v>61.15</v>
      </c>
      <c r="V46" s="3">
        <v>71.25</v>
      </c>
      <c r="W46" s="3">
        <f t="shared" si="0"/>
        <v>27500</v>
      </c>
      <c r="X46" s="15">
        <f t="shared" si="1"/>
        <v>0.21276595744680851</v>
      </c>
      <c r="Y46" s="15">
        <f t="shared" ca="1" si="2"/>
        <v>3.9247751430907585E-2</v>
      </c>
      <c r="AB46" s="15"/>
      <c r="AC46" s="1"/>
    </row>
    <row r="47" spans="1:29" ht="14">
      <c r="K47" s="1"/>
      <c r="Q47" s="3" t="s">
        <v>166</v>
      </c>
      <c r="R47" s="32">
        <v>45211</v>
      </c>
      <c r="S47" s="3">
        <v>929.18</v>
      </c>
      <c r="T47" s="3">
        <v>270</v>
      </c>
      <c r="U47" s="20">
        <f ca="1">IFERROR(__xludf.DUMMYFUNCTION("GOOGLEFINANCE(Q47,""price"")"),816.55)</f>
        <v>816.55</v>
      </c>
      <c r="V47" s="3">
        <v>996.5</v>
      </c>
      <c r="W47" s="3">
        <f t="shared" si="0"/>
        <v>18176.400000000012</v>
      </c>
      <c r="X47" s="15">
        <f t="shared" si="1"/>
        <v>7.2450978281926051E-2</v>
      </c>
      <c r="Y47" s="15">
        <f t="shared" ca="1" si="2"/>
        <v>-0.13793399057008143</v>
      </c>
      <c r="AB47" s="15"/>
      <c r="AC47" s="1"/>
    </row>
    <row r="48" spans="1:29" ht="14">
      <c r="K48" s="1"/>
      <c r="Q48" s="3" t="s">
        <v>168</v>
      </c>
      <c r="R48" s="38">
        <v>45264</v>
      </c>
      <c r="S48" s="3">
        <v>174.95</v>
      </c>
      <c r="T48" s="3">
        <v>650</v>
      </c>
      <c r="U48" s="20">
        <f ca="1">IFERROR(__xludf.DUMMYFUNCTION("GOOGLEFINANCE(Q48,""price"")"),226.25)</f>
        <v>226.25</v>
      </c>
      <c r="V48" s="3">
        <v>227.3</v>
      </c>
      <c r="W48" s="3">
        <f t="shared" si="0"/>
        <v>34027.500000000015</v>
      </c>
      <c r="X48" s="15">
        <f t="shared" si="1"/>
        <v>0.29922835095741657</v>
      </c>
      <c r="Y48" s="15">
        <f t="shared" ca="1" si="2"/>
        <v>0.22674033149171274</v>
      </c>
      <c r="AB48" s="15"/>
      <c r="AC48" s="1"/>
    </row>
    <row r="49" spans="11:29" ht="14">
      <c r="K49" s="1"/>
      <c r="Q49" s="3" t="s">
        <v>239</v>
      </c>
      <c r="R49" s="38">
        <v>45268</v>
      </c>
      <c r="S49" s="3">
        <v>150.78</v>
      </c>
      <c r="T49" s="3">
        <v>800</v>
      </c>
      <c r="U49" s="20">
        <f ca="1">IFERROR(__xludf.DUMMYFUNCTION("GOOGLEFINANCE(Q49,""price"")"),144.55)</f>
        <v>144.55000000000001</v>
      </c>
      <c r="V49" s="3">
        <v>149.1</v>
      </c>
      <c r="W49" s="3">
        <f t="shared" si="0"/>
        <v>-1344.0000000000055</v>
      </c>
      <c r="X49" s="15">
        <f t="shared" si="1"/>
        <v>-1.1142061281337092E-2</v>
      </c>
      <c r="Y49" s="15">
        <f t="shared" ca="1" si="2"/>
        <v>-4.3099273607748109E-2</v>
      </c>
      <c r="AB49" s="15"/>
      <c r="AC49" s="1"/>
    </row>
    <row r="50" spans="11:29" ht="14">
      <c r="K50" s="1"/>
      <c r="Q50" s="3" t="s">
        <v>169</v>
      </c>
      <c r="R50" s="35">
        <v>45323</v>
      </c>
      <c r="S50" s="3">
        <v>886.62</v>
      </c>
      <c r="T50" s="3">
        <v>300</v>
      </c>
      <c r="U50" s="20">
        <f ca="1">IFERROR(__xludf.DUMMYFUNCTION("GOOGLEFINANCE(Q50,""price"")"),770)</f>
        <v>770</v>
      </c>
      <c r="V50" s="3">
        <v>814</v>
      </c>
      <c r="W50" s="3">
        <f t="shared" si="0"/>
        <v>-21786</v>
      </c>
      <c r="X50" s="15">
        <f t="shared" si="1"/>
        <v>-8.190656651101938E-2</v>
      </c>
      <c r="Y50" s="15">
        <f t="shared" ca="1" si="2"/>
        <v>-0.15145454545454545</v>
      </c>
      <c r="Z50" s="15"/>
      <c r="AA50" s="1"/>
    </row>
    <row r="51" spans="11:29" ht="14">
      <c r="K51" s="1"/>
      <c r="Q51" s="3" t="s">
        <v>184</v>
      </c>
      <c r="R51" s="32">
        <v>45215</v>
      </c>
      <c r="S51" s="3">
        <v>275.2</v>
      </c>
      <c r="T51" s="3">
        <v>900</v>
      </c>
      <c r="U51" s="20">
        <f ca="1">IFERROR(__xludf.DUMMYFUNCTION("GOOGLEFINANCE(Q51,""price"")"),277)</f>
        <v>277</v>
      </c>
      <c r="V51" s="3">
        <v>268</v>
      </c>
      <c r="W51" s="3">
        <f t="shared" si="0"/>
        <v>-6479.99999999999</v>
      </c>
      <c r="X51" s="15">
        <f t="shared" si="1"/>
        <v>-2.6162790697674378E-2</v>
      </c>
      <c r="Y51" s="15">
        <f t="shared" ca="1" si="2"/>
        <v>6.4981949458484166E-3</v>
      </c>
      <c r="Z51" s="15"/>
      <c r="AA51" s="1"/>
    </row>
    <row r="52" spans="11:29" ht="14">
      <c r="K52" s="1"/>
      <c r="Q52" s="3" t="s">
        <v>240</v>
      </c>
      <c r="R52" s="38">
        <v>45203</v>
      </c>
      <c r="S52" s="3">
        <v>4302</v>
      </c>
      <c r="T52" s="3">
        <v>50</v>
      </c>
      <c r="U52" s="20">
        <f ca="1">IFERROR(__xludf.DUMMYFUNCTION("GOOGLEFINANCE(""NSE:DYNAMATECH"",""price"")"),8649)</f>
        <v>8649</v>
      </c>
      <c r="V52" s="3">
        <v>7382.55</v>
      </c>
      <c r="W52" s="3">
        <f t="shared" si="0"/>
        <v>154027.5</v>
      </c>
      <c r="X52" s="15">
        <f t="shared" si="1"/>
        <v>0.71607391910739193</v>
      </c>
      <c r="Y52" s="15">
        <f t="shared" ca="1" si="2"/>
        <v>0.5026014568158168</v>
      </c>
      <c r="Z52" s="15"/>
      <c r="AA52" s="1"/>
    </row>
    <row r="53" spans="11:29" ht="14">
      <c r="K53" s="1"/>
      <c r="Q53" s="3" t="s">
        <v>180</v>
      </c>
      <c r="R53" s="38">
        <v>45267</v>
      </c>
      <c r="S53" s="3">
        <v>276.60000000000002</v>
      </c>
      <c r="T53" s="3">
        <v>475</v>
      </c>
      <c r="U53" s="20">
        <f ca="1">IFERROR(__xludf.DUMMYFUNCTION("GOOGLEFINANCE(Q53,""price"")"),370.05)</f>
        <v>370.05</v>
      </c>
      <c r="V53" s="3">
        <v>395</v>
      </c>
      <c r="W53" s="3">
        <f t="shared" si="0"/>
        <v>56239.999999999993</v>
      </c>
      <c r="X53" s="15">
        <f t="shared" si="1"/>
        <v>0.42805495300072299</v>
      </c>
      <c r="Y53" s="15">
        <f t="shared" ca="1" si="2"/>
        <v>0.25253344142683415</v>
      </c>
      <c r="Z53" s="15"/>
      <c r="AA53" s="1"/>
    </row>
    <row r="54" spans="11:29" ht="14">
      <c r="K54" s="1"/>
      <c r="Q54" s="3" t="s">
        <v>175</v>
      </c>
      <c r="R54" s="32">
        <v>45216</v>
      </c>
      <c r="S54" s="3">
        <v>979.81</v>
      </c>
      <c r="T54" s="3">
        <v>250</v>
      </c>
      <c r="U54" s="20">
        <f ca="1">IFERROR(__xludf.DUMMYFUNCTION("GOOGLEFINANCE(Q54,""price"")"),1539.9)</f>
        <v>1539.9</v>
      </c>
      <c r="V54" s="3">
        <v>1388</v>
      </c>
      <c r="W54" s="3">
        <f t="shared" si="0"/>
        <v>102047.50000000001</v>
      </c>
      <c r="X54" s="15">
        <f t="shared" si="1"/>
        <v>0.41660117777936545</v>
      </c>
      <c r="Y54" s="15">
        <f t="shared" ca="1" si="2"/>
        <v>0.36371842327423864</v>
      </c>
      <c r="Z54" s="15"/>
      <c r="AA54" s="1"/>
    </row>
    <row r="55" spans="11:29" ht="14">
      <c r="K55" s="1"/>
      <c r="Q55" s="3" t="s">
        <v>182</v>
      </c>
      <c r="R55" s="35">
        <v>45338</v>
      </c>
      <c r="S55" s="3">
        <v>1037</v>
      </c>
      <c r="T55" s="3">
        <v>295</v>
      </c>
      <c r="U55" s="20">
        <f ca="1">IFERROR(__xludf.DUMMYFUNCTION("GOOGLEFINANCE(Q55,""price"")"),1200)</f>
        <v>1200</v>
      </c>
      <c r="V55" s="3">
        <v>1029.75</v>
      </c>
      <c r="W55" s="3">
        <f t="shared" si="0"/>
        <v>-2138.75</v>
      </c>
      <c r="X55" s="15">
        <f t="shared" si="1"/>
        <v>-6.9913211186113794E-3</v>
      </c>
      <c r="Y55" s="15">
        <f t="shared" ca="1" si="2"/>
        <v>0.13583333333333333</v>
      </c>
      <c r="Z55" s="15"/>
      <c r="AA55" s="1"/>
      <c r="AB55" s="82"/>
    </row>
    <row r="56" spans="11:29" ht="14">
      <c r="K56" s="1"/>
      <c r="Q56" s="3" t="s">
        <v>185</v>
      </c>
      <c r="R56" s="38">
        <v>45239</v>
      </c>
      <c r="S56" s="3">
        <v>67.05</v>
      </c>
      <c r="T56" s="3">
        <v>4500</v>
      </c>
      <c r="U56" s="20">
        <f ca="1">IFERROR(__xludf.DUMMYFUNCTION("GOOGLEFINANCE(Q56,""price"")"),84.85)</f>
        <v>84.85</v>
      </c>
      <c r="V56" s="3">
        <v>67.55</v>
      </c>
      <c r="W56" s="3">
        <f t="shared" si="0"/>
        <v>2250</v>
      </c>
      <c r="X56" s="15">
        <f t="shared" si="1"/>
        <v>7.4571215510812828E-3</v>
      </c>
      <c r="Y56" s="15">
        <f t="shared" ca="1" si="2"/>
        <v>0.20978196817913963</v>
      </c>
      <c r="Z56" s="15"/>
      <c r="AA56" s="1"/>
      <c r="AB56" s="82"/>
    </row>
    <row r="57" spans="11:29" ht="14">
      <c r="K57" s="1"/>
      <c r="Q57" s="3" t="s">
        <v>202</v>
      </c>
      <c r="R57" s="35">
        <v>45357</v>
      </c>
      <c r="S57" s="3">
        <v>1075.0999999999999</v>
      </c>
      <c r="T57" s="3">
        <v>200</v>
      </c>
      <c r="U57" s="8">
        <f ca="1">IFERROR(__xludf.DUMMYFUNCTION("GOOGLEFINANCE(Q57,""price"")"),1136.5)</f>
        <v>1136.5</v>
      </c>
      <c r="V57" s="46">
        <v>1034</v>
      </c>
      <c r="W57" s="3">
        <f t="shared" si="0"/>
        <v>-8219.9999999999818</v>
      </c>
      <c r="X57" s="15">
        <f t="shared" si="1"/>
        <v>-3.8229001953306592E-2</v>
      </c>
      <c r="Y57" s="15">
        <f t="shared" ca="1" si="2"/>
        <v>5.4025516937967526E-2</v>
      </c>
      <c r="Z57" s="92"/>
      <c r="AA57" s="68"/>
      <c r="AB57" s="82"/>
    </row>
    <row r="58" spans="11:29" ht="14">
      <c r="K58" s="1"/>
      <c r="Q58" s="3" t="s">
        <v>241</v>
      </c>
      <c r="R58" s="32">
        <v>45251</v>
      </c>
      <c r="S58" s="3">
        <v>307.98</v>
      </c>
      <c r="T58" s="3">
        <v>900</v>
      </c>
      <c r="U58" s="20">
        <f ca="1">IFERROR(__xludf.DUMMYFUNCTION("GOOGLEFINANCE(Q58,""price"")"),399.8)</f>
        <v>399.8</v>
      </c>
      <c r="V58" s="3">
        <v>409.75</v>
      </c>
      <c r="W58" s="3">
        <f t="shared" si="0"/>
        <v>91592.999999999985</v>
      </c>
      <c r="X58" s="15">
        <f t="shared" si="1"/>
        <v>0.3304435352944996</v>
      </c>
      <c r="Y58" s="15">
        <f t="shared" ca="1" si="2"/>
        <v>0.22966483241620811</v>
      </c>
      <c r="Z58" s="15"/>
      <c r="AA58" s="1"/>
      <c r="AB58" s="82"/>
    </row>
    <row r="59" spans="11:29" ht="14">
      <c r="K59" s="1"/>
      <c r="Q59" s="3" t="s">
        <v>181</v>
      </c>
      <c r="R59" s="32">
        <v>45240</v>
      </c>
      <c r="S59" s="3">
        <v>44</v>
      </c>
      <c r="T59" s="3">
        <v>10000</v>
      </c>
      <c r="U59" s="20">
        <f ca="1">IFERROR(__xludf.DUMMYFUNCTION("GOOGLEFINANCE(Q59,""price"")"),51.3)</f>
        <v>51.3</v>
      </c>
      <c r="V59" s="3">
        <v>48.11</v>
      </c>
      <c r="W59" s="3">
        <f t="shared" si="0"/>
        <v>41099.999999999993</v>
      </c>
      <c r="X59" s="15">
        <f t="shared" si="1"/>
        <v>9.3409090909090886E-2</v>
      </c>
      <c r="Y59" s="15">
        <f t="shared" ca="1" si="2"/>
        <v>0.14230019493177382</v>
      </c>
      <c r="Z59" s="15"/>
      <c r="AA59" s="1"/>
      <c r="AB59" s="82"/>
    </row>
    <row r="60" spans="11:29" ht="14">
      <c r="K60" s="1"/>
      <c r="Q60" s="3" t="s">
        <v>200</v>
      </c>
      <c r="R60" s="35">
        <v>45336</v>
      </c>
      <c r="S60" s="3">
        <v>304</v>
      </c>
      <c r="T60" s="3">
        <v>1000</v>
      </c>
      <c r="U60" s="20">
        <f ca="1">IFERROR(__xludf.DUMMYFUNCTION("GOOGLEFINANCE(Q60,""price"")"),265)</f>
        <v>265</v>
      </c>
      <c r="V60" s="3">
        <v>238</v>
      </c>
      <c r="W60" s="3">
        <f t="shared" si="0"/>
        <v>-66000</v>
      </c>
      <c r="X60" s="15">
        <f t="shared" si="1"/>
        <v>-0.21710526315789475</v>
      </c>
      <c r="Y60" s="15">
        <f t="shared" ca="1" si="2"/>
        <v>-0.14716981132075471</v>
      </c>
      <c r="Z60" s="15"/>
      <c r="AA60" s="1"/>
      <c r="AB60" s="82"/>
    </row>
    <row r="61" spans="11:29" ht="13">
      <c r="K61" s="1"/>
      <c r="Q61" s="3" t="s">
        <v>242</v>
      </c>
      <c r="S61" s="3">
        <v>22226.15</v>
      </c>
      <c r="T61" s="3">
        <v>100</v>
      </c>
      <c r="V61" s="3">
        <v>22626.2</v>
      </c>
      <c r="W61" s="3">
        <f t="shared" si="0"/>
        <v>40004.999999999927</v>
      </c>
      <c r="X61" s="15">
        <f t="shared" si="1"/>
        <v>1.7999068664613496E-2</v>
      </c>
      <c r="Y61" s="15"/>
    </row>
    <row r="62" spans="11:29" ht="14">
      <c r="K62" s="1"/>
      <c r="Q62" s="3" t="s">
        <v>201</v>
      </c>
      <c r="R62" s="35">
        <v>45320</v>
      </c>
      <c r="S62" s="3">
        <v>148.94999999999999</v>
      </c>
      <c r="T62" s="3">
        <v>2000</v>
      </c>
      <c r="U62" s="20">
        <f ca="1">IFERROR(__xludf.DUMMYFUNCTION("GOOGLEFINANCE(Q62,""price"")"),128.65)</f>
        <v>128.65</v>
      </c>
      <c r="V62" s="3">
        <v>121.7</v>
      </c>
      <c r="W62" s="3">
        <f t="shared" si="0"/>
        <v>-54499.999999999971</v>
      </c>
      <c r="X62" s="15">
        <f t="shared" si="1"/>
        <v>-0.18294729775092303</v>
      </c>
      <c r="Y62" s="15">
        <f t="shared" ref="Y62:Y75" ca="1" si="7">(U62-S62)*T62/ (T62*U62)</f>
        <v>-0.15779246016323345</v>
      </c>
      <c r="Z62" s="15"/>
      <c r="AA62" s="1"/>
      <c r="AB62" s="82"/>
    </row>
    <row r="63" spans="11:29" ht="14">
      <c r="K63" s="1"/>
      <c r="Q63" s="3" t="s">
        <v>243</v>
      </c>
      <c r="R63" s="32">
        <v>45216</v>
      </c>
      <c r="S63" s="3">
        <v>2200</v>
      </c>
      <c r="T63" s="3">
        <v>100</v>
      </c>
      <c r="U63" s="20">
        <f ca="1">IFERROR(__xludf.DUMMYFUNCTION("GOOGLEFINANCE(Q63,""price"")"),3826.05)</f>
        <v>3826.05</v>
      </c>
      <c r="V63" s="3">
        <v>3252</v>
      </c>
      <c r="W63" s="3">
        <f t="shared" si="0"/>
        <v>105200</v>
      </c>
      <c r="X63" s="15">
        <f t="shared" si="1"/>
        <v>0.47818181818181821</v>
      </c>
      <c r="Y63" s="15">
        <f t="shared" ca="1" si="7"/>
        <v>0.42499444596908048</v>
      </c>
      <c r="Z63" s="15"/>
      <c r="AA63" s="1"/>
      <c r="AB63" s="82"/>
    </row>
    <row r="64" spans="11:29" ht="14">
      <c r="K64" s="1"/>
      <c r="Q64" s="3" t="s">
        <v>244</v>
      </c>
      <c r="R64" s="35">
        <v>45334</v>
      </c>
      <c r="S64" s="3">
        <v>935.5</v>
      </c>
      <c r="T64" s="3">
        <v>325</v>
      </c>
      <c r="U64" s="20">
        <f ca="1">IFERROR(__xludf.DUMMYFUNCTION("GOOGLEFINANCE(Q64,""price"")"),845)</f>
        <v>845</v>
      </c>
      <c r="V64" s="3">
        <v>835</v>
      </c>
      <c r="W64" s="3">
        <f t="shared" si="0"/>
        <v>-32662.5</v>
      </c>
      <c r="X64" s="15">
        <f t="shared" si="1"/>
        <v>-0.10742918225547836</v>
      </c>
      <c r="Y64" s="15">
        <f t="shared" ca="1" si="7"/>
        <v>-0.10710059171597633</v>
      </c>
      <c r="Z64" s="15"/>
      <c r="AA64" s="1"/>
      <c r="AB64" s="82"/>
    </row>
    <row r="65" spans="11:28" ht="14">
      <c r="K65" s="1"/>
      <c r="Q65" s="3" t="s">
        <v>245</v>
      </c>
      <c r="R65" s="32">
        <v>45218</v>
      </c>
      <c r="S65" s="3">
        <v>34.950000000000003</v>
      </c>
      <c r="T65" s="3">
        <v>6000</v>
      </c>
      <c r="U65" s="20">
        <f ca="1">IFERROR(__xludf.DUMMYFUNCTION("GOOGLEFINANCE(Q65,""price"")"),68)</f>
        <v>68</v>
      </c>
      <c r="V65" s="3">
        <v>59.95</v>
      </c>
      <c r="W65" s="3">
        <f t="shared" si="0"/>
        <v>150000</v>
      </c>
      <c r="X65" s="15">
        <f t="shared" si="1"/>
        <v>0.71530758226037183</v>
      </c>
      <c r="Y65" s="15">
        <f t="shared" ca="1" si="7"/>
        <v>0.48602941176470582</v>
      </c>
      <c r="Z65" s="15"/>
      <c r="AA65" s="1"/>
      <c r="AB65" s="82"/>
    </row>
    <row r="66" spans="11:28" ht="14">
      <c r="K66" s="1"/>
      <c r="Q66" s="3" t="s">
        <v>246</v>
      </c>
      <c r="R66" s="32">
        <v>45210</v>
      </c>
      <c r="S66" s="3">
        <v>430.2</v>
      </c>
      <c r="T66" s="3">
        <v>500</v>
      </c>
      <c r="U66" s="20">
        <f ca="1">IFERROR(__xludf.DUMMYFUNCTION("GOOGLEFINANCE(Q66,""price"")"),630)</f>
        <v>630</v>
      </c>
      <c r="V66" s="3">
        <v>624.9</v>
      </c>
      <c r="W66" s="3">
        <f t="shared" si="0"/>
        <v>97350</v>
      </c>
      <c r="X66" s="15">
        <f t="shared" si="1"/>
        <v>0.45258019525801951</v>
      </c>
      <c r="Y66" s="15">
        <f t="shared" ca="1" si="7"/>
        <v>0.31714285714285712</v>
      </c>
      <c r="Z66" s="15"/>
      <c r="AA66" s="1"/>
      <c r="AB66" s="82"/>
    </row>
    <row r="67" spans="11:28" ht="14">
      <c r="K67" s="1"/>
      <c r="Q67" s="3" t="s">
        <v>48</v>
      </c>
      <c r="R67" s="32">
        <v>45245</v>
      </c>
      <c r="S67" s="3">
        <v>257.55</v>
      </c>
      <c r="T67" s="3">
        <v>600</v>
      </c>
      <c r="U67" s="20">
        <f ca="1">IFERROR(__xludf.DUMMYFUNCTION("GOOGLEFINANCE(Q67,""price"")"),336.35)</f>
        <v>336.35</v>
      </c>
      <c r="V67" s="3">
        <v>331.1</v>
      </c>
      <c r="W67" s="3">
        <f t="shared" si="0"/>
        <v>44130.000000000007</v>
      </c>
      <c r="X67" s="15">
        <f t="shared" si="1"/>
        <v>0.28557561638516799</v>
      </c>
      <c r="Y67" s="15">
        <f t="shared" ca="1" si="7"/>
        <v>0.23427976809870674</v>
      </c>
    </row>
    <row r="68" spans="11:28" ht="14">
      <c r="K68" s="1"/>
      <c r="Q68" s="3" t="s">
        <v>48</v>
      </c>
      <c r="R68" s="32">
        <v>45245</v>
      </c>
      <c r="S68" s="3">
        <v>253.2</v>
      </c>
      <c r="T68" s="3">
        <v>600</v>
      </c>
      <c r="U68" s="20">
        <f ca="1">IFERROR(__xludf.DUMMYFUNCTION("GOOGLEFINANCE(Q68,""price"")"),336.35)</f>
        <v>336.35</v>
      </c>
      <c r="V68" s="3">
        <v>331.1</v>
      </c>
      <c r="W68" s="3">
        <f t="shared" si="0"/>
        <v>46740.000000000022</v>
      </c>
      <c r="X68" s="15">
        <f t="shared" si="1"/>
        <v>0.30766192733017395</v>
      </c>
      <c r="Y68" s="15">
        <f t="shared" ca="1" si="7"/>
        <v>0.24721272484019632</v>
      </c>
      <c r="Z68" s="15"/>
      <c r="AA68" s="1"/>
      <c r="AB68" s="82"/>
    </row>
    <row r="69" spans="11:28" ht="14">
      <c r="K69" s="1"/>
      <c r="Q69" s="3" t="s">
        <v>204</v>
      </c>
      <c r="S69" s="3">
        <v>911</v>
      </c>
      <c r="T69" s="3">
        <v>340</v>
      </c>
      <c r="U69" s="20">
        <f ca="1">IFERROR(__xludf.DUMMYFUNCTION("GOOGLEFINANCE(Q69,""price"")"),827)</f>
        <v>827</v>
      </c>
      <c r="V69" s="3">
        <v>834.23</v>
      </c>
      <c r="W69" s="3">
        <f t="shared" si="0"/>
        <v>-26101.799999999996</v>
      </c>
      <c r="X69" s="15">
        <f t="shared" si="1"/>
        <v>-8.4270032930845215E-2</v>
      </c>
      <c r="Y69" s="15">
        <f t="shared" ca="1" si="7"/>
        <v>-0.10157194679564692</v>
      </c>
      <c r="Z69" s="15"/>
      <c r="AA69" s="1"/>
      <c r="AB69" s="82"/>
    </row>
    <row r="70" spans="11:28" ht="14">
      <c r="K70" s="1"/>
      <c r="Q70" s="9" t="s">
        <v>42</v>
      </c>
      <c r="R70" s="35">
        <v>45303</v>
      </c>
      <c r="S70" s="3">
        <v>308.3</v>
      </c>
      <c r="T70" s="3">
        <v>1000</v>
      </c>
      <c r="U70" s="20">
        <f ca="1">IFERROR(__xludf.DUMMYFUNCTION("GOOGLEFINANCE(Q70,""price"")"),307.95)</f>
        <v>307.95</v>
      </c>
      <c r="V70" s="3">
        <v>312.95</v>
      </c>
      <c r="W70" s="3">
        <f t="shared" si="0"/>
        <v>4649.9999999999773</v>
      </c>
      <c r="X70" s="15">
        <f t="shared" si="1"/>
        <v>1.5082711644502034E-2</v>
      </c>
      <c r="Y70" s="15">
        <f t="shared" ca="1" si="7"/>
        <v>-1.1365481409320434E-3</v>
      </c>
      <c r="Z70" s="15"/>
      <c r="AA70" s="1"/>
      <c r="AB70" s="82"/>
    </row>
    <row r="71" spans="11:28" ht="14">
      <c r="K71" s="1"/>
      <c r="Q71" s="3" t="s">
        <v>13</v>
      </c>
      <c r="R71" s="35">
        <v>45336</v>
      </c>
      <c r="S71" s="3">
        <v>76.5</v>
      </c>
      <c r="T71" s="3">
        <v>5100</v>
      </c>
      <c r="U71" s="20">
        <f ca="1">IFERROR(__xludf.DUMMYFUNCTION("GOOGLEFINANCE(Q71,""price"")"),67.95)</f>
        <v>67.95</v>
      </c>
      <c r="V71" s="3">
        <v>69.22</v>
      </c>
      <c r="W71" s="3">
        <f t="shared" si="0"/>
        <v>-37128.000000000007</v>
      </c>
      <c r="X71" s="15">
        <f t="shared" si="1"/>
        <v>-9.5163398692810472E-2</v>
      </c>
      <c r="Y71" s="15">
        <f t="shared" ca="1" si="7"/>
        <v>-0.12582781456953637</v>
      </c>
      <c r="Z71" s="15"/>
      <c r="AA71" s="1"/>
      <c r="AB71" s="82"/>
    </row>
    <row r="72" spans="11:28" ht="14">
      <c r="K72" s="1"/>
      <c r="Q72" s="3" t="s">
        <v>73</v>
      </c>
      <c r="R72" s="71">
        <v>45476</v>
      </c>
      <c r="S72" s="3">
        <v>4106.3999999999996</v>
      </c>
      <c r="T72" s="3">
        <v>100</v>
      </c>
      <c r="U72" s="8">
        <f ca="1">IFERROR(__xludf.DUMMYFUNCTION("GOOGLEFINANCE(Q72,""price"")"),4003.8)</f>
        <v>4003.8</v>
      </c>
      <c r="V72" s="46">
        <v>3969.25</v>
      </c>
      <c r="W72" s="3">
        <f t="shared" si="0"/>
        <v>-13714.999999999964</v>
      </c>
      <c r="X72" s="15">
        <f t="shared" si="1"/>
        <v>-3.3399084356126936E-2</v>
      </c>
      <c r="Y72" s="15">
        <f t="shared" ca="1" si="7"/>
        <v>-2.5625655627154069E-2</v>
      </c>
      <c r="Z72" s="92"/>
      <c r="AA72" s="68"/>
      <c r="AB72" s="82"/>
    </row>
    <row r="73" spans="11:28" ht="14">
      <c r="K73" s="1"/>
      <c r="Q73" s="3" t="s">
        <v>77</v>
      </c>
      <c r="R73" s="32">
        <v>45274</v>
      </c>
      <c r="S73" s="3">
        <v>164.5</v>
      </c>
      <c r="T73" s="3">
        <v>1850</v>
      </c>
      <c r="U73" s="20">
        <f ca="1">IFERROR(__xludf.DUMMYFUNCTION("GOOGLEFINANCE(Q73,""price"")"),170.2)</f>
        <v>170.2</v>
      </c>
      <c r="V73" s="3">
        <v>169.58</v>
      </c>
      <c r="W73" s="3">
        <f t="shared" si="0"/>
        <v>9398.0000000000236</v>
      </c>
      <c r="X73" s="15">
        <f t="shared" si="1"/>
        <v>3.0881458966565429E-2</v>
      </c>
      <c r="Y73" s="15">
        <f t="shared" ca="1" si="7"/>
        <v>3.3490011750881246E-2</v>
      </c>
      <c r="Z73" s="15"/>
      <c r="AA73" s="1"/>
      <c r="AB73" s="82"/>
    </row>
    <row r="74" spans="11:28" ht="14">
      <c r="K74" s="1"/>
      <c r="Q74" s="3" t="s">
        <v>208</v>
      </c>
      <c r="R74" s="35">
        <v>45307</v>
      </c>
      <c r="S74" s="3">
        <v>260</v>
      </c>
      <c r="T74" s="3">
        <v>800</v>
      </c>
      <c r="U74" s="20">
        <f ca="1">IFERROR(__xludf.DUMMYFUNCTION("GOOGLEFINANCE(Q74,""price"")"),316.6)</f>
        <v>316.60000000000002</v>
      </c>
      <c r="V74" s="3">
        <v>315.5</v>
      </c>
      <c r="W74" s="3">
        <f t="shared" si="0"/>
        <v>44400</v>
      </c>
      <c r="X74" s="15">
        <f t="shared" si="1"/>
        <v>0.21346153846153845</v>
      </c>
      <c r="Y74" s="15">
        <f t="shared" ca="1" si="7"/>
        <v>0.17877447883765007</v>
      </c>
      <c r="Z74" s="15"/>
      <c r="AA74" s="1"/>
      <c r="AB74" s="82"/>
    </row>
    <row r="75" spans="11:28" ht="14">
      <c r="K75" s="1"/>
      <c r="Q75" s="3" t="s">
        <v>75</v>
      </c>
      <c r="R75" s="32">
        <v>45242</v>
      </c>
      <c r="S75" s="3">
        <v>420.95</v>
      </c>
      <c r="T75" s="3">
        <v>730</v>
      </c>
      <c r="U75" s="20">
        <f ca="1">IFERROR(__xludf.DUMMYFUNCTION("GOOGLEFINANCE(Q75,""price"")"),531.7)</f>
        <v>531.70000000000005</v>
      </c>
      <c r="V75" s="3">
        <v>535</v>
      </c>
      <c r="W75" s="3">
        <f t="shared" si="0"/>
        <v>83256.500000000015</v>
      </c>
      <c r="X75" s="15">
        <f t="shared" si="1"/>
        <v>0.27093479035514911</v>
      </c>
      <c r="Y75" s="15">
        <f t="shared" ca="1" si="7"/>
        <v>0.2082941508369382</v>
      </c>
      <c r="Z75" s="15"/>
      <c r="AA75" s="1"/>
      <c r="AB75" s="82"/>
    </row>
    <row r="76" spans="11:28" ht="13">
      <c r="K76" s="1"/>
    </row>
    <row r="77" spans="11:28" ht="13">
      <c r="K77" s="1"/>
    </row>
    <row r="78" spans="11:28" ht="13">
      <c r="K78" s="1"/>
    </row>
    <row r="79" spans="11:28" ht="13">
      <c r="K79" s="1"/>
    </row>
    <row r="80" spans="11:28" ht="13">
      <c r="K80" s="1"/>
    </row>
    <row r="81" spans="11:11" ht="13">
      <c r="K81" s="1"/>
    </row>
    <row r="82" spans="11:11" ht="13">
      <c r="K82" s="1"/>
    </row>
    <row r="83" spans="11:11" ht="13">
      <c r="K83" s="1"/>
    </row>
    <row r="84" spans="11:11" ht="13">
      <c r="K84" s="1"/>
    </row>
    <row r="85" spans="11:11" ht="13">
      <c r="K85" s="1"/>
    </row>
    <row r="86" spans="11:11" ht="13">
      <c r="K86" s="1"/>
    </row>
    <row r="87" spans="11:11" ht="13">
      <c r="K87" s="1"/>
    </row>
    <row r="88" spans="11:11" ht="13">
      <c r="K88" s="1"/>
    </row>
    <row r="89" spans="11:11" ht="13">
      <c r="K89" s="1"/>
    </row>
    <row r="90" spans="11:11" ht="13">
      <c r="K90" s="1"/>
    </row>
    <row r="91" spans="11:11" ht="13">
      <c r="K91" s="1"/>
    </row>
    <row r="92" spans="11:11" ht="13">
      <c r="K92" s="1"/>
    </row>
    <row r="93" spans="11:11" ht="13">
      <c r="K93" s="1"/>
    </row>
    <row r="94" spans="11:11" ht="13">
      <c r="K94" s="1"/>
    </row>
    <row r="95" spans="11:11" ht="13">
      <c r="K95" s="1"/>
    </row>
    <row r="96" spans="11:11" ht="13">
      <c r="K96" s="1"/>
    </row>
    <row r="97" spans="11:11" ht="13">
      <c r="K97" s="1"/>
    </row>
    <row r="98" spans="11:11" ht="13">
      <c r="K98" s="1"/>
    </row>
    <row r="99" spans="11:11" ht="13">
      <c r="K99" s="1"/>
    </row>
    <row r="100" spans="11:11" ht="13">
      <c r="K100" s="1"/>
    </row>
    <row r="101" spans="11:11" ht="13">
      <c r="K101" s="1"/>
    </row>
    <row r="102" spans="11:11" ht="13">
      <c r="K102" s="1"/>
    </row>
    <row r="103" spans="11:11" ht="13">
      <c r="K103" s="1"/>
    </row>
    <row r="104" spans="11:11" ht="13">
      <c r="K104" s="1"/>
    </row>
    <row r="105" spans="11:11" ht="13">
      <c r="K105" s="1"/>
    </row>
    <row r="106" spans="11:11" ht="13">
      <c r="K106" s="1"/>
    </row>
    <row r="107" spans="11:11" ht="13">
      <c r="K107" s="1"/>
    </row>
    <row r="108" spans="11:11" ht="13">
      <c r="K108" s="1"/>
    </row>
    <row r="109" spans="11:11" ht="13">
      <c r="K109" s="1"/>
    </row>
    <row r="110" spans="11:11" ht="13">
      <c r="K110" s="1"/>
    </row>
    <row r="111" spans="11:11" ht="13">
      <c r="K111" s="1"/>
    </row>
    <row r="112" spans="11:11" ht="13">
      <c r="K112" s="1"/>
    </row>
    <row r="113" spans="11:11" ht="13">
      <c r="K113" s="1"/>
    </row>
    <row r="114" spans="11:11" ht="13">
      <c r="K114" s="1"/>
    </row>
    <row r="115" spans="11:11" ht="13">
      <c r="K115" s="1"/>
    </row>
    <row r="116" spans="11:11" ht="13">
      <c r="K116" s="1"/>
    </row>
    <row r="117" spans="11:11" ht="13">
      <c r="K117" s="1"/>
    </row>
    <row r="118" spans="11:11" ht="13">
      <c r="K118" s="1"/>
    </row>
    <row r="119" spans="11:11" ht="13">
      <c r="K119" s="1"/>
    </row>
    <row r="120" spans="11:11" ht="13">
      <c r="K120" s="1"/>
    </row>
    <row r="121" spans="11:11" ht="13">
      <c r="K121" s="1"/>
    </row>
    <row r="122" spans="11:11" ht="13">
      <c r="K122" s="1"/>
    </row>
    <row r="123" spans="11:11" ht="13">
      <c r="K123" s="1"/>
    </row>
    <row r="124" spans="11:11" ht="13">
      <c r="K124" s="1"/>
    </row>
    <row r="125" spans="11:11" ht="13">
      <c r="K125" s="1"/>
    </row>
    <row r="126" spans="11:11" ht="13">
      <c r="K126" s="1"/>
    </row>
    <row r="127" spans="11:11" ht="13">
      <c r="K127" s="1"/>
    </row>
    <row r="128" spans="11:11" ht="13">
      <c r="K128" s="1"/>
    </row>
    <row r="129" spans="11:11" ht="13">
      <c r="K129" s="1"/>
    </row>
    <row r="130" spans="11:11" ht="13">
      <c r="K130" s="1"/>
    </row>
    <row r="131" spans="11:11" ht="13">
      <c r="K131" s="1"/>
    </row>
    <row r="132" spans="11:11" ht="13">
      <c r="K132" s="1"/>
    </row>
    <row r="133" spans="11:11" ht="13">
      <c r="K133" s="1"/>
    </row>
    <row r="134" spans="11:11" ht="13">
      <c r="K134" s="1"/>
    </row>
    <row r="135" spans="11:11" ht="13">
      <c r="K135" s="1"/>
    </row>
    <row r="136" spans="11:11" ht="13">
      <c r="K136" s="1"/>
    </row>
    <row r="137" spans="11:11" ht="13">
      <c r="K137" s="1"/>
    </row>
    <row r="138" spans="11:11" ht="13">
      <c r="K138" s="1"/>
    </row>
    <row r="139" spans="11:11" ht="13">
      <c r="K139" s="1"/>
    </row>
    <row r="140" spans="11:11" ht="13">
      <c r="K140" s="1"/>
    </row>
    <row r="141" spans="11:11" ht="13">
      <c r="K141" s="1"/>
    </row>
    <row r="142" spans="11:11" ht="13">
      <c r="K142" s="1"/>
    </row>
    <row r="143" spans="11:11" ht="13">
      <c r="K143" s="1"/>
    </row>
    <row r="144" spans="11:11" ht="13">
      <c r="K144" s="1"/>
    </row>
    <row r="145" spans="11:11" ht="13">
      <c r="K145" s="1"/>
    </row>
    <row r="146" spans="11:11" ht="13">
      <c r="K146" s="1"/>
    </row>
    <row r="147" spans="11:11" ht="13">
      <c r="K147" s="1"/>
    </row>
    <row r="148" spans="11:11" ht="13">
      <c r="K148" s="1"/>
    </row>
    <row r="149" spans="11:11" ht="13">
      <c r="K149" s="1"/>
    </row>
    <row r="150" spans="11:11" ht="13">
      <c r="K150" s="1"/>
    </row>
    <row r="151" spans="11:11" ht="13">
      <c r="K151" s="1"/>
    </row>
    <row r="152" spans="11:11" ht="13">
      <c r="K152" s="1"/>
    </row>
    <row r="153" spans="11:11" ht="13">
      <c r="K153" s="1"/>
    </row>
    <row r="154" spans="11:11" ht="13">
      <c r="K154" s="1"/>
    </row>
    <row r="155" spans="11:11" ht="13">
      <c r="K155" s="1"/>
    </row>
    <row r="156" spans="11:11" ht="13">
      <c r="K156" s="1"/>
    </row>
    <row r="157" spans="11:11" ht="13">
      <c r="K157" s="1"/>
    </row>
    <row r="158" spans="11:11" ht="13">
      <c r="K158" s="1"/>
    </row>
    <row r="159" spans="11:11" ht="13">
      <c r="K159" s="1"/>
    </row>
    <row r="160" spans="11:11" ht="13">
      <c r="K160" s="1"/>
    </row>
    <row r="161" spans="11:11" ht="13">
      <c r="K161" s="1"/>
    </row>
    <row r="162" spans="11:11" ht="13">
      <c r="K162" s="1"/>
    </row>
    <row r="163" spans="11:11" ht="13">
      <c r="K163" s="1"/>
    </row>
    <row r="164" spans="11:11" ht="13">
      <c r="K164" s="1"/>
    </row>
    <row r="165" spans="11:11" ht="13">
      <c r="K165" s="1"/>
    </row>
    <row r="166" spans="11:11" ht="13">
      <c r="K166" s="1"/>
    </row>
    <row r="167" spans="11:11" ht="13">
      <c r="K167" s="1"/>
    </row>
    <row r="168" spans="11:11" ht="13">
      <c r="K168" s="1"/>
    </row>
    <row r="169" spans="11:11" ht="13">
      <c r="K169" s="1"/>
    </row>
    <row r="170" spans="11:11" ht="13">
      <c r="K170" s="1"/>
    </row>
    <row r="171" spans="11:11" ht="13">
      <c r="K171" s="1"/>
    </row>
    <row r="172" spans="11:11" ht="13">
      <c r="K172" s="1"/>
    </row>
    <row r="173" spans="11:11" ht="13">
      <c r="K173" s="1"/>
    </row>
    <row r="174" spans="11:11" ht="13">
      <c r="K174" s="1"/>
    </row>
    <row r="175" spans="11:11" ht="13">
      <c r="K175" s="1"/>
    </row>
    <row r="176" spans="11:11" ht="13">
      <c r="K176" s="1"/>
    </row>
    <row r="177" spans="11:11" ht="13">
      <c r="K177" s="1"/>
    </row>
    <row r="178" spans="11:11" ht="13">
      <c r="K178" s="1"/>
    </row>
    <row r="179" spans="11:11" ht="13">
      <c r="K179" s="1"/>
    </row>
    <row r="180" spans="11:11" ht="13">
      <c r="K180" s="1"/>
    </row>
    <row r="181" spans="11:11" ht="13">
      <c r="K181" s="1"/>
    </row>
    <row r="182" spans="11:11" ht="13">
      <c r="K182" s="1"/>
    </row>
    <row r="183" spans="11:11" ht="13">
      <c r="K183" s="1"/>
    </row>
    <row r="184" spans="11:11" ht="13">
      <c r="K184" s="1"/>
    </row>
    <row r="185" spans="11:11" ht="13">
      <c r="K185" s="1"/>
    </row>
    <row r="186" spans="11:11" ht="13">
      <c r="K186" s="1"/>
    </row>
    <row r="187" spans="11:11" ht="13">
      <c r="K187" s="1"/>
    </row>
    <row r="188" spans="11:11" ht="13">
      <c r="K188" s="1"/>
    </row>
    <row r="189" spans="11:11" ht="13">
      <c r="K189" s="1"/>
    </row>
    <row r="190" spans="11:11" ht="13">
      <c r="K190" s="1"/>
    </row>
    <row r="191" spans="11:11" ht="13">
      <c r="K191" s="1"/>
    </row>
    <row r="192" spans="11:11" ht="13">
      <c r="K192" s="1"/>
    </row>
    <row r="193" spans="11:11" ht="13">
      <c r="K193" s="1"/>
    </row>
    <row r="194" spans="11:11" ht="13">
      <c r="K194" s="1"/>
    </row>
    <row r="195" spans="11:11" ht="13">
      <c r="K195" s="1"/>
    </row>
    <row r="196" spans="11:11" ht="13">
      <c r="K196" s="1"/>
    </row>
    <row r="197" spans="11:11" ht="13">
      <c r="K197" s="1"/>
    </row>
    <row r="198" spans="11:11" ht="13">
      <c r="K198" s="1"/>
    </row>
    <row r="199" spans="11:11" ht="13">
      <c r="K199" s="1"/>
    </row>
    <row r="200" spans="11:11" ht="13">
      <c r="K200" s="1"/>
    </row>
    <row r="201" spans="11:11" ht="13">
      <c r="K201" s="1"/>
    </row>
    <row r="202" spans="11:11" ht="13">
      <c r="K202" s="1"/>
    </row>
    <row r="203" spans="11:11" ht="13">
      <c r="K203" s="1"/>
    </row>
    <row r="204" spans="11:11" ht="13">
      <c r="K204" s="1"/>
    </row>
    <row r="205" spans="11:11" ht="13">
      <c r="K205" s="1"/>
    </row>
    <row r="206" spans="11:11" ht="13">
      <c r="K206" s="1"/>
    </row>
    <row r="207" spans="11:11" ht="13">
      <c r="K207" s="1"/>
    </row>
    <row r="208" spans="11:11" ht="13">
      <c r="K208" s="1"/>
    </row>
    <row r="209" spans="11:11" ht="13">
      <c r="K209" s="1"/>
    </row>
    <row r="210" spans="11:11" ht="13">
      <c r="K210" s="1"/>
    </row>
    <row r="211" spans="11:11" ht="13">
      <c r="K211" s="1"/>
    </row>
    <row r="212" spans="11:11" ht="13">
      <c r="K212" s="1"/>
    </row>
    <row r="213" spans="11:11" ht="13">
      <c r="K213" s="1"/>
    </row>
    <row r="214" spans="11:11" ht="13">
      <c r="K214" s="1"/>
    </row>
    <row r="215" spans="11:11" ht="13">
      <c r="K215" s="1"/>
    </row>
    <row r="216" spans="11:11" ht="13">
      <c r="K216" s="1"/>
    </row>
    <row r="217" spans="11:11" ht="13">
      <c r="K217" s="1"/>
    </row>
    <row r="218" spans="11:11" ht="13">
      <c r="K218" s="1"/>
    </row>
    <row r="219" spans="11:11" ht="13">
      <c r="K219" s="1"/>
    </row>
    <row r="220" spans="11:11" ht="13">
      <c r="K220" s="1"/>
    </row>
    <row r="221" spans="11:11" ht="13">
      <c r="K221" s="1"/>
    </row>
    <row r="222" spans="11:11" ht="13">
      <c r="K222" s="1"/>
    </row>
    <row r="223" spans="11:11" ht="13">
      <c r="K223" s="1"/>
    </row>
    <row r="224" spans="11:11" ht="13">
      <c r="K224" s="1"/>
    </row>
    <row r="225" spans="11:11" ht="13">
      <c r="K225" s="1"/>
    </row>
    <row r="226" spans="11:11" ht="13">
      <c r="K226" s="1"/>
    </row>
    <row r="227" spans="11:11" ht="13">
      <c r="K227" s="1"/>
    </row>
    <row r="228" spans="11:11" ht="13">
      <c r="K228" s="1"/>
    </row>
    <row r="229" spans="11:11" ht="13">
      <c r="K229" s="1"/>
    </row>
    <row r="230" spans="11:11" ht="13">
      <c r="K230" s="1"/>
    </row>
    <row r="231" spans="11:11" ht="13">
      <c r="K231" s="1"/>
    </row>
    <row r="232" spans="11:11" ht="13">
      <c r="K232" s="1"/>
    </row>
    <row r="233" spans="11:11" ht="13">
      <c r="K233" s="1"/>
    </row>
    <row r="234" spans="11:11" ht="13">
      <c r="K234" s="1"/>
    </row>
    <row r="235" spans="11:11" ht="13">
      <c r="K235" s="1"/>
    </row>
    <row r="236" spans="11:11" ht="13">
      <c r="K236" s="1"/>
    </row>
    <row r="237" spans="11:11" ht="13">
      <c r="K237" s="1"/>
    </row>
    <row r="238" spans="11:11" ht="13">
      <c r="K238" s="1"/>
    </row>
    <row r="239" spans="11:11" ht="13">
      <c r="K239" s="1"/>
    </row>
    <row r="240" spans="11:11" ht="13">
      <c r="K240" s="1"/>
    </row>
    <row r="241" spans="11:11" ht="13">
      <c r="K241" s="1"/>
    </row>
    <row r="242" spans="11:11" ht="13">
      <c r="K242" s="1"/>
    </row>
    <row r="243" spans="11:11" ht="13">
      <c r="K243" s="1"/>
    </row>
    <row r="244" spans="11:11" ht="13">
      <c r="K244" s="1"/>
    </row>
    <row r="245" spans="11:11" ht="13">
      <c r="K245" s="1"/>
    </row>
    <row r="246" spans="11:11" ht="13">
      <c r="K246" s="1"/>
    </row>
    <row r="247" spans="11:11" ht="13">
      <c r="K247" s="1"/>
    </row>
    <row r="248" spans="11:11" ht="13">
      <c r="K248" s="1"/>
    </row>
    <row r="249" spans="11:11" ht="13">
      <c r="K249" s="1"/>
    </row>
    <row r="250" spans="11:11" ht="13">
      <c r="K250" s="1"/>
    </row>
    <row r="251" spans="11:11" ht="13">
      <c r="K251" s="1"/>
    </row>
    <row r="252" spans="11:11" ht="13">
      <c r="K252" s="1"/>
    </row>
    <row r="253" spans="11:11" ht="13">
      <c r="K253" s="1"/>
    </row>
    <row r="254" spans="11:11" ht="13">
      <c r="K254" s="1"/>
    </row>
    <row r="255" spans="11:11" ht="13">
      <c r="K255" s="1"/>
    </row>
    <row r="256" spans="11:11" ht="13">
      <c r="K256" s="1"/>
    </row>
    <row r="257" spans="11:11" ht="13">
      <c r="K257" s="1"/>
    </row>
    <row r="258" spans="11:11" ht="13">
      <c r="K258" s="1"/>
    </row>
    <row r="259" spans="11:11" ht="13">
      <c r="K259" s="1"/>
    </row>
    <row r="260" spans="11:11" ht="13">
      <c r="K260" s="1"/>
    </row>
    <row r="261" spans="11:11" ht="13">
      <c r="K261" s="1"/>
    </row>
    <row r="262" spans="11:11" ht="13">
      <c r="K262" s="1"/>
    </row>
    <row r="263" spans="11:11" ht="13">
      <c r="K263" s="1"/>
    </row>
    <row r="264" spans="11:11" ht="13">
      <c r="K264" s="1"/>
    </row>
    <row r="265" spans="11:11" ht="13">
      <c r="K265" s="1"/>
    </row>
    <row r="266" spans="11:11" ht="13">
      <c r="K266" s="1"/>
    </row>
    <row r="267" spans="11:11" ht="13">
      <c r="K267" s="1"/>
    </row>
    <row r="268" spans="11:11" ht="13">
      <c r="K268" s="1"/>
    </row>
    <row r="269" spans="11:11" ht="13">
      <c r="K269" s="1"/>
    </row>
    <row r="270" spans="11:11" ht="13">
      <c r="K270" s="1"/>
    </row>
    <row r="271" spans="11:11" ht="13">
      <c r="K271" s="1"/>
    </row>
    <row r="272" spans="11:11" ht="13">
      <c r="K272" s="1"/>
    </row>
    <row r="273" spans="11:11" ht="13">
      <c r="K273" s="1"/>
    </row>
    <row r="274" spans="11:11" ht="13">
      <c r="K274" s="1"/>
    </row>
    <row r="275" spans="11:11" ht="13">
      <c r="K275" s="1"/>
    </row>
    <row r="276" spans="11:11" ht="13">
      <c r="K276" s="1"/>
    </row>
    <row r="277" spans="11:11" ht="13">
      <c r="K277" s="1"/>
    </row>
    <row r="278" spans="11:11" ht="13">
      <c r="K278" s="1"/>
    </row>
    <row r="279" spans="11:11" ht="13">
      <c r="K279" s="1"/>
    </row>
    <row r="280" spans="11:11" ht="13">
      <c r="K280" s="1"/>
    </row>
    <row r="281" spans="11:11" ht="13">
      <c r="K281" s="1"/>
    </row>
    <row r="282" spans="11:11" ht="13">
      <c r="K282" s="1"/>
    </row>
    <row r="283" spans="11:11" ht="13">
      <c r="K283" s="1"/>
    </row>
    <row r="284" spans="11:11" ht="13">
      <c r="K284" s="1"/>
    </row>
    <row r="285" spans="11:11" ht="13">
      <c r="K285" s="1"/>
    </row>
    <row r="286" spans="11:11" ht="13">
      <c r="K286" s="1"/>
    </row>
    <row r="287" spans="11:11" ht="13">
      <c r="K287" s="1"/>
    </row>
    <row r="288" spans="11:11" ht="13">
      <c r="K288" s="1"/>
    </row>
    <row r="289" spans="11:11" ht="13">
      <c r="K289" s="1"/>
    </row>
    <row r="290" spans="11:11" ht="13">
      <c r="K290" s="1"/>
    </row>
    <row r="291" spans="11:11" ht="13">
      <c r="K291" s="1"/>
    </row>
    <row r="292" spans="11:11" ht="13">
      <c r="K292" s="1"/>
    </row>
    <row r="293" spans="11:11" ht="13">
      <c r="K293" s="1"/>
    </row>
    <row r="294" spans="11:11" ht="13">
      <c r="K294" s="1"/>
    </row>
    <row r="295" spans="11:11" ht="13">
      <c r="K295" s="1"/>
    </row>
    <row r="296" spans="11:11" ht="13">
      <c r="K296" s="1"/>
    </row>
    <row r="297" spans="11:11" ht="13">
      <c r="K297" s="1"/>
    </row>
    <row r="298" spans="11:11" ht="13">
      <c r="K298" s="1"/>
    </row>
    <row r="299" spans="11:11" ht="13">
      <c r="K299" s="1"/>
    </row>
    <row r="300" spans="11:11" ht="13">
      <c r="K300" s="1"/>
    </row>
    <row r="301" spans="11:11" ht="13">
      <c r="K301" s="1"/>
    </row>
    <row r="302" spans="11:11" ht="13">
      <c r="K302" s="1"/>
    </row>
    <row r="303" spans="11:11" ht="13">
      <c r="K303" s="1"/>
    </row>
    <row r="304" spans="11:11" ht="13">
      <c r="K304" s="1"/>
    </row>
    <row r="305" spans="11:11" ht="13">
      <c r="K305" s="1"/>
    </row>
    <row r="306" spans="11:11" ht="13">
      <c r="K306" s="1"/>
    </row>
    <row r="307" spans="11:11" ht="13">
      <c r="K307" s="1"/>
    </row>
    <row r="308" spans="11:11" ht="13">
      <c r="K308" s="1"/>
    </row>
    <row r="309" spans="11:11" ht="13">
      <c r="K309" s="1"/>
    </row>
    <row r="310" spans="11:11" ht="13">
      <c r="K310" s="1"/>
    </row>
    <row r="311" spans="11:11" ht="13">
      <c r="K311" s="1"/>
    </row>
    <row r="312" spans="11:11" ht="13">
      <c r="K312" s="1"/>
    </row>
    <row r="313" spans="11:11" ht="13">
      <c r="K313" s="1"/>
    </row>
    <row r="314" spans="11:11" ht="13">
      <c r="K314" s="1"/>
    </row>
    <row r="315" spans="11:11" ht="13">
      <c r="K315" s="1"/>
    </row>
    <row r="316" spans="11:11" ht="13">
      <c r="K316" s="1"/>
    </row>
    <row r="317" spans="11:11" ht="13">
      <c r="K317" s="1"/>
    </row>
    <row r="318" spans="11:11" ht="13">
      <c r="K318" s="1"/>
    </row>
    <row r="319" spans="11:11" ht="13">
      <c r="K319" s="1"/>
    </row>
    <row r="320" spans="11:11" ht="13">
      <c r="K320" s="1"/>
    </row>
    <row r="321" spans="11:11" ht="13">
      <c r="K321" s="1"/>
    </row>
    <row r="322" spans="11:11" ht="13">
      <c r="K322" s="1"/>
    </row>
    <row r="323" spans="11:11" ht="13">
      <c r="K323" s="1"/>
    </row>
    <row r="324" spans="11:11" ht="13">
      <c r="K324" s="1"/>
    </row>
    <row r="325" spans="11:11" ht="13">
      <c r="K325" s="1"/>
    </row>
    <row r="326" spans="11:11" ht="13">
      <c r="K326" s="1"/>
    </row>
    <row r="327" spans="11:11" ht="13">
      <c r="K327" s="1"/>
    </row>
    <row r="328" spans="11:11" ht="13">
      <c r="K328" s="1"/>
    </row>
    <row r="329" spans="11:11" ht="13">
      <c r="K329" s="1"/>
    </row>
    <row r="330" spans="11:11" ht="13">
      <c r="K330" s="1"/>
    </row>
    <row r="331" spans="11:11" ht="13">
      <c r="K331" s="1"/>
    </row>
    <row r="332" spans="11:11" ht="13">
      <c r="K332" s="1"/>
    </row>
    <row r="333" spans="11:11" ht="13">
      <c r="K333" s="1"/>
    </row>
    <row r="334" spans="11:11" ht="13">
      <c r="K334" s="1"/>
    </row>
    <row r="335" spans="11:11" ht="13">
      <c r="K335" s="1"/>
    </row>
    <row r="336" spans="11:11" ht="13">
      <c r="K336" s="1"/>
    </row>
    <row r="337" spans="11:11" ht="13">
      <c r="K337" s="1"/>
    </row>
    <row r="338" spans="11:11" ht="13">
      <c r="K338" s="1"/>
    </row>
    <row r="339" spans="11:11" ht="13">
      <c r="K339" s="1"/>
    </row>
    <row r="340" spans="11:11" ht="13">
      <c r="K340" s="1"/>
    </row>
    <row r="341" spans="11:11" ht="13">
      <c r="K341" s="1"/>
    </row>
    <row r="342" spans="11:11" ht="13">
      <c r="K342" s="1"/>
    </row>
    <row r="343" spans="11:11" ht="13">
      <c r="K343" s="1"/>
    </row>
    <row r="344" spans="11:11" ht="13">
      <c r="K344" s="1"/>
    </row>
    <row r="345" spans="11:11" ht="13">
      <c r="K345" s="1"/>
    </row>
    <row r="346" spans="11:11" ht="13">
      <c r="K346" s="1"/>
    </row>
    <row r="347" spans="11:11" ht="13">
      <c r="K347" s="1"/>
    </row>
    <row r="348" spans="11:11" ht="13">
      <c r="K348" s="1"/>
    </row>
    <row r="349" spans="11:11" ht="13">
      <c r="K349" s="1"/>
    </row>
    <row r="350" spans="11:11" ht="13">
      <c r="K350" s="1"/>
    </row>
    <row r="351" spans="11:11" ht="13">
      <c r="K351" s="1"/>
    </row>
    <row r="352" spans="11:11" ht="13">
      <c r="K352" s="1"/>
    </row>
    <row r="353" spans="11:11" ht="13">
      <c r="K353" s="1"/>
    </row>
    <row r="354" spans="11:11" ht="13">
      <c r="K354" s="1"/>
    </row>
    <row r="355" spans="11:11" ht="13">
      <c r="K355" s="1"/>
    </row>
    <row r="356" spans="11:11" ht="13">
      <c r="K356" s="1"/>
    </row>
    <row r="357" spans="11:11" ht="13">
      <c r="K357" s="1"/>
    </row>
    <row r="358" spans="11:11" ht="13">
      <c r="K358" s="1"/>
    </row>
    <row r="359" spans="11:11" ht="13">
      <c r="K359" s="1"/>
    </row>
    <row r="360" spans="11:11" ht="13">
      <c r="K360" s="1"/>
    </row>
    <row r="361" spans="11:11" ht="13">
      <c r="K361" s="1"/>
    </row>
    <row r="362" spans="11:11" ht="13">
      <c r="K362" s="1"/>
    </row>
    <row r="363" spans="11:11" ht="13">
      <c r="K363" s="1"/>
    </row>
    <row r="364" spans="11:11" ht="13">
      <c r="K364" s="1"/>
    </row>
    <row r="365" spans="11:11" ht="13">
      <c r="K365" s="1"/>
    </row>
    <row r="366" spans="11:11" ht="13">
      <c r="K366" s="1"/>
    </row>
    <row r="367" spans="11:11" ht="13">
      <c r="K367" s="1"/>
    </row>
    <row r="368" spans="11:11" ht="13">
      <c r="K368" s="1"/>
    </row>
    <row r="369" spans="11:11" ht="13">
      <c r="K369" s="1"/>
    </row>
    <row r="370" spans="11:11" ht="13">
      <c r="K370" s="1"/>
    </row>
    <row r="371" spans="11:11" ht="13">
      <c r="K371" s="1"/>
    </row>
    <row r="372" spans="11:11" ht="13">
      <c r="K372" s="1"/>
    </row>
    <row r="373" spans="11:11" ht="13">
      <c r="K373" s="1"/>
    </row>
    <row r="374" spans="11:11" ht="13">
      <c r="K374" s="1"/>
    </row>
    <row r="375" spans="11:11" ht="13">
      <c r="K375" s="1"/>
    </row>
    <row r="376" spans="11:11" ht="13">
      <c r="K376" s="1"/>
    </row>
    <row r="377" spans="11:11" ht="13">
      <c r="K377" s="1"/>
    </row>
    <row r="378" spans="11:11" ht="13">
      <c r="K378" s="1"/>
    </row>
    <row r="379" spans="11:11" ht="13">
      <c r="K379" s="1"/>
    </row>
    <row r="380" spans="11:11" ht="13">
      <c r="K380" s="1"/>
    </row>
    <row r="381" spans="11:11" ht="13">
      <c r="K381" s="1"/>
    </row>
    <row r="382" spans="11:11" ht="13">
      <c r="K382" s="1"/>
    </row>
    <row r="383" spans="11:11" ht="13">
      <c r="K383" s="1"/>
    </row>
    <row r="384" spans="11:11" ht="13">
      <c r="K384" s="1"/>
    </row>
    <row r="385" spans="11:11" ht="13">
      <c r="K385" s="1"/>
    </row>
    <row r="386" spans="11:11" ht="13">
      <c r="K386" s="1"/>
    </row>
    <row r="387" spans="11:11" ht="13">
      <c r="K387" s="1"/>
    </row>
    <row r="388" spans="11:11" ht="13">
      <c r="K388" s="1"/>
    </row>
    <row r="389" spans="11:11" ht="13">
      <c r="K389" s="1"/>
    </row>
    <row r="390" spans="11:11" ht="13">
      <c r="K390" s="1"/>
    </row>
    <row r="391" spans="11:11" ht="13">
      <c r="K391" s="1"/>
    </row>
    <row r="392" spans="11:11" ht="13">
      <c r="K392" s="1"/>
    </row>
    <row r="393" spans="11:11" ht="13">
      <c r="K393" s="1"/>
    </row>
    <row r="394" spans="11:11" ht="13">
      <c r="K394" s="1"/>
    </row>
    <row r="395" spans="11:11" ht="13">
      <c r="K395" s="1"/>
    </row>
    <row r="396" spans="11:11" ht="13">
      <c r="K396" s="1"/>
    </row>
    <row r="397" spans="11:11" ht="13">
      <c r="K397" s="1"/>
    </row>
    <row r="398" spans="11:11" ht="13">
      <c r="K398" s="1"/>
    </row>
    <row r="399" spans="11:11" ht="13">
      <c r="K399" s="1"/>
    </row>
    <row r="400" spans="11:11" ht="13">
      <c r="K400" s="1"/>
    </row>
    <row r="401" spans="11:11" ht="13">
      <c r="K401" s="1"/>
    </row>
    <row r="402" spans="11:11" ht="13">
      <c r="K402" s="1"/>
    </row>
    <row r="403" spans="11:11" ht="13">
      <c r="K403" s="1"/>
    </row>
    <row r="404" spans="11:11" ht="13">
      <c r="K404" s="1"/>
    </row>
    <row r="405" spans="11:11" ht="13">
      <c r="K405" s="1"/>
    </row>
    <row r="406" spans="11:11" ht="13">
      <c r="K406" s="1"/>
    </row>
    <row r="407" spans="11:11" ht="13">
      <c r="K407" s="1"/>
    </row>
    <row r="408" spans="11:11" ht="13">
      <c r="K408" s="1"/>
    </row>
    <row r="409" spans="11:11" ht="13">
      <c r="K409" s="1"/>
    </row>
    <row r="410" spans="11:11" ht="13">
      <c r="K410" s="1"/>
    </row>
    <row r="411" spans="11:11" ht="13">
      <c r="K411" s="1"/>
    </row>
    <row r="412" spans="11:11" ht="13">
      <c r="K412" s="1"/>
    </row>
    <row r="413" spans="11:11" ht="13">
      <c r="K413" s="1"/>
    </row>
    <row r="414" spans="11:11" ht="13">
      <c r="K414" s="1"/>
    </row>
    <row r="415" spans="11:11" ht="13">
      <c r="K415" s="1"/>
    </row>
    <row r="416" spans="11:11" ht="13">
      <c r="K416" s="1"/>
    </row>
    <row r="417" spans="11:11" ht="13">
      <c r="K417" s="1"/>
    </row>
    <row r="418" spans="11:11" ht="13">
      <c r="K418" s="1"/>
    </row>
    <row r="419" spans="11:11" ht="13">
      <c r="K419" s="1"/>
    </row>
    <row r="420" spans="11:11" ht="13">
      <c r="K420" s="1"/>
    </row>
    <row r="421" spans="11:11" ht="13">
      <c r="K421" s="1"/>
    </row>
    <row r="422" spans="11:11" ht="13">
      <c r="K422" s="1"/>
    </row>
    <row r="423" spans="11:11" ht="13">
      <c r="K423" s="1"/>
    </row>
    <row r="424" spans="11:11" ht="13">
      <c r="K424" s="1"/>
    </row>
    <row r="425" spans="11:11" ht="13">
      <c r="K425" s="1"/>
    </row>
    <row r="426" spans="11:11" ht="13">
      <c r="K426" s="1"/>
    </row>
    <row r="427" spans="11:11" ht="13">
      <c r="K427" s="1"/>
    </row>
    <row r="428" spans="11:11" ht="13">
      <c r="K428" s="1"/>
    </row>
    <row r="429" spans="11:11" ht="13">
      <c r="K429" s="1"/>
    </row>
    <row r="430" spans="11:11" ht="13">
      <c r="K430" s="1"/>
    </row>
    <row r="431" spans="11:11" ht="13">
      <c r="K431" s="1"/>
    </row>
    <row r="432" spans="11:11" ht="13">
      <c r="K432" s="1"/>
    </row>
    <row r="433" spans="11:11" ht="13">
      <c r="K433" s="1"/>
    </row>
    <row r="434" spans="11:11" ht="13">
      <c r="K434" s="1"/>
    </row>
    <row r="435" spans="11:11" ht="13">
      <c r="K435" s="1"/>
    </row>
    <row r="436" spans="11:11" ht="13">
      <c r="K436" s="1"/>
    </row>
    <row r="437" spans="11:11" ht="13">
      <c r="K437" s="1"/>
    </row>
    <row r="438" spans="11:11" ht="13">
      <c r="K438" s="1"/>
    </row>
    <row r="439" spans="11:11" ht="13">
      <c r="K439" s="1"/>
    </row>
    <row r="440" spans="11:11" ht="13">
      <c r="K440" s="1"/>
    </row>
    <row r="441" spans="11:11" ht="13">
      <c r="K441" s="1"/>
    </row>
    <row r="442" spans="11:11" ht="13">
      <c r="K442" s="1"/>
    </row>
    <row r="443" spans="11:11" ht="13">
      <c r="K443" s="1"/>
    </row>
    <row r="444" spans="11:11" ht="13">
      <c r="K444" s="1"/>
    </row>
    <row r="445" spans="11:11" ht="13">
      <c r="K445" s="1"/>
    </row>
    <row r="446" spans="11:11" ht="13">
      <c r="K446" s="1"/>
    </row>
    <row r="447" spans="11:11" ht="13">
      <c r="K447" s="1"/>
    </row>
    <row r="448" spans="11:11" ht="13">
      <c r="K448" s="1"/>
    </row>
    <row r="449" spans="11:11" ht="13">
      <c r="K449" s="1"/>
    </row>
    <row r="450" spans="11:11" ht="13">
      <c r="K450" s="1"/>
    </row>
    <row r="451" spans="11:11" ht="13">
      <c r="K451" s="1"/>
    </row>
    <row r="452" spans="11:11" ht="13">
      <c r="K452" s="1"/>
    </row>
    <row r="453" spans="11:11" ht="13">
      <c r="K453" s="1"/>
    </row>
    <row r="454" spans="11:11" ht="13">
      <c r="K454" s="1"/>
    </row>
    <row r="455" spans="11:11" ht="13">
      <c r="K455" s="1"/>
    </row>
    <row r="456" spans="11:11" ht="13">
      <c r="K456" s="1"/>
    </row>
    <row r="457" spans="11:11" ht="13">
      <c r="K457" s="1"/>
    </row>
    <row r="458" spans="11:11" ht="13">
      <c r="K458" s="1"/>
    </row>
    <row r="459" spans="11:11" ht="13">
      <c r="K459" s="1"/>
    </row>
    <row r="460" spans="11:11" ht="13">
      <c r="K460" s="1"/>
    </row>
    <row r="461" spans="11:11" ht="13">
      <c r="K461" s="1"/>
    </row>
    <row r="462" spans="11:11" ht="13">
      <c r="K462" s="1"/>
    </row>
    <row r="463" spans="11:11" ht="13">
      <c r="K463" s="1"/>
    </row>
    <row r="464" spans="11:11" ht="13">
      <c r="K464" s="1"/>
    </row>
    <row r="465" spans="11:11" ht="13">
      <c r="K465" s="1"/>
    </row>
    <row r="466" spans="11:11" ht="13">
      <c r="K466" s="1"/>
    </row>
    <row r="467" spans="11:11" ht="13">
      <c r="K467" s="1"/>
    </row>
    <row r="468" spans="11:11" ht="13">
      <c r="K468" s="1"/>
    </row>
    <row r="469" spans="11:11" ht="13">
      <c r="K469" s="1"/>
    </row>
    <row r="470" spans="11:11" ht="13">
      <c r="K470" s="1"/>
    </row>
    <row r="471" spans="11:11" ht="13">
      <c r="K471" s="1"/>
    </row>
    <row r="472" spans="11:11" ht="13">
      <c r="K472" s="1"/>
    </row>
    <row r="473" spans="11:11" ht="13">
      <c r="K473" s="1"/>
    </row>
    <row r="474" spans="11:11" ht="13">
      <c r="K474" s="1"/>
    </row>
    <row r="475" spans="11:11" ht="13">
      <c r="K475" s="1"/>
    </row>
    <row r="476" spans="11:11" ht="13">
      <c r="K476" s="1"/>
    </row>
    <row r="477" spans="11:11" ht="13">
      <c r="K477" s="1"/>
    </row>
    <row r="478" spans="11:11" ht="13">
      <c r="K478" s="1"/>
    </row>
    <row r="479" spans="11:11" ht="13">
      <c r="K479" s="1"/>
    </row>
    <row r="480" spans="11:11" ht="13">
      <c r="K480" s="1"/>
    </row>
    <row r="481" spans="11:11" ht="13">
      <c r="K481" s="1"/>
    </row>
    <row r="482" spans="11:11" ht="13">
      <c r="K482" s="1"/>
    </row>
    <row r="483" spans="11:11" ht="13">
      <c r="K483" s="1"/>
    </row>
    <row r="484" spans="11:11" ht="13">
      <c r="K484" s="1"/>
    </row>
    <row r="485" spans="11:11" ht="13">
      <c r="K485" s="1"/>
    </row>
    <row r="486" spans="11:11" ht="13">
      <c r="K486" s="1"/>
    </row>
    <row r="487" spans="11:11" ht="13">
      <c r="K487" s="1"/>
    </row>
    <row r="488" spans="11:11" ht="13">
      <c r="K488" s="1"/>
    </row>
    <row r="489" spans="11:11" ht="13">
      <c r="K489" s="1"/>
    </row>
    <row r="490" spans="11:11" ht="13">
      <c r="K490" s="1"/>
    </row>
    <row r="491" spans="11:11" ht="13">
      <c r="K491" s="1"/>
    </row>
    <row r="492" spans="11:11" ht="13">
      <c r="K492" s="1"/>
    </row>
    <row r="493" spans="11:11" ht="13">
      <c r="K493" s="1"/>
    </row>
    <row r="494" spans="11:11" ht="13">
      <c r="K494" s="1"/>
    </row>
    <row r="495" spans="11:11" ht="13">
      <c r="K495" s="1"/>
    </row>
    <row r="496" spans="11:11" ht="13">
      <c r="K496" s="1"/>
    </row>
    <row r="497" spans="11:11" ht="13">
      <c r="K497" s="1"/>
    </row>
    <row r="498" spans="11:11" ht="13">
      <c r="K498" s="1"/>
    </row>
    <row r="499" spans="11:11" ht="13">
      <c r="K499" s="1"/>
    </row>
    <row r="500" spans="11:11" ht="13">
      <c r="K500" s="1"/>
    </row>
    <row r="501" spans="11:11" ht="13">
      <c r="K501" s="1"/>
    </row>
    <row r="502" spans="11:11" ht="13">
      <c r="K502" s="1"/>
    </row>
    <row r="503" spans="11:11" ht="13">
      <c r="K503" s="1"/>
    </row>
    <row r="504" spans="11:11" ht="13">
      <c r="K504" s="1"/>
    </row>
    <row r="505" spans="11:11" ht="13">
      <c r="K505" s="1"/>
    </row>
    <row r="506" spans="11:11" ht="13">
      <c r="K506" s="1"/>
    </row>
    <row r="507" spans="11:11" ht="13">
      <c r="K507" s="1"/>
    </row>
    <row r="508" spans="11:11" ht="13">
      <c r="K508" s="1"/>
    </row>
    <row r="509" spans="11:11" ht="13">
      <c r="K509" s="1"/>
    </row>
    <row r="510" spans="11:11" ht="13">
      <c r="K510" s="1"/>
    </row>
    <row r="511" spans="11:11" ht="13">
      <c r="K511" s="1"/>
    </row>
    <row r="512" spans="11:11" ht="13">
      <c r="K512" s="1"/>
    </row>
    <row r="513" spans="11:11" ht="13">
      <c r="K513" s="1"/>
    </row>
    <row r="514" spans="11:11" ht="13">
      <c r="K514" s="1"/>
    </row>
    <row r="515" spans="11:11" ht="13">
      <c r="K515" s="1"/>
    </row>
    <row r="516" spans="11:11" ht="13">
      <c r="K516" s="1"/>
    </row>
    <row r="517" spans="11:11" ht="13">
      <c r="K517" s="1"/>
    </row>
    <row r="518" spans="11:11" ht="13">
      <c r="K518" s="1"/>
    </row>
    <row r="519" spans="11:11" ht="13">
      <c r="K519" s="1"/>
    </row>
    <row r="520" spans="11:11" ht="13">
      <c r="K520" s="1"/>
    </row>
    <row r="521" spans="11:11" ht="13">
      <c r="K521" s="1"/>
    </row>
    <row r="522" spans="11:11" ht="13">
      <c r="K522" s="1"/>
    </row>
    <row r="523" spans="11:11" ht="13">
      <c r="K523" s="1"/>
    </row>
    <row r="524" spans="11:11" ht="13">
      <c r="K524" s="1"/>
    </row>
    <row r="525" spans="11:11" ht="13">
      <c r="K525" s="1"/>
    </row>
    <row r="526" spans="11:11" ht="13">
      <c r="K526" s="1"/>
    </row>
    <row r="527" spans="11:11" ht="13">
      <c r="K527" s="1"/>
    </row>
    <row r="528" spans="11:11" ht="13">
      <c r="K528" s="1"/>
    </row>
    <row r="529" spans="11:11" ht="13">
      <c r="K529" s="1"/>
    </row>
    <row r="530" spans="11:11" ht="13">
      <c r="K530" s="1"/>
    </row>
    <row r="531" spans="11:11" ht="13">
      <c r="K531" s="1"/>
    </row>
    <row r="532" spans="11:11" ht="13">
      <c r="K532" s="1"/>
    </row>
    <row r="533" spans="11:11" ht="13">
      <c r="K533" s="1"/>
    </row>
    <row r="534" spans="11:11" ht="13">
      <c r="K534" s="1"/>
    </row>
    <row r="535" spans="11:11" ht="13">
      <c r="K535" s="1"/>
    </row>
    <row r="536" spans="11:11" ht="13">
      <c r="K536" s="1"/>
    </row>
    <row r="537" spans="11:11" ht="13">
      <c r="K537" s="1"/>
    </row>
    <row r="538" spans="11:11" ht="13">
      <c r="K538" s="1"/>
    </row>
    <row r="539" spans="11:11" ht="13">
      <c r="K539" s="1"/>
    </row>
    <row r="540" spans="11:11" ht="13">
      <c r="K540" s="1"/>
    </row>
    <row r="541" spans="11:11" ht="13">
      <c r="K541" s="1"/>
    </row>
    <row r="542" spans="11:11" ht="13">
      <c r="K542" s="1"/>
    </row>
    <row r="543" spans="11:11" ht="13">
      <c r="K543" s="1"/>
    </row>
    <row r="544" spans="11:11" ht="13">
      <c r="K544" s="1"/>
    </row>
    <row r="545" spans="11:11" ht="13">
      <c r="K545" s="1"/>
    </row>
    <row r="546" spans="11:11" ht="13">
      <c r="K546" s="1"/>
    </row>
    <row r="547" spans="11:11" ht="13">
      <c r="K547" s="1"/>
    </row>
    <row r="548" spans="11:11" ht="13">
      <c r="K548" s="1"/>
    </row>
    <row r="549" spans="11:11" ht="13">
      <c r="K549" s="1"/>
    </row>
    <row r="550" spans="11:11" ht="13">
      <c r="K550" s="1"/>
    </row>
    <row r="551" spans="11:11" ht="13">
      <c r="K551" s="1"/>
    </row>
    <row r="552" spans="11:11" ht="13">
      <c r="K552" s="1"/>
    </row>
    <row r="553" spans="11:11" ht="13">
      <c r="K553" s="1"/>
    </row>
    <row r="554" spans="11:11" ht="13">
      <c r="K554" s="1"/>
    </row>
    <row r="555" spans="11:11" ht="13">
      <c r="K555" s="1"/>
    </row>
    <row r="556" spans="11:11" ht="13">
      <c r="K556" s="1"/>
    </row>
    <row r="557" spans="11:11" ht="13">
      <c r="K557" s="1"/>
    </row>
    <row r="558" spans="11:11" ht="13">
      <c r="K558" s="1"/>
    </row>
    <row r="559" spans="11:11" ht="13">
      <c r="K559" s="1"/>
    </row>
    <row r="560" spans="11:11" ht="13">
      <c r="K560" s="1"/>
    </row>
    <row r="561" spans="11:11" ht="13">
      <c r="K561" s="1"/>
    </row>
    <row r="562" spans="11:11" ht="13">
      <c r="K562" s="1"/>
    </row>
    <row r="563" spans="11:11" ht="13">
      <c r="K563" s="1"/>
    </row>
    <row r="564" spans="11:11" ht="13">
      <c r="K564" s="1"/>
    </row>
    <row r="565" spans="11:11" ht="13">
      <c r="K565" s="1"/>
    </row>
    <row r="566" spans="11:11" ht="13">
      <c r="K566" s="1"/>
    </row>
    <row r="567" spans="11:11" ht="13">
      <c r="K567" s="1"/>
    </row>
    <row r="568" spans="11:11" ht="13">
      <c r="K568" s="1"/>
    </row>
    <row r="569" spans="11:11" ht="13">
      <c r="K569" s="1"/>
    </row>
    <row r="570" spans="11:11" ht="13">
      <c r="K570" s="1"/>
    </row>
    <row r="571" spans="11:11" ht="13">
      <c r="K571" s="1"/>
    </row>
    <row r="572" spans="11:11" ht="13">
      <c r="K572" s="1"/>
    </row>
    <row r="573" spans="11:11" ht="13">
      <c r="K573" s="1"/>
    </row>
    <row r="574" spans="11:11" ht="13">
      <c r="K574" s="1"/>
    </row>
    <row r="575" spans="11:11" ht="13">
      <c r="K575" s="1"/>
    </row>
    <row r="576" spans="11:11" ht="13">
      <c r="K576" s="1"/>
    </row>
    <row r="577" spans="11:11" ht="13">
      <c r="K577" s="1"/>
    </row>
    <row r="578" spans="11:11" ht="13">
      <c r="K578" s="1"/>
    </row>
    <row r="579" spans="11:11" ht="13">
      <c r="K579" s="1"/>
    </row>
    <row r="580" spans="11:11" ht="13">
      <c r="K580" s="1"/>
    </row>
    <row r="581" spans="11:11" ht="13">
      <c r="K581" s="1"/>
    </row>
    <row r="582" spans="11:11" ht="13">
      <c r="K582" s="1"/>
    </row>
    <row r="583" spans="11:11" ht="13">
      <c r="K583" s="1"/>
    </row>
    <row r="584" spans="11:11" ht="13">
      <c r="K584" s="1"/>
    </row>
    <row r="585" spans="11:11" ht="13">
      <c r="K585" s="1"/>
    </row>
    <row r="586" spans="11:11" ht="13">
      <c r="K586" s="1"/>
    </row>
    <row r="587" spans="11:11" ht="13">
      <c r="K587" s="1"/>
    </row>
    <row r="588" spans="11:11" ht="13">
      <c r="K588" s="1"/>
    </row>
    <row r="589" spans="11:11" ht="13">
      <c r="K589" s="1"/>
    </row>
    <row r="590" spans="11:11" ht="13">
      <c r="K590" s="1"/>
    </row>
    <row r="591" spans="11:11" ht="13">
      <c r="K591" s="1"/>
    </row>
    <row r="592" spans="11:11" ht="13">
      <c r="K592" s="1"/>
    </row>
    <row r="593" spans="11:11" ht="13">
      <c r="K593" s="1"/>
    </row>
    <row r="594" spans="11:11" ht="13">
      <c r="K594" s="1"/>
    </row>
    <row r="595" spans="11:11" ht="13">
      <c r="K595" s="1"/>
    </row>
    <row r="596" spans="11:11" ht="13">
      <c r="K596" s="1"/>
    </row>
    <row r="597" spans="11:11" ht="13">
      <c r="K597" s="1"/>
    </row>
    <row r="598" spans="11:11" ht="13">
      <c r="K598" s="1"/>
    </row>
    <row r="599" spans="11:11" ht="13">
      <c r="K599" s="1"/>
    </row>
    <row r="600" spans="11:11" ht="13">
      <c r="K600" s="1"/>
    </row>
    <row r="601" spans="11:11" ht="13">
      <c r="K601" s="1"/>
    </row>
    <row r="602" spans="11:11" ht="13">
      <c r="K602" s="1"/>
    </row>
    <row r="603" spans="11:11" ht="13">
      <c r="K603" s="1"/>
    </row>
    <row r="604" spans="11:11" ht="13">
      <c r="K604" s="1"/>
    </row>
    <row r="605" spans="11:11" ht="13">
      <c r="K605" s="1"/>
    </row>
    <row r="606" spans="11:11" ht="13">
      <c r="K606" s="1"/>
    </row>
    <row r="607" spans="11:11" ht="13">
      <c r="K607" s="1"/>
    </row>
    <row r="608" spans="11:11" ht="13">
      <c r="K608" s="1"/>
    </row>
    <row r="609" spans="11:11" ht="13">
      <c r="K609" s="1"/>
    </row>
    <row r="610" spans="11:11" ht="13">
      <c r="K610" s="1"/>
    </row>
    <row r="611" spans="11:11" ht="13">
      <c r="K611" s="1"/>
    </row>
    <row r="612" spans="11:11" ht="13">
      <c r="K612" s="1"/>
    </row>
    <row r="613" spans="11:11" ht="13">
      <c r="K613" s="1"/>
    </row>
    <row r="614" spans="11:11" ht="13">
      <c r="K614" s="1"/>
    </row>
    <row r="615" spans="11:11" ht="13">
      <c r="K615" s="1"/>
    </row>
    <row r="616" spans="11:11" ht="13">
      <c r="K616" s="1"/>
    </row>
    <row r="617" spans="11:11" ht="13">
      <c r="K617" s="1"/>
    </row>
    <row r="618" spans="11:11" ht="13">
      <c r="K618" s="1"/>
    </row>
    <row r="619" spans="11:11" ht="13">
      <c r="K619" s="1"/>
    </row>
    <row r="620" spans="11:11" ht="13">
      <c r="K620" s="1"/>
    </row>
    <row r="621" spans="11:11" ht="13">
      <c r="K621" s="1"/>
    </row>
    <row r="622" spans="11:11" ht="13">
      <c r="K622" s="1"/>
    </row>
    <row r="623" spans="11:11" ht="13">
      <c r="K623" s="1"/>
    </row>
    <row r="624" spans="11:11" ht="13">
      <c r="K624" s="1"/>
    </row>
    <row r="625" spans="11:11" ht="13">
      <c r="K625" s="1"/>
    </row>
    <row r="626" spans="11:11" ht="13">
      <c r="K626" s="1"/>
    </row>
    <row r="627" spans="11:11" ht="13">
      <c r="K627" s="1"/>
    </row>
    <row r="628" spans="11:11" ht="13">
      <c r="K628" s="1"/>
    </row>
    <row r="629" spans="11:11" ht="13">
      <c r="K629" s="1"/>
    </row>
    <row r="630" spans="11:11" ht="13">
      <c r="K630" s="1"/>
    </row>
    <row r="631" spans="11:11" ht="13">
      <c r="K631" s="1"/>
    </row>
    <row r="632" spans="11:11" ht="13">
      <c r="K632" s="1"/>
    </row>
    <row r="633" spans="11:11" ht="13">
      <c r="K633" s="1"/>
    </row>
    <row r="634" spans="11:11" ht="13">
      <c r="K634" s="1"/>
    </row>
    <row r="635" spans="11:11" ht="13">
      <c r="K635" s="1"/>
    </row>
    <row r="636" spans="11:11" ht="13">
      <c r="K636" s="1"/>
    </row>
    <row r="637" spans="11:11" ht="13">
      <c r="K637" s="1"/>
    </row>
    <row r="638" spans="11:11" ht="13">
      <c r="K638" s="1"/>
    </row>
    <row r="639" spans="11:11" ht="13">
      <c r="K639" s="1"/>
    </row>
    <row r="640" spans="11:11" ht="13">
      <c r="K640" s="1"/>
    </row>
    <row r="641" spans="11:11" ht="13">
      <c r="K641" s="1"/>
    </row>
    <row r="642" spans="11:11" ht="13">
      <c r="K642" s="1"/>
    </row>
    <row r="643" spans="11:11" ht="13">
      <c r="K643" s="1"/>
    </row>
    <row r="644" spans="11:11" ht="13">
      <c r="K644" s="1"/>
    </row>
    <row r="645" spans="11:11" ht="13">
      <c r="K645" s="1"/>
    </row>
    <row r="646" spans="11:11" ht="13">
      <c r="K646" s="1"/>
    </row>
    <row r="647" spans="11:11" ht="13">
      <c r="K647" s="1"/>
    </row>
    <row r="648" spans="11:11" ht="13">
      <c r="K648" s="1"/>
    </row>
    <row r="649" spans="11:11" ht="13">
      <c r="K649" s="1"/>
    </row>
    <row r="650" spans="11:11" ht="13">
      <c r="K650" s="1"/>
    </row>
    <row r="651" spans="11:11" ht="13">
      <c r="K651" s="1"/>
    </row>
    <row r="652" spans="11:11" ht="13">
      <c r="K652" s="1"/>
    </row>
    <row r="653" spans="11:11" ht="13">
      <c r="K653" s="1"/>
    </row>
    <row r="654" spans="11:11" ht="13">
      <c r="K654" s="1"/>
    </row>
    <row r="655" spans="11:11" ht="13">
      <c r="K655" s="1"/>
    </row>
    <row r="656" spans="11:11" ht="13">
      <c r="K656" s="1"/>
    </row>
    <row r="657" spans="11:11" ht="13">
      <c r="K657" s="1"/>
    </row>
    <row r="658" spans="11:11" ht="13">
      <c r="K658" s="1"/>
    </row>
    <row r="659" spans="11:11" ht="13">
      <c r="K659" s="1"/>
    </row>
    <row r="660" spans="11:11" ht="13">
      <c r="K660" s="1"/>
    </row>
    <row r="661" spans="11:11" ht="13">
      <c r="K661" s="1"/>
    </row>
    <row r="662" spans="11:11" ht="13">
      <c r="K662" s="1"/>
    </row>
    <row r="663" spans="11:11" ht="13">
      <c r="K663" s="1"/>
    </row>
    <row r="664" spans="11:11" ht="13">
      <c r="K664" s="1"/>
    </row>
    <row r="665" spans="11:11" ht="13">
      <c r="K665" s="1"/>
    </row>
    <row r="666" spans="11:11" ht="13">
      <c r="K666" s="1"/>
    </row>
    <row r="667" spans="11:11" ht="13">
      <c r="K667" s="1"/>
    </row>
    <row r="668" spans="11:11" ht="13">
      <c r="K668" s="1"/>
    </row>
    <row r="669" spans="11:11" ht="13">
      <c r="K669" s="1"/>
    </row>
    <row r="670" spans="11:11" ht="13">
      <c r="K670" s="1"/>
    </row>
    <row r="671" spans="11:11" ht="13">
      <c r="K671" s="1"/>
    </row>
    <row r="672" spans="11:11" ht="13">
      <c r="K672" s="1"/>
    </row>
    <row r="673" spans="11:11" ht="13">
      <c r="K673" s="1"/>
    </row>
    <row r="674" spans="11:11" ht="13">
      <c r="K674" s="1"/>
    </row>
    <row r="675" spans="11:11" ht="13">
      <c r="K675" s="1"/>
    </row>
    <row r="676" spans="11:11" ht="13">
      <c r="K676" s="1"/>
    </row>
    <row r="677" spans="11:11" ht="13">
      <c r="K677" s="1"/>
    </row>
    <row r="678" spans="11:11" ht="13">
      <c r="K678" s="1"/>
    </row>
    <row r="679" spans="11:11" ht="13">
      <c r="K679" s="1"/>
    </row>
    <row r="680" spans="11:11" ht="13">
      <c r="K680" s="1"/>
    </row>
    <row r="681" spans="11:11" ht="13">
      <c r="K681" s="1"/>
    </row>
    <row r="682" spans="11:11" ht="13">
      <c r="K682" s="1"/>
    </row>
    <row r="683" spans="11:11" ht="13">
      <c r="K683" s="1"/>
    </row>
    <row r="684" spans="11:11" ht="13">
      <c r="K684" s="1"/>
    </row>
    <row r="685" spans="11:11" ht="13">
      <c r="K685" s="1"/>
    </row>
    <row r="686" spans="11:11" ht="13">
      <c r="K686" s="1"/>
    </row>
    <row r="687" spans="11:11" ht="13">
      <c r="K687" s="1"/>
    </row>
    <row r="688" spans="11:11" ht="13">
      <c r="K688" s="1"/>
    </row>
    <row r="689" spans="11:11" ht="13">
      <c r="K689" s="1"/>
    </row>
    <row r="690" spans="11:11" ht="13">
      <c r="K690" s="1"/>
    </row>
    <row r="691" spans="11:11" ht="13">
      <c r="K691" s="1"/>
    </row>
    <row r="692" spans="11:11" ht="13">
      <c r="K692" s="1"/>
    </row>
    <row r="693" spans="11:11" ht="13">
      <c r="K693" s="1"/>
    </row>
    <row r="694" spans="11:11" ht="13">
      <c r="K694" s="1"/>
    </row>
    <row r="695" spans="11:11" ht="13">
      <c r="K695" s="1"/>
    </row>
    <row r="696" spans="11:11" ht="13">
      <c r="K696" s="1"/>
    </row>
    <row r="697" spans="11:11" ht="13">
      <c r="K697" s="1"/>
    </row>
    <row r="698" spans="11:11" ht="13">
      <c r="K698" s="1"/>
    </row>
    <row r="699" spans="11:11" ht="13">
      <c r="K699" s="1"/>
    </row>
    <row r="700" spans="11:11" ht="13">
      <c r="K700" s="1"/>
    </row>
    <row r="701" spans="11:11" ht="13">
      <c r="K701" s="1"/>
    </row>
    <row r="702" spans="11:11" ht="13">
      <c r="K702" s="1"/>
    </row>
    <row r="703" spans="11:11" ht="13">
      <c r="K703" s="1"/>
    </row>
    <row r="704" spans="11:11" ht="13">
      <c r="K704" s="1"/>
    </row>
    <row r="705" spans="11:11" ht="13">
      <c r="K705" s="1"/>
    </row>
    <row r="706" spans="11:11" ht="13">
      <c r="K706" s="1"/>
    </row>
    <row r="707" spans="11:11" ht="13">
      <c r="K707" s="1"/>
    </row>
    <row r="708" spans="11:11" ht="13">
      <c r="K708" s="1"/>
    </row>
    <row r="709" spans="11:11" ht="13">
      <c r="K709" s="1"/>
    </row>
    <row r="710" spans="11:11" ht="13">
      <c r="K710" s="1"/>
    </row>
    <row r="711" spans="11:11" ht="13">
      <c r="K711" s="1"/>
    </row>
    <row r="712" spans="11:11" ht="13">
      <c r="K712" s="1"/>
    </row>
    <row r="713" spans="11:11" ht="13">
      <c r="K713" s="1"/>
    </row>
    <row r="714" spans="11:11" ht="13">
      <c r="K714" s="1"/>
    </row>
    <row r="715" spans="11:11" ht="13">
      <c r="K715" s="1"/>
    </row>
    <row r="716" spans="11:11" ht="13">
      <c r="K716" s="1"/>
    </row>
    <row r="717" spans="11:11" ht="13">
      <c r="K717" s="1"/>
    </row>
    <row r="718" spans="11:11" ht="13">
      <c r="K718" s="1"/>
    </row>
    <row r="719" spans="11:11" ht="13">
      <c r="K719" s="1"/>
    </row>
    <row r="720" spans="11:11" ht="13">
      <c r="K720" s="1"/>
    </row>
    <row r="721" spans="11:11" ht="13">
      <c r="K721" s="1"/>
    </row>
    <row r="722" spans="11:11" ht="13">
      <c r="K722" s="1"/>
    </row>
    <row r="723" spans="11:11" ht="13">
      <c r="K723" s="1"/>
    </row>
    <row r="724" spans="11:11" ht="13">
      <c r="K724" s="1"/>
    </row>
    <row r="725" spans="11:11" ht="13">
      <c r="K725" s="1"/>
    </row>
    <row r="726" spans="11:11" ht="13">
      <c r="K726" s="1"/>
    </row>
    <row r="727" spans="11:11" ht="13">
      <c r="K727" s="1"/>
    </row>
    <row r="728" spans="11:11" ht="13">
      <c r="K728" s="1"/>
    </row>
    <row r="729" spans="11:11" ht="13">
      <c r="K729" s="1"/>
    </row>
    <row r="730" spans="11:11" ht="13">
      <c r="K730" s="1"/>
    </row>
    <row r="731" spans="11:11" ht="13">
      <c r="K731" s="1"/>
    </row>
    <row r="732" spans="11:11" ht="13">
      <c r="K732" s="1"/>
    </row>
    <row r="733" spans="11:11" ht="13">
      <c r="K733" s="1"/>
    </row>
    <row r="734" spans="11:11" ht="13">
      <c r="K734" s="1"/>
    </row>
    <row r="735" spans="11:11" ht="13">
      <c r="K735" s="1"/>
    </row>
    <row r="736" spans="11:11" ht="13">
      <c r="K736" s="1"/>
    </row>
    <row r="737" spans="11:11" ht="13">
      <c r="K737" s="1"/>
    </row>
    <row r="738" spans="11:11" ht="13">
      <c r="K738" s="1"/>
    </row>
    <row r="739" spans="11:11" ht="13">
      <c r="K739" s="1"/>
    </row>
    <row r="740" spans="11:11" ht="13">
      <c r="K740" s="1"/>
    </row>
    <row r="741" spans="11:11" ht="13">
      <c r="K741" s="1"/>
    </row>
    <row r="742" spans="11:11" ht="13">
      <c r="K742" s="1"/>
    </row>
    <row r="743" spans="11:11" ht="13">
      <c r="K743" s="1"/>
    </row>
    <row r="744" spans="11:11" ht="13">
      <c r="K744" s="1"/>
    </row>
    <row r="745" spans="11:11" ht="13">
      <c r="K745" s="1"/>
    </row>
    <row r="746" spans="11:11" ht="13">
      <c r="K746" s="1"/>
    </row>
    <row r="747" spans="11:11" ht="13">
      <c r="K747" s="1"/>
    </row>
    <row r="748" spans="11:11" ht="13">
      <c r="K748" s="1"/>
    </row>
    <row r="749" spans="11:11" ht="13">
      <c r="K749" s="1"/>
    </row>
    <row r="750" spans="11:11" ht="13">
      <c r="K750" s="1"/>
    </row>
    <row r="751" spans="11:11" ht="13">
      <c r="K751" s="1"/>
    </row>
    <row r="752" spans="11:11" ht="13">
      <c r="K752" s="1"/>
    </row>
    <row r="753" spans="11:11" ht="13">
      <c r="K753" s="1"/>
    </row>
    <row r="754" spans="11:11" ht="13">
      <c r="K754" s="1"/>
    </row>
    <row r="755" spans="11:11" ht="13">
      <c r="K755" s="1"/>
    </row>
    <row r="756" spans="11:11" ht="13">
      <c r="K756" s="1"/>
    </row>
    <row r="757" spans="11:11" ht="13">
      <c r="K757" s="1"/>
    </row>
    <row r="758" spans="11:11" ht="13">
      <c r="K758" s="1"/>
    </row>
    <row r="759" spans="11:11" ht="13">
      <c r="K759" s="1"/>
    </row>
    <row r="760" spans="11:11" ht="13">
      <c r="K760" s="1"/>
    </row>
    <row r="761" spans="11:11" ht="13">
      <c r="K761" s="1"/>
    </row>
    <row r="762" spans="11:11" ht="13">
      <c r="K762" s="1"/>
    </row>
    <row r="763" spans="11:11" ht="13">
      <c r="K763" s="1"/>
    </row>
    <row r="764" spans="11:11" ht="13">
      <c r="K764" s="1"/>
    </row>
    <row r="765" spans="11:11" ht="13">
      <c r="K765" s="1"/>
    </row>
    <row r="766" spans="11:11" ht="13">
      <c r="K766" s="1"/>
    </row>
    <row r="767" spans="11:11" ht="13">
      <c r="K767" s="1"/>
    </row>
    <row r="768" spans="11:11" ht="13">
      <c r="K768" s="1"/>
    </row>
    <row r="769" spans="11:11" ht="13">
      <c r="K769" s="1"/>
    </row>
    <row r="770" spans="11:11" ht="13">
      <c r="K770" s="1"/>
    </row>
    <row r="771" spans="11:11" ht="13">
      <c r="K771" s="1"/>
    </row>
    <row r="772" spans="11:11" ht="13">
      <c r="K772" s="1"/>
    </row>
    <row r="773" spans="11:11" ht="13">
      <c r="K773" s="1"/>
    </row>
    <row r="774" spans="11:11" ht="13">
      <c r="K774" s="1"/>
    </row>
    <row r="775" spans="11:11" ht="13">
      <c r="K775" s="1"/>
    </row>
    <row r="776" spans="11:11" ht="13">
      <c r="K776" s="1"/>
    </row>
    <row r="777" spans="11:11" ht="13">
      <c r="K777" s="1"/>
    </row>
    <row r="778" spans="11:11" ht="13">
      <c r="K778" s="1"/>
    </row>
    <row r="779" spans="11:11" ht="13">
      <c r="K779" s="1"/>
    </row>
    <row r="780" spans="11:11" ht="13">
      <c r="K780" s="1"/>
    </row>
    <row r="781" spans="11:11" ht="13">
      <c r="K781" s="1"/>
    </row>
    <row r="782" spans="11:11" ht="13">
      <c r="K782" s="1"/>
    </row>
    <row r="783" spans="11:11" ht="13">
      <c r="K783" s="1"/>
    </row>
    <row r="784" spans="11:11" ht="13">
      <c r="K784" s="1"/>
    </row>
    <row r="785" spans="11:11" ht="13">
      <c r="K785" s="1"/>
    </row>
    <row r="786" spans="11:11" ht="13">
      <c r="K786" s="1"/>
    </row>
    <row r="787" spans="11:11" ht="13">
      <c r="K787" s="1"/>
    </row>
    <row r="788" spans="11:11" ht="13">
      <c r="K788" s="1"/>
    </row>
    <row r="789" spans="11:11" ht="13">
      <c r="K789" s="1"/>
    </row>
    <row r="790" spans="11:11" ht="13">
      <c r="K790" s="1"/>
    </row>
    <row r="791" spans="11:11" ht="13">
      <c r="K791" s="1"/>
    </row>
    <row r="792" spans="11:11" ht="13">
      <c r="K792" s="1"/>
    </row>
    <row r="793" spans="11:11" ht="13">
      <c r="K793" s="1"/>
    </row>
    <row r="794" spans="11:11" ht="13">
      <c r="K794" s="1"/>
    </row>
    <row r="795" spans="11:11" ht="13">
      <c r="K795" s="1"/>
    </row>
    <row r="796" spans="11:11" ht="13">
      <c r="K796" s="1"/>
    </row>
    <row r="797" spans="11:11" ht="13">
      <c r="K797" s="1"/>
    </row>
    <row r="798" spans="11:11" ht="13">
      <c r="K798" s="1"/>
    </row>
    <row r="799" spans="11:11" ht="13">
      <c r="K799" s="1"/>
    </row>
    <row r="800" spans="11:11" ht="13">
      <c r="K800" s="1"/>
    </row>
    <row r="801" spans="11:11" ht="13">
      <c r="K801" s="1"/>
    </row>
    <row r="802" spans="11:11" ht="13">
      <c r="K802" s="1"/>
    </row>
    <row r="803" spans="11:11" ht="13">
      <c r="K803" s="1"/>
    </row>
    <row r="804" spans="11:11" ht="13">
      <c r="K804" s="1"/>
    </row>
    <row r="805" spans="11:11" ht="13">
      <c r="K805" s="1"/>
    </row>
    <row r="806" spans="11:11" ht="13">
      <c r="K806" s="1"/>
    </row>
    <row r="807" spans="11:11" ht="13">
      <c r="K807" s="1"/>
    </row>
    <row r="808" spans="11:11" ht="13">
      <c r="K808" s="1"/>
    </row>
    <row r="809" spans="11:11" ht="13">
      <c r="K809" s="1"/>
    </row>
    <row r="810" spans="11:11" ht="13">
      <c r="K810" s="1"/>
    </row>
    <row r="811" spans="11:11" ht="13">
      <c r="K811" s="1"/>
    </row>
    <row r="812" spans="11:11" ht="13">
      <c r="K812" s="1"/>
    </row>
    <row r="813" spans="11:11" ht="13">
      <c r="K813" s="1"/>
    </row>
    <row r="814" spans="11:11" ht="13">
      <c r="K814" s="1"/>
    </row>
    <row r="815" spans="11:11" ht="13">
      <c r="K815" s="1"/>
    </row>
    <row r="816" spans="11:11" ht="13">
      <c r="K816" s="1"/>
    </row>
    <row r="817" spans="11:11" ht="13">
      <c r="K817" s="1"/>
    </row>
    <row r="818" spans="11:11" ht="13">
      <c r="K818" s="1"/>
    </row>
    <row r="819" spans="11:11" ht="13">
      <c r="K819" s="1"/>
    </row>
    <row r="820" spans="11:11" ht="13">
      <c r="K820" s="1"/>
    </row>
    <row r="821" spans="11:11" ht="13">
      <c r="K821" s="1"/>
    </row>
    <row r="822" spans="11:11" ht="13">
      <c r="K822" s="1"/>
    </row>
    <row r="823" spans="11:11" ht="13">
      <c r="K823" s="1"/>
    </row>
    <row r="824" spans="11:11" ht="13">
      <c r="K824" s="1"/>
    </row>
    <row r="825" spans="11:11" ht="13">
      <c r="K825" s="1"/>
    </row>
    <row r="826" spans="11:11" ht="13">
      <c r="K826" s="1"/>
    </row>
    <row r="827" spans="11:11" ht="13">
      <c r="K827" s="1"/>
    </row>
    <row r="828" spans="11:11" ht="13">
      <c r="K828" s="1"/>
    </row>
    <row r="829" spans="11:11" ht="13">
      <c r="K829" s="1"/>
    </row>
    <row r="830" spans="11:11" ht="13">
      <c r="K830" s="1"/>
    </row>
    <row r="831" spans="11:11" ht="13">
      <c r="K831" s="1"/>
    </row>
    <row r="832" spans="11:11" ht="13">
      <c r="K832" s="1"/>
    </row>
    <row r="833" spans="11:11" ht="13">
      <c r="K833" s="1"/>
    </row>
    <row r="834" spans="11:11" ht="13">
      <c r="K834" s="1"/>
    </row>
    <row r="835" spans="11:11" ht="13">
      <c r="K835" s="1"/>
    </row>
    <row r="836" spans="11:11" ht="13">
      <c r="K836" s="1"/>
    </row>
    <row r="837" spans="11:11" ht="13">
      <c r="K837" s="1"/>
    </row>
    <row r="838" spans="11:11" ht="13">
      <c r="K838" s="1"/>
    </row>
    <row r="839" spans="11:11" ht="13">
      <c r="K839" s="1"/>
    </row>
    <row r="840" spans="11:11" ht="13">
      <c r="K840" s="1"/>
    </row>
    <row r="841" spans="11:11" ht="13">
      <c r="K841" s="1"/>
    </row>
    <row r="842" spans="11:11" ht="13">
      <c r="K842" s="1"/>
    </row>
    <row r="843" spans="11:11" ht="13">
      <c r="K843" s="1"/>
    </row>
    <row r="844" spans="11:11" ht="13">
      <c r="K844" s="1"/>
    </row>
    <row r="845" spans="11:11" ht="13">
      <c r="K845" s="1"/>
    </row>
    <row r="846" spans="11:11" ht="13">
      <c r="K846" s="1"/>
    </row>
    <row r="847" spans="11:11" ht="13">
      <c r="K847" s="1"/>
    </row>
    <row r="848" spans="11:11" ht="13">
      <c r="K848" s="1"/>
    </row>
    <row r="849" spans="11:11" ht="13">
      <c r="K849" s="1"/>
    </row>
    <row r="850" spans="11:11" ht="13">
      <c r="K850" s="1"/>
    </row>
    <row r="851" spans="11:11" ht="13">
      <c r="K851" s="1"/>
    </row>
    <row r="852" spans="11:11" ht="13">
      <c r="K852" s="1"/>
    </row>
    <row r="853" spans="11:11" ht="13">
      <c r="K853" s="1"/>
    </row>
    <row r="854" spans="11:11" ht="13">
      <c r="K854" s="1"/>
    </row>
    <row r="855" spans="11:11" ht="13">
      <c r="K855" s="1"/>
    </row>
    <row r="856" spans="11:11" ht="13">
      <c r="K856" s="1"/>
    </row>
    <row r="857" spans="11:11" ht="13">
      <c r="K857" s="1"/>
    </row>
    <row r="858" spans="11:11" ht="13">
      <c r="K858" s="1"/>
    </row>
    <row r="859" spans="11:11" ht="13">
      <c r="K859" s="1"/>
    </row>
    <row r="860" spans="11:11" ht="13">
      <c r="K860" s="1"/>
    </row>
    <row r="861" spans="11:11" ht="13">
      <c r="K861" s="1"/>
    </row>
    <row r="862" spans="11:11" ht="13">
      <c r="K862" s="1"/>
    </row>
    <row r="863" spans="11:11" ht="13">
      <c r="K863" s="1"/>
    </row>
    <row r="864" spans="11:11" ht="13">
      <c r="K864" s="1"/>
    </row>
    <row r="865" spans="11:11" ht="13">
      <c r="K865" s="1"/>
    </row>
    <row r="866" spans="11:11" ht="13">
      <c r="K866" s="1"/>
    </row>
    <row r="867" spans="11:11" ht="13">
      <c r="K867" s="1"/>
    </row>
    <row r="868" spans="11:11" ht="13">
      <c r="K868" s="1"/>
    </row>
    <row r="869" spans="11:11" ht="13">
      <c r="K869" s="1"/>
    </row>
    <row r="870" spans="11:11" ht="13">
      <c r="K870" s="1"/>
    </row>
    <row r="871" spans="11:11" ht="13">
      <c r="K871" s="1"/>
    </row>
    <row r="872" spans="11:11" ht="13">
      <c r="K872" s="1"/>
    </row>
    <row r="873" spans="11:11" ht="13">
      <c r="K873" s="1"/>
    </row>
    <row r="874" spans="11:11" ht="13">
      <c r="K874" s="1"/>
    </row>
    <row r="875" spans="11:11" ht="13">
      <c r="K875" s="1"/>
    </row>
    <row r="876" spans="11:11" ht="13">
      <c r="K876" s="1"/>
    </row>
    <row r="877" spans="11:11" ht="13">
      <c r="K877" s="1"/>
    </row>
    <row r="878" spans="11:11" ht="13">
      <c r="K878" s="1"/>
    </row>
    <row r="879" spans="11:11" ht="13">
      <c r="K879" s="1"/>
    </row>
    <row r="880" spans="11:11" ht="13">
      <c r="K880" s="1"/>
    </row>
    <row r="881" spans="11:11" ht="13">
      <c r="K881" s="1"/>
    </row>
    <row r="882" spans="11:11" ht="13">
      <c r="K882" s="1"/>
    </row>
    <row r="883" spans="11:11" ht="13">
      <c r="K883" s="1"/>
    </row>
    <row r="884" spans="11:11" ht="13">
      <c r="K884" s="1"/>
    </row>
    <row r="885" spans="11:11" ht="13">
      <c r="K885" s="1"/>
    </row>
    <row r="886" spans="11:11" ht="13">
      <c r="K886" s="1"/>
    </row>
    <row r="887" spans="11:11" ht="13">
      <c r="K887" s="1"/>
    </row>
    <row r="888" spans="11:11" ht="13">
      <c r="K888" s="1"/>
    </row>
    <row r="889" spans="11:11" ht="13">
      <c r="K889" s="1"/>
    </row>
    <row r="890" spans="11:11" ht="13">
      <c r="K890" s="1"/>
    </row>
    <row r="891" spans="11:11" ht="13">
      <c r="K891" s="1"/>
    </row>
    <row r="892" spans="11:11" ht="13">
      <c r="K892" s="1"/>
    </row>
    <row r="893" spans="11:11" ht="13">
      <c r="K893" s="1"/>
    </row>
    <row r="894" spans="11:11" ht="13">
      <c r="K894" s="1"/>
    </row>
    <row r="895" spans="11:11" ht="13">
      <c r="K895" s="1"/>
    </row>
    <row r="896" spans="11:11" ht="13">
      <c r="K896" s="1"/>
    </row>
    <row r="897" spans="11:11" ht="13">
      <c r="K897" s="1"/>
    </row>
    <row r="898" spans="11:11" ht="13">
      <c r="K898" s="1"/>
    </row>
    <row r="899" spans="11:11" ht="13">
      <c r="K899" s="1"/>
    </row>
    <row r="900" spans="11:11" ht="13">
      <c r="K900" s="1"/>
    </row>
    <row r="901" spans="11:11" ht="13">
      <c r="K901" s="1"/>
    </row>
    <row r="902" spans="11:11" ht="13">
      <c r="K902" s="1"/>
    </row>
    <row r="903" spans="11:11" ht="13">
      <c r="K903" s="1"/>
    </row>
    <row r="904" spans="11:11" ht="13">
      <c r="K904" s="1"/>
    </row>
    <row r="905" spans="11:11" ht="13">
      <c r="K905" s="1"/>
    </row>
    <row r="906" spans="11:11" ht="13">
      <c r="K906" s="1"/>
    </row>
    <row r="907" spans="11:11" ht="13">
      <c r="K907" s="1"/>
    </row>
    <row r="908" spans="11:11" ht="13">
      <c r="K908" s="1"/>
    </row>
    <row r="909" spans="11:11" ht="13">
      <c r="K909" s="1"/>
    </row>
    <row r="910" spans="11:11" ht="13">
      <c r="K910" s="1"/>
    </row>
    <row r="911" spans="11:11" ht="13">
      <c r="K911" s="1"/>
    </row>
    <row r="912" spans="11:11" ht="13">
      <c r="K912" s="1"/>
    </row>
    <row r="913" spans="11:11" ht="13">
      <c r="K913" s="1"/>
    </row>
    <row r="914" spans="11:11" ht="13">
      <c r="K914" s="1"/>
    </row>
    <row r="915" spans="11:11" ht="13">
      <c r="K915" s="1"/>
    </row>
    <row r="916" spans="11:11" ht="13">
      <c r="K916" s="1"/>
    </row>
    <row r="917" spans="11:11" ht="13">
      <c r="K917" s="1"/>
    </row>
    <row r="918" spans="11:11" ht="13">
      <c r="K918" s="1"/>
    </row>
    <row r="919" spans="11:11" ht="13">
      <c r="K919" s="1"/>
    </row>
    <row r="920" spans="11:11" ht="13">
      <c r="K920" s="1"/>
    </row>
    <row r="921" spans="11:11" ht="13">
      <c r="K921" s="1"/>
    </row>
    <row r="922" spans="11:11" ht="13">
      <c r="K922" s="1"/>
    </row>
    <row r="923" spans="11:11" ht="13">
      <c r="K923" s="1"/>
    </row>
    <row r="924" spans="11:11" ht="13">
      <c r="K924" s="1"/>
    </row>
    <row r="925" spans="11:11" ht="13">
      <c r="K925" s="1"/>
    </row>
    <row r="926" spans="11:11" ht="13">
      <c r="K926" s="1"/>
    </row>
    <row r="927" spans="11:11" ht="13">
      <c r="K927" s="1"/>
    </row>
    <row r="928" spans="11:11" ht="13">
      <c r="K928" s="1"/>
    </row>
    <row r="929" spans="11:11" ht="13">
      <c r="K929" s="1"/>
    </row>
    <row r="930" spans="11:11" ht="13">
      <c r="K930" s="1"/>
    </row>
    <row r="931" spans="11:11" ht="13">
      <c r="K931" s="1"/>
    </row>
  </sheetData>
  <conditionalFormatting sqref="J1:J2 X2:X75 AB3:AB11 J5:J998 AB14 AB16:AB49 Z50:Z60 Z62:Z66 Z68:Z75">
    <cfRule type="cellIs" dxfId="121" priority="10" operator="lessThan">
      <formula>-0.07</formula>
    </cfRule>
    <cfRule type="cellIs" dxfId="120" priority="9" operator="greaterThan">
      <formula>0</formula>
    </cfRule>
    <cfRule type="cellIs" dxfId="119" priority="8" operator="greaterThan">
      <formula>0.2</formula>
    </cfRule>
    <cfRule type="cellIs" dxfId="118" priority="11" operator="lessThan">
      <formula>0</formula>
    </cfRule>
  </conditionalFormatting>
  <conditionalFormatting sqref="O1:O2 U1">
    <cfRule type="cellIs" dxfId="117" priority="6" operator="lessThan">
      <formula>1</formula>
    </cfRule>
  </conditionalFormatting>
  <conditionalFormatting sqref="O1:O2">
    <cfRule type="cellIs" dxfId="116" priority="2" operator="greaterThan">
      <formula>5</formula>
    </cfRule>
    <cfRule type="cellIs" dxfId="115" priority="1" operator="lessThan">
      <formula>-2</formula>
    </cfRule>
  </conditionalFormatting>
  <conditionalFormatting sqref="P1">
    <cfRule type="cellIs" dxfId="114" priority="3" operator="lessThan">
      <formula>0</formula>
    </cfRule>
  </conditionalFormatting>
  <conditionalFormatting sqref="Q1">
    <cfRule type="cellIs" dxfId="113" priority="5" operator="greaterThan">
      <formula>0.04</formula>
    </cfRule>
    <cfRule type="cellIs" dxfId="112" priority="4" operator="lessThan">
      <formula>-0.02</formula>
    </cfRule>
  </conditionalFormatting>
  <conditionalFormatting sqref="R1">
    <cfRule type="cellIs" dxfId="111" priority="13" operator="lessThan">
      <formula>0</formula>
    </cfRule>
    <cfRule type="cellIs" dxfId="110" priority="12" operator="greaterThan">
      <formula>0</formula>
    </cfRule>
  </conditionalFormatting>
  <conditionalFormatting sqref="T1">
    <cfRule type="cellIs" dxfId="109" priority="7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4"/>
  <sheetViews>
    <sheetView workbookViewId="0"/>
  </sheetViews>
  <sheetFormatPr baseColWidth="10" defaultColWidth="12.6640625" defaultRowHeight="15" customHeight="1"/>
  <sheetData>
    <row r="1" spans="1:45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9" t="s">
        <v>89</v>
      </c>
      <c r="F1" s="10" t="s">
        <v>209</v>
      </c>
      <c r="G1" s="11" t="s">
        <v>210</v>
      </c>
      <c r="H1" s="11" t="s">
        <v>97</v>
      </c>
      <c r="I1" s="9" t="s">
        <v>211</v>
      </c>
      <c r="J1" s="29" t="s">
        <v>99</v>
      </c>
      <c r="K1" s="10" t="s">
        <v>100</v>
      </c>
      <c r="L1" s="3"/>
      <c r="M1" s="5" t="s">
        <v>104</v>
      </c>
      <c r="N1" s="49" t="e">
        <f>N4/N2</f>
        <v>#DIV/0!</v>
      </c>
      <c r="O1" s="50" t="s">
        <v>187</v>
      </c>
      <c r="P1" s="74" t="s">
        <v>212</v>
      </c>
      <c r="Q1" s="75" t="s">
        <v>213</v>
      </c>
      <c r="R1" s="76"/>
      <c r="S1" s="9"/>
      <c r="T1" s="9"/>
      <c r="U1" s="9"/>
      <c r="V1" s="9"/>
      <c r="W1" s="11"/>
      <c r="X1" s="9"/>
      <c r="Y1" s="3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">
      <c r="B2" s="77">
        <v>45397</v>
      </c>
      <c r="C2" s="19">
        <f ca="1">TODAY()</f>
        <v>45396</v>
      </c>
      <c r="D2" s="78"/>
      <c r="E2" s="79"/>
      <c r="F2" s="80">
        <f>SUM(F3:F218)</f>
        <v>0</v>
      </c>
      <c r="G2" s="53" t="s">
        <v>106</v>
      </c>
      <c r="H2" s="53" t="e">
        <f ca="1">_xludf.DAYS(C2,B2)</f>
        <v>#NAME?</v>
      </c>
      <c r="I2" s="78"/>
      <c r="J2" s="81" t="e">
        <f>I2/K2</f>
        <v>#DIV/0!</v>
      </c>
      <c r="K2" s="80"/>
      <c r="L2" s="28"/>
      <c r="M2" s="28" t="s">
        <v>107</v>
      </c>
      <c r="N2" s="82">
        <f>N3+N4</f>
        <v>0</v>
      </c>
      <c r="O2" s="56">
        <f>SUM(K4:K53)+F2</f>
        <v>0</v>
      </c>
      <c r="P2" s="78"/>
      <c r="Q2" s="3" t="s">
        <v>83</v>
      </c>
      <c r="R2" s="3" t="s">
        <v>92</v>
      </c>
      <c r="S2" s="3" t="s">
        <v>93</v>
      </c>
      <c r="T2" s="3" t="s">
        <v>94</v>
      </c>
      <c r="U2" s="3" t="s">
        <v>89</v>
      </c>
      <c r="V2" s="3" t="s">
        <v>115</v>
      </c>
      <c r="W2" s="3" t="s">
        <v>214</v>
      </c>
      <c r="X2" s="29" t="s">
        <v>99</v>
      </c>
      <c r="Y2" s="12" t="s">
        <v>215</v>
      </c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</row>
    <row r="3" spans="1:45" ht="16">
      <c r="L3" s="82"/>
      <c r="M3" s="82" t="s">
        <v>109</v>
      </c>
      <c r="N3" s="83">
        <f>COUNTIF(F:F, "&lt;0")</f>
        <v>0</v>
      </c>
      <c r="O3" s="78"/>
      <c r="P3" s="78"/>
      <c r="R3" s="38"/>
      <c r="U3" s="20"/>
      <c r="X3" s="15"/>
      <c r="Y3" s="15"/>
      <c r="AB3" s="15"/>
      <c r="AC3" s="1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</row>
    <row r="4" spans="1:45" ht="14">
      <c r="M4" s="82" t="s">
        <v>110</v>
      </c>
      <c r="N4" s="83">
        <f>COUNTIF(F:F, "&gt;0")</f>
        <v>0</v>
      </c>
      <c r="R4" s="32"/>
      <c r="U4" s="20"/>
      <c r="X4" s="15"/>
      <c r="Y4" s="15"/>
      <c r="AB4" s="15"/>
      <c r="AC4" s="1"/>
    </row>
  </sheetData>
  <conditionalFormatting sqref="J1:J2 X2:X4 AB3:AB4">
    <cfRule type="cellIs" dxfId="108" priority="10" operator="lessThan">
      <formula>-0.07</formula>
    </cfRule>
    <cfRule type="cellIs" dxfId="107" priority="9" operator="greaterThan">
      <formula>0</formula>
    </cfRule>
    <cfRule type="cellIs" dxfId="106" priority="8" operator="greaterThan">
      <formula>0.2</formula>
    </cfRule>
    <cfRule type="cellIs" dxfId="105" priority="11" operator="lessThan">
      <formula>0</formula>
    </cfRule>
  </conditionalFormatting>
  <conditionalFormatting sqref="O1:O2 U1">
    <cfRule type="cellIs" dxfId="104" priority="6" operator="lessThan">
      <formula>1</formula>
    </cfRule>
  </conditionalFormatting>
  <conditionalFormatting sqref="O1:O2">
    <cfRule type="cellIs" dxfId="103" priority="2" operator="greaterThan">
      <formula>5</formula>
    </cfRule>
    <cfRule type="cellIs" dxfId="102" priority="1" operator="lessThan">
      <formula>-2</formula>
    </cfRule>
  </conditionalFormatting>
  <conditionalFormatting sqref="P1">
    <cfRule type="cellIs" dxfId="101" priority="3" operator="lessThan">
      <formula>0</formula>
    </cfRule>
  </conditionalFormatting>
  <conditionalFormatting sqref="Q1">
    <cfRule type="cellIs" dxfId="100" priority="5" operator="greaterThan">
      <formula>0.04</formula>
    </cfRule>
    <cfRule type="cellIs" dxfId="99" priority="4" operator="lessThan">
      <formula>-0.02</formula>
    </cfRule>
  </conditionalFormatting>
  <conditionalFormatting sqref="R1">
    <cfRule type="cellIs" dxfId="98" priority="13" operator="lessThan">
      <formula>0</formula>
    </cfRule>
    <cfRule type="cellIs" dxfId="97" priority="12" operator="greaterThan">
      <formula>0</formula>
    </cfRule>
  </conditionalFormatting>
  <conditionalFormatting sqref="T1">
    <cfRule type="cellIs" dxfId="96" priority="7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F10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/>
  <cols>
    <col min="1" max="5" width="12.6640625" customWidth="1"/>
    <col min="16" max="16" width="10.1640625" customWidth="1"/>
    <col min="17" max="17" width="9.5" customWidth="1"/>
  </cols>
  <sheetData>
    <row r="1" spans="1:32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47" t="s">
        <v>186</v>
      </c>
      <c r="F1" s="9" t="s">
        <v>89</v>
      </c>
      <c r="G1" s="48" t="s">
        <v>95</v>
      </c>
      <c r="H1" s="11" t="s">
        <v>96</v>
      </c>
      <c r="I1" s="11" t="s">
        <v>97</v>
      </c>
      <c r="J1" s="9" t="s">
        <v>98</v>
      </c>
      <c r="K1" s="93" t="s">
        <v>99</v>
      </c>
      <c r="L1" s="10" t="s">
        <v>100</v>
      </c>
      <c r="M1" s="9" t="s">
        <v>101</v>
      </c>
      <c r="N1" s="13" t="s">
        <v>102</v>
      </c>
      <c r="O1" s="9" t="s">
        <v>103</v>
      </c>
      <c r="P1" s="3" t="s">
        <v>104</v>
      </c>
      <c r="Q1" s="49">
        <f ca="1">Q4/Q2</f>
        <v>0.79591836734693877</v>
      </c>
      <c r="R1" s="50" t="s">
        <v>187</v>
      </c>
      <c r="S1" s="9" t="s">
        <v>83</v>
      </c>
      <c r="T1" s="9" t="s">
        <v>92</v>
      </c>
      <c r="U1" s="9" t="s">
        <v>93</v>
      </c>
      <c r="V1" s="9" t="s">
        <v>94</v>
      </c>
      <c r="W1" s="9" t="s">
        <v>188</v>
      </c>
      <c r="X1" s="9" t="s">
        <v>189</v>
      </c>
      <c r="Y1" s="11" t="s">
        <v>190</v>
      </c>
      <c r="Z1" s="13" t="s">
        <v>99</v>
      </c>
      <c r="AA1" s="10" t="s">
        <v>100</v>
      </c>
      <c r="AB1" s="10"/>
      <c r="AC1" s="10"/>
      <c r="AD1" s="10"/>
      <c r="AE1" s="10"/>
      <c r="AF1" s="10"/>
    </row>
    <row r="2" spans="1:32" ht="15.75" customHeight="1">
      <c r="B2" s="3" t="s">
        <v>105</v>
      </c>
      <c r="C2" s="19">
        <f ca="1">TODAY()</f>
        <v>45396</v>
      </c>
      <c r="E2" s="51"/>
      <c r="F2" s="52"/>
      <c r="G2" s="53" t="s">
        <v>106</v>
      </c>
      <c r="H2" s="53" t="e">
        <f ca="1">_xludf.DAYS(C2,C3)</f>
        <v>#NAME?</v>
      </c>
      <c r="I2" s="22"/>
      <c r="J2" s="23">
        <f ca="1">SUM(G2:G158)</f>
        <v>2023009.2499999998</v>
      </c>
      <c r="K2" s="93"/>
      <c r="L2" s="54" t="s">
        <v>247</v>
      </c>
      <c r="M2" s="25">
        <f>SUM(L4:L671)-X2</f>
        <v>10107893.950000001</v>
      </c>
      <c r="N2" s="94">
        <f ca="1">O2*100/M2</f>
        <v>83.510953337613913</v>
      </c>
      <c r="O2" s="25">
        <f ca="1">J2+X2</f>
        <v>8441198.5999999996</v>
      </c>
      <c r="P2" s="27" t="s">
        <v>107</v>
      </c>
      <c r="Q2" s="28">
        <f ca="1">Q3+Q4</f>
        <v>49</v>
      </c>
      <c r="R2" s="56">
        <f ca="1">SUM(L4:L678)+J2</f>
        <v>18549092.550000001</v>
      </c>
      <c r="S2" s="57"/>
      <c r="U2" s="58"/>
      <c r="W2" s="9" t="s">
        <v>193</v>
      </c>
      <c r="X2" s="23">
        <f>SUM(X3:X992)</f>
        <v>6418189.3499999996</v>
      </c>
      <c r="Z2" s="59">
        <f>X2/AA2</f>
        <v>0.13843329980742225</v>
      </c>
      <c r="AA2" s="60">
        <f>SUM(AA3:AA945)</f>
        <v>46363045.300000004</v>
      </c>
      <c r="AB2" s="61"/>
      <c r="AC2" s="17"/>
      <c r="AD2" s="62"/>
      <c r="AE2" s="62"/>
      <c r="AF2" s="62"/>
    </row>
    <row r="3" spans="1:32" ht="15.75" customHeight="1">
      <c r="C3" s="38">
        <v>45042</v>
      </c>
      <c r="E3" s="16"/>
      <c r="G3" s="63"/>
      <c r="K3" s="95"/>
      <c r="L3" s="1">
        <v>8655861000</v>
      </c>
      <c r="M3" s="29" t="s">
        <v>108</v>
      </c>
      <c r="N3" s="26">
        <f ca="1">J2/M2</f>
        <v>0.20014151909458841</v>
      </c>
      <c r="P3" s="28" t="s">
        <v>109</v>
      </c>
      <c r="Q3" s="28">
        <f ca="1">COUNTIF(G:G, "&lt;0")</f>
        <v>10</v>
      </c>
      <c r="S3" s="96" t="s">
        <v>248</v>
      </c>
      <c r="T3" s="97" t="s">
        <v>249</v>
      </c>
      <c r="U3" s="98">
        <v>1298</v>
      </c>
      <c r="V3" s="98">
        <v>100</v>
      </c>
      <c r="W3" s="99">
        <v>1262</v>
      </c>
      <c r="X3" s="100">
        <f t="shared" ref="X3:X13" si="0">(W3-U3)*V3</f>
        <v>-3600</v>
      </c>
      <c r="Y3" s="97" t="s">
        <v>250</v>
      </c>
      <c r="Z3" s="101">
        <f t="shared" ref="Z3:Z12" si="1">(W3-U3)/U3</f>
        <v>-2.7734976887519261E-2</v>
      </c>
      <c r="AA3" s="60">
        <f t="shared" ref="AA3:AA13" si="2">U3*V3</f>
        <v>129800</v>
      </c>
      <c r="AB3" s="60"/>
      <c r="AC3" s="24"/>
      <c r="AD3" s="60"/>
      <c r="AE3" s="60"/>
      <c r="AF3" s="60"/>
    </row>
    <row r="4" spans="1:32" ht="15.75" customHeight="1">
      <c r="P4" s="28" t="s">
        <v>110</v>
      </c>
      <c r="Q4" s="28">
        <f ca="1">COUNTIF(G:G, "&gt;0")</f>
        <v>39</v>
      </c>
      <c r="S4" s="96" t="s">
        <v>248</v>
      </c>
      <c r="T4" s="97" t="s">
        <v>249</v>
      </c>
      <c r="U4" s="98">
        <v>1298</v>
      </c>
      <c r="V4" s="98">
        <v>100</v>
      </c>
      <c r="W4" s="99">
        <v>1212</v>
      </c>
      <c r="X4" s="100">
        <f t="shared" si="0"/>
        <v>-8600</v>
      </c>
      <c r="Y4" s="97" t="s">
        <v>251</v>
      </c>
      <c r="Z4" s="101">
        <f t="shared" si="1"/>
        <v>-6.6255778120184905E-2</v>
      </c>
      <c r="AA4" s="60">
        <f t="shared" si="2"/>
        <v>129800</v>
      </c>
      <c r="AB4" s="60"/>
      <c r="AC4" s="24"/>
      <c r="AD4" s="60"/>
      <c r="AE4" s="60"/>
      <c r="AF4" s="60"/>
    </row>
    <row r="5" spans="1:32" ht="15.75" customHeight="1">
      <c r="A5" s="31" t="s">
        <v>41</v>
      </c>
      <c r="B5" s="18">
        <v>45065</v>
      </c>
      <c r="C5" s="17">
        <v>204.6</v>
      </c>
      <c r="D5" s="17">
        <v>1000</v>
      </c>
      <c r="E5" s="102" t="s">
        <v>198</v>
      </c>
      <c r="F5" s="20">
        <f ca="1">IFERROR(__xludf.DUMMYFUNCTION("GOOGLEFINANCE(A5,""price"")"),472)</f>
        <v>472</v>
      </c>
      <c r="G5" s="103">
        <f t="shared" ref="G5:G53" ca="1" si="3">(F5-C5)*D5</f>
        <v>267400</v>
      </c>
      <c r="H5" s="40"/>
      <c r="I5" s="17" t="s">
        <v>252</v>
      </c>
      <c r="K5" s="93">
        <f t="shared" ref="K5:K53" ca="1" si="4">(F5-C5)*100/C5</f>
        <v>130.69403714565004</v>
      </c>
      <c r="L5" s="24">
        <f t="shared" ref="L5:L53" si="5">C5*D5</f>
        <v>204600</v>
      </c>
      <c r="N5" s="1">
        <f>SUM(N7:N50)</f>
        <v>4948031.8499999996</v>
      </c>
      <c r="O5" s="3" t="s">
        <v>253</v>
      </c>
      <c r="P5" s="1">
        <f t="shared" ref="P5:Q5" si="6">SUM(P7:P50)</f>
        <v>989606.36999999988</v>
      </c>
      <c r="Q5" s="3">
        <f t="shared" si="6"/>
        <v>840000</v>
      </c>
      <c r="R5" s="1">
        <f>P5-Q5</f>
        <v>149606.36999999988</v>
      </c>
      <c r="S5" s="104" t="s">
        <v>254</v>
      </c>
      <c r="T5" s="97" t="s">
        <v>255</v>
      </c>
      <c r="U5" s="98">
        <v>6.8</v>
      </c>
      <c r="V5" s="98">
        <v>10000</v>
      </c>
      <c r="W5" s="99">
        <v>11.04</v>
      </c>
      <c r="X5" s="100">
        <f t="shared" si="0"/>
        <v>42399.999999999993</v>
      </c>
      <c r="Y5" s="97" t="s">
        <v>256</v>
      </c>
      <c r="Z5" s="101">
        <f t="shared" si="1"/>
        <v>0.62352941176470578</v>
      </c>
      <c r="AA5" s="60">
        <f t="shared" si="2"/>
        <v>68000</v>
      </c>
      <c r="AB5" s="60"/>
      <c r="AC5" s="24"/>
      <c r="AD5" s="60"/>
      <c r="AE5" s="60"/>
      <c r="AF5" s="60"/>
    </row>
    <row r="6" spans="1:32" ht="15.75" customHeight="1">
      <c r="A6" s="31" t="s">
        <v>11</v>
      </c>
      <c r="B6" s="32">
        <v>45218</v>
      </c>
      <c r="C6" s="3">
        <v>103.6</v>
      </c>
      <c r="D6" s="3">
        <v>2000</v>
      </c>
      <c r="E6" s="16" t="s">
        <v>198</v>
      </c>
      <c r="F6" s="20">
        <f ca="1">IFERROR(__xludf.DUMMYFUNCTION("GOOGLEFINANCE(A6,""price"")"),143.1)</f>
        <v>143.1</v>
      </c>
      <c r="G6" s="63">
        <f t="shared" ca="1" si="3"/>
        <v>79000</v>
      </c>
      <c r="K6" s="93">
        <f t="shared" ca="1" si="4"/>
        <v>38.127413127413128</v>
      </c>
      <c r="L6" s="1">
        <f t="shared" si="5"/>
        <v>207200</v>
      </c>
      <c r="N6" s="105" t="s">
        <v>257</v>
      </c>
      <c r="P6" s="9" t="s">
        <v>258</v>
      </c>
      <c r="Q6" s="9" t="s">
        <v>259</v>
      </c>
      <c r="R6" s="106" t="s">
        <v>260</v>
      </c>
      <c r="S6" s="104" t="s">
        <v>261</v>
      </c>
      <c r="T6" s="97" t="s">
        <v>255</v>
      </c>
      <c r="U6" s="98">
        <v>325</v>
      </c>
      <c r="V6" s="98">
        <v>150</v>
      </c>
      <c r="W6" s="99">
        <v>500</v>
      </c>
      <c r="X6" s="100">
        <f t="shared" si="0"/>
        <v>26250</v>
      </c>
      <c r="Y6" s="97" t="s">
        <v>262</v>
      </c>
      <c r="Z6" s="101">
        <f t="shared" si="1"/>
        <v>0.53846153846153844</v>
      </c>
      <c r="AA6" s="60">
        <f t="shared" si="2"/>
        <v>48750</v>
      </c>
      <c r="AB6" s="60"/>
      <c r="AC6" s="24"/>
      <c r="AD6" s="60"/>
      <c r="AE6" s="60"/>
      <c r="AF6" s="60"/>
    </row>
    <row r="7" spans="1:32" ht="15.75" customHeight="1">
      <c r="A7" s="31" t="s">
        <v>58</v>
      </c>
      <c r="B7" s="32">
        <v>45252</v>
      </c>
      <c r="C7" s="3">
        <v>543.5</v>
      </c>
      <c r="D7" s="3">
        <v>750</v>
      </c>
      <c r="E7" s="16" t="s">
        <v>198</v>
      </c>
      <c r="F7" s="20">
        <f ca="1">IFERROR(__xludf.DUMMYFUNCTION("GOOGLEFINANCE(A7,""price"")"),612.55)</f>
        <v>612.54999999999995</v>
      </c>
      <c r="G7" s="63">
        <f t="shared" ca="1" si="3"/>
        <v>51787.499999999964</v>
      </c>
      <c r="K7" s="93">
        <f t="shared" ca="1" si="4"/>
        <v>12.704691812327498</v>
      </c>
      <c r="L7" s="1">
        <f t="shared" si="5"/>
        <v>407625</v>
      </c>
      <c r="M7" s="107" t="s">
        <v>263</v>
      </c>
      <c r="N7" s="108">
        <f>SUM(X3:X13)</f>
        <v>193608</v>
      </c>
      <c r="O7" s="109"/>
      <c r="P7" s="110">
        <f>N7*0.2</f>
        <v>38721.599999999999</v>
      </c>
      <c r="Q7" s="105">
        <v>50000</v>
      </c>
      <c r="R7" s="87" t="s">
        <v>264</v>
      </c>
      <c r="S7" s="104" t="s">
        <v>265</v>
      </c>
      <c r="T7" s="97" t="s">
        <v>255</v>
      </c>
      <c r="U7" s="98">
        <v>2668</v>
      </c>
      <c r="V7" s="98">
        <v>50</v>
      </c>
      <c r="W7" s="99">
        <v>2766.24</v>
      </c>
      <c r="X7" s="100">
        <f t="shared" si="0"/>
        <v>4911.9999999999891</v>
      </c>
      <c r="Y7" s="97" t="s">
        <v>266</v>
      </c>
      <c r="Z7" s="101">
        <f t="shared" si="1"/>
        <v>3.6821589205397222E-2</v>
      </c>
      <c r="AA7" s="60">
        <f t="shared" si="2"/>
        <v>133400</v>
      </c>
      <c r="AB7" s="60"/>
      <c r="AC7" s="24"/>
      <c r="AD7" s="60"/>
      <c r="AE7" s="60"/>
      <c r="AF7" s="60"/>
    </row>
    <row r="8" spans="1:32" ht="15.75" customHeight="1">
      <c r="A8" s="31" t="s">
        <v>82</v>
      </c>
      <c r="B8" s="32">
        <v>45259</v>
      </c>
      <c r="C8" s="3">
        <v>57.85</v>
      </c>
      <c r="D8" s="3">
        <v>4200</v>
      </c>
      <c r="E8" s="16" t="s">
        <v>198</v>
      </c>
      <c r="F8" s="20">
        <f ca="1">IFERROR(__xludf.DUMMYFUNCTION("GOOGLEFINANCE(A8,""price"")"),71.9)</f>
        <v>71.900000000000006</v>
      </c>
      <c r="G8" s="63">
        <f t="shared" ca="1" si="3"/>
        <v>59010.000000000015</v>
      </c>
      <c r="K8" s="93">
        <f t="shared" ca="1" si="4"/>
        <v>24.286949006050136</v>
      </c>
      <c r="L8" s="1">
        <f t="shared" si="5"/>
        <v>242970</v>
      </c>
      <c r="N8" s="5"/>
      <c r="S8" s="104" t="s">
        <v>267</v>
      </c>
      <c r="T8" s="97" t="s">
        <v>268</v>
      </c>
      <c r="U8" s="98">
        <v>1136</v>
      </c>
      <c r="V8" s="98">
        <v>100</v>
      </c>
      <c r="W8" s="99">
        <v>1487.5</v>
      </c>
      <c r="X8" s="100">
        <f t="shared" si="0"/>
        <v>35150</v>
      </c>
      <c r="Y8" s="97" t="s">
        <v>269</v>
      </c>
      <c r="Z8" s="101">
        <f t="shared" si="1"/>
        <v>0.30941901408450706</v>
      </c>
      <c r="AA8" s="60">
        <f t="shared" si="2"/>
        <v>113600</v>
      </c>
      <c r="AB8" s="60"/>
      <c r="AC8" s="24"/>
      <c r="AD8" s="60"/>
      <c r="AE8" s="60"/>
      <c r="AF8" s="60"/>
    </row>
    <row r="9" spans="1:32" ht="15.75" customHeight="1">
      <c r="A9" s="3" t="s">
        <v>17</v>
      </c>
      <c r="B9" s="38">
        <v>45264</v>
      </c>
      <c r="C9" s="3">
        <v>268.60000000000002</v>
      </c>
      <c r="D9" s="3">
        <v>1000</v>
      </c>
      <c r="E9" s="16" t="s">
        <v>198</v>
      </c>
      <c r="F9" s="20">
        <f ca="1">IFERROR(__xludf.DUMMYFUNCTION("GOOGLEFINANCE(A9,""price"")"),364)</f>
        <v>364</v>
      </c>
      <c r="G9" s="63">
        <f t="shared" ca="1" si="3"/>
        <v>95399.999999999971</v>
      </c>
      <c r="K9" s="93">
        <f t="shared" ca="1" si="4"/>
        <v>35.517498138495895</v>
      </c>
      <c r="L9" s="1">
        <f t="shared" si="5"/>
        <v>268600</v>
      </c>
      <c r="M9" s="107" t="s">
        <v>270</v>
      </c>
      <c r="N9" s="108">
        <f>SUM(X14:X25)</f>
        <v>269060</v>
      </c>
      <c r="O9" s="107"/>
      <c r="P9" s="110">
        <f>N9*0.2</f>
        <v>53812</v>
      </c>
      <c r="Q9" s="111">
        <v>140000</v>
      </c>
      <c r="R9" s="87" t="s">
        <v>264</v>
      </c>
      <c r="S9" s="104" t="s">
        <v>271</v>
      </c>
      <c r="T9" s="97" t="s">
        <v>272</v>
      </c>
      <c r="U9" s="98">
        <v>473</v>
      </c>
      <c r="V9" s="98">
        <v>250</v>
      </c>
      <c r="W9" s="99">
        <v>600</v>
      </c>
      <c r="X9" s="100">
        <f t="shared" si="0"/>
        <v>31750</v>
      </c>
      <c r="Y9" s="112" t="s">
        <v>262</v>
      </c>
      <c r="Z9" s="101">
        <f t="shared" si="1"/>
        <v>0.26849894291754756</v>
      </c>
      <c r="AA9" s="60">
        <f t="shared" si="2"/>
        <v>118250</v>
      </c>
      <c r="AB9" s="60"/>
      <c r="AC9" s="24"/>
      <c r="AD9" s="60"/>
      <c r="AE9" s="60"/>
      <c r="AF9" s="60"/>
    </row>
    <row r="10" spans="1:32" ht="15.75" customHeight="1">
      <c r="A10" s="3" t="s">
        <v>46</v>
      </c>
      <c r="B10" s="38">
        <v>45267</v>
      </c>
      <c r="C10" s="3">
        <v>178.95</v>
      </c>
      <c r="D10" s="3">
        <v>1200</v>
      </c>
      <c r="E10" s="16" t="s">
        <v>198</v>
      </c>
      <c r="F10" s="20">
        <f ca="1">IFERROR(__xludf.DUMMYFUNCTION("GOOGLEFINANCE(A10,""price"")"),185)</f>
        <v>185</v>
      </c>
      <c r="G10" s="63">
        <f t="shared" ca="1" si="3"/>
        <v>7260.0000000000136</v>
      </c>
      <c r="K10" s="93">
        <f t="shared" ca="1" si="4"/>
        <v>3.3808326348142006</v>
      </c>
      <c r="L10" s="1">
        <f t="shared" si="5"/>
        <v>214740</v>
      </c>
      <c r="M10" s="113"/>
      <c r="N10" s="111"/>
      <c r="O10" s="113"/>
      <c r="P10" s="113"/>
      <c r="Q10" s="62"/>
      <c r="R10" s="62"/>
      <c r="S10" s="104" t="s">
        <v>273</v>
      </c>
      <c r="T10" s="97" t="s">
        <v>274</v>
      </c>
      <c r="U10" s="98">
        <v>137</v>
      </c>
      <c r="V10" s="98">
        <v>1200</v>
      </c>
      <c r="W10" s="99">
        <v>151</v>
      </c>
      <c r="X10" s="100">
        <f t="shared" si="0"/>
        <v>16800</v>
      </c>
      <c r="Y10" s="97" t="s">
        <v>275</v>
      </c>
      <c r="Z10" s="101">
        <f t="shared" si="1"/>
        <v>0.10218978102189781</v>
      </c>
      <c r="AA10" s="60">
        <f t="shared" si="2"/>
        <v>164400</v>
      </c>
      <c r="AB10" s="60"/>
      <c r="AC10" s="24"/>
      <c r="AD10" s="60"/>
      <c r="AE10" s="60"/>
      <c r="AF10" s="60"/>
    </row>
    <row r="11" spans="1:32" ht="15.75" customHeight="1">
      <c r="A11" s="3" t="s">
        <v>32</v>
      </c>
      <c r="B11" s="38">
        <v>45267</v>
      </c>
      <c r="C11" s="3">
        <v>2005</v>
      </c>
      <c r="D11" s="3">
        <v>175</v>
      </c>
      <c r="E11" s="16" t="s">
        <v>198</v>
      </c>
      <c r="F11" s="20">
        <f ca="1">IFERROR(__xludf.DUMMYFUNCTION("GOOGLEFINANCE(A11,""price"")"),2089.05)</f>
        <v>2089.0500000000002</v>
      </c>
      <c r="G11" s="63">
        <f t="shared" ca="1" si="3"/>
        <v>14708.750000000033</v>
      </c>
      <c r="K11" s="93">
        <f t="shared" ca="1" si="4"/>
        <v>4.1920199501246973</v>
      </c>
      <c r="L11" s="1">
        <f t="shared" si="5"/>
        <v>350875</v>
      </c>
      <c r="M11" s="107" t="s">
        <v>276</v>
      </c>
      <c r="N11" s="110">
        <f>SUM(X27:X39)</f>
        <v>82078.950000000012</v>
      </c>
      <c r="O11" s="107"/>
      <c r="P11" s="110">
        <f>N11*0.2</f>
        <v>16415.790000000005</v>
      </c>
      <c r="Q11" s="111">
        <v>350000</v>
      </c>
      <c r="R11" s="62" t="s">
        <v>277</v>
      </c>
      <c r="S11" s="104" t="s">
        <v>278</v>
      </c>
      <c r="T11" s="97" t="s">
        <v>274</v>
      </c>
      <c r="U11" s="98">
        <v>389</v>
      </c>
      <c r="V11" s="98">
        <v>520</v>
      </c>
      <c r="W11" s="99">
        <v>368.8</v>
      </c>
      <c r="X11" s="100">
        <f t="shared" si="0"/>
        <v>-10503.999999999995</v>
      </c>
      <c r="Y11" s="97" t="s">
        <v>251</v>
      </c>
      <c r="Z11" s="101">
        <f t="shared" si="1"/>
        <v>-5.1928020565552672E-2</v>
      </c>
      <c r="AA11" s="60">
        <f t="shared" si="2"/>
        <v>202280</v>
      </c>
      <c r="AB11" s="60"/>
      <c r="AC11" s="24"/>
      <c r="AD11" s="60"/>
      <c r="AE11" s="60"/>
      <c r="AF11" s="60"/>
    </row>
    <row r="12" spans="1:32" ht="15.75" customHeight="1">
      <c r="A12" s="3" t="s">
        <v>77</v>
      </c>
      <c r="B12" s="32">
        <v>45274</v>
      </c>
      <c r="C12" s="3">
        <v>165</v>
      </c>
      <c r="D12" s="3">
        <v>2312</v>
      </c>
      <c r="E12" s="16" t="s">
        <v>198</v>
      </c>
      <c r="F12" s="20">
        <f ca="1">IFERROR(__xludf.DUMMYFUNCTION("GOOGLEFINANCE(A12,""price"")"),170.2)</f>
        <v>170.2</v>
      </c>
      <c r="G12" s="63">
        <f t="shared" ca="1" si="3"/>
        <v>12022.399999999974</v>
      </c>
      <c r="K12" s="93">
        <f t="shared" ca="1" si="4"/>
        <v>3.1515151515151447</v>
      </c>
      <c r="L12" s="1">
        <f t="shared" si="5"/>
        <v>381480</v>
      </c>
      <c r="M12" s="113"/>
      <c r="N12" s="111"/>
      <c r="O12" s="113"/>
      <c r="P12" s="113"/>
      <c r="Q12" s="62"/>
      <c r="R12" s="62"/>
      <c r="S12" s="104" t="s">
        <v>279</v>
      </c>
      <c r="T12" s="97" t="s">
        <v>280</v>
      </c>
      <c r="U12" s="114">
        <v>439</v>
      </c>
      <c r="V12" s="114">
        <v>400</v>
      </c>
      <c r="W12" s="115">
        <v>556</v>
      </c>
      <c r="X12" s="116">
        <f t="shared" si="0"/>
        <v>46800</v>
      </c>
      <c r="Y12" s="97" t="s">
        <v>281</v>
      </c>
      <c r="Z12" s="117">
        <f t="shared" si="1"/>
        <v>0.26651480637813213</v>
      </c>
      <c r="AA12" s="60">
        <f t="shared" si="2"/>
        <v>175600</v>
      </c>
      <c r="AB12" s="60"/>
      <c r="AC12" s="24"/>
      <c r="AD12" s="103"/>
      <c r="AE12" s="103"/>
      <c r="AF12" s="103"/>
    </row>
    <row r="13" spans="1:32" ht="15.75" customHeight="1">
      <c r="A13" s="3" t="s">
        <v>43</v>
      </c>
      <c r="B13" s="32">
        <v>45280</v>
      </c>
      <c r="C13" s="3">
        <v>104</v>
      </c>
      <c r="D13" s="3">
        <v>2000</v>
      </c>
      <c r="E13" s="16" t="s">
        <v>198</v>
      </c>
      <c r="F13" s="8">
        <f ca="1">IFERROR(__xludf.DUMMYFUNCTION("GOOGLEFINANCE(A13,""price"")"),205)</f>
        <v>205</v>
      </c>
      <c r="G13" s="118">
        <f t="shared" ca="1" si="3"/>
        <v>202000</v>
      </c>
      <c r="H13" s="17"/>
      <c r="I13" s="17"/>
      <c r="J13" s="17"/>
      <c r="K13" s="67">
        <f t="shared" ca="1" si="4"/>
        <v>97.115384615384613</v>
      </c>
      <c r="L13" s="68">
        <f t="shared" si="5"/>
        <v>208000</v>
      </c>
      <c r="M13" s="107" t="s">
        <v>282</v>
      </c>
      <c r="N13" s="110">
        <f>SUM(X41:X60)</f>
        <v>565553</v>
      </c>
      <c r="O13" s="107"/>
      <c r="P13" s="110">
        <f>N13*0.2</f>
        <v>113110.6</v>
      </c>
      <c r="Q13" s="111">
        <v>200000</v>
      </c>
      <c r="R13" s="62" t="s">
        <v>264</v>
      </c>
      <c r="S13" s="104" t="s">
        <v>283</v>
      </c>
      <c r="T13" s="97" t="s">
        <v>251</v>
      </c>
      <c r="U13" s="98">
        <v>661</v>
      </c>
      <c r="V13" s="98">
        <v>250</v>
      </c>
      <c r="W13" s="99">
        <v>710</v>
      </c>
      <c r="X13" s="65">
        <f t="shared" si="0"/>
        <v>12250</v>
      </c>
      <c r="Y13" s="97" t="s">
        <v>284</v>
      </c>
      <c r="Z13" s="66">
        <f>(W13-U13)*100/U13</f>
        <v>7.4130105900151282</v>
      </c>
      <c r="AA13" s="60">
        <f t="shared" si="2"/>
        <v>165250</v>
      </c>
      <c r="AB13" s="60"/>
      <c r="AC13" s="24"/>
      <c r="AD13" s="103"/>
      <c r="AE13" s="103"/>
      <c r="AF13" s="103"/>
    </row>
    <row r="14" spans="1:32" ht="15.75" customHeight="1">
      <c r="A14" s="3" t="s">
        <v>59</v>
      </c>
      <c r="B14" s="32">
        <v>45287</v>
      </c>
      <c r="C14" s="3">
        <v>1399</v>
      </c>
      <c r="D14" s="3">
        <v>200</v>
      </c>
      <c r="E14" s="16" t="s">
        <v>198</v>
      </c>
      <c r="F14" s="8">
        <f ca="1">IFERROR(__xludf.DUMMYFUNCTION("GOOGLEFINANCE(A14,""price"")"),1636.55)</f>
        <v>1636.55</v>
      </c>
      <c r="G14" s="118">
        <f t="shared" ca="1" si="3"/>
        <v>47509.999999999993</v>
      </c>
      <c r="H14" s="17"/>
      <c r="I14" s="17"/>
      <c r="J14" s="17"/>
      <c r="K14" s="67">
        <f t="shared" ca="1" si="4"/>
        <v>16.979985704074338</v>
      </c>
      <c r="L14" s="68">
        <f t="shared" si="5"/>
        <v>279800</v>
      </c>
      <c r="M14" s="62"/>
      <c r="N14" s="111"/>
      <c r="O14" s="62"/>
      <c r="P14" s="62"/>
      <c r="Q14" s="62"/>
      <c r="R14" s="62"/>
      <c r="AB14" s="62"/>
      <c r="AC14" s="17"/>
      <c r="AD14" s="102"/>
      <c r="AE14" s="102"/>
      <c r="AF14" s="102"/>
    </row>
    <row r="15" spans="1:32" ht="15.75" customHeight="1">
      <c r="A15" s="3" t="s">
        <v>11</v>
      </c>
      <c r="B15" s="32">
        <v>45289</v>
      </c>
      <c r="C15" s="3">
        <v>112.95</v>
      </c>
      <c r="D15" s="3">
        <v>2000</v>
      </c>
      <c r="E15" s="16" t="s">
        <v>198</v>
      </c>
      <c r="F15" s="8">
        <f ca="1">IFERROR(__xludf.DUMMYFUNCTION("GOOGLEFINANCE(A15,""price"")"),143.1)</f>
        <v>143.1</v>
      </c>
      <c r="G15" s="118">
        <f t="shared" ca="1" si="3"/>
        <v>60299.999999999985</v>
      </c>
      <c r="H15" s="17"/>
      <c r="I15" s="17"/>
      <c r="J15" s="17"/>
      <c r="K15" s="67">
        <f t="shared" ca="1" si="4"/>
        <v>26.693227091633457</v>
      </c>
      <c r="L15" s="68">
        <f t="shared" si="5"/>
        <v>225900</v>
      </c>
      <c r="M15" s="107" t="s">
        <v>285</v>
      </c>
      <c r="N15" s="110">
        <f>SUM(X62:X95)</f>
        <v>1811485</v>
      </c>
      <c r="O15" s="107"/>
      <c r="P15" s="110">
        <f>N15*0.2</f>
        <v>362297</v>
      </c>
      <c r="Q15" s="62"/>
      <c r="R15" s="62"/>
      <c r="S15" s="100" t="s">
        <v>286</v>
      </c>
      <c r="T15" s="98" t="s">
        <v>287</v>
      </c>
      <c r="U15" s="114">
        <v>798</v>
      </c>
      <c r="V15" s="114">
        <v>200</v>
      </c>
      <c r="W15" s="98">
        <v>1107</v>
      </c>
      <c r="X15" s="65">
        <f t="shared" ref="X15:X23" si="7">(W15-U15)*V15</f>
        <v>61800</v>
      </c>
      <c r="Y15" s="115" t="s">
        <v>288</v>
      </c>
      <c r="Z15" s="66">
        <f t="shared" ref="Z15:Z23" si="8">(W15-U15)*100/U15</f>
        <v>38.721804511278194</v>
      </c>
      <c r="AA15" s="60">
        <f t="shared" ref="AA15:AA23" si="9">U15*V15</f>
        <v>159600</v>
      </c>
      <c r="AB15" s="87"/>
      <c r="AC15" s="17"/>
      <c r="AD15" s="119"/>
      <c r="AE15" s="120"/>
      <c r="AF15" s="120"/>
    </row>
    <row r="16" spans="1:32" ht="15.75" customHeight="1">
      <c r="A16" s="3" t="s">
        <v>81</v>
      </c>
      <c r="B16" s="35">
        <v>45303</v>
      </c>
      <c r="C16" s="3">
        <v>1565</v>
      </c>
      <c r="D16" s="3">
        <v>200</v>
      </c>
      <c r="E16" s="16" t="s">
        <v>198</v>
      </c>
      <c r="F16" s="8">
        <f ca="1">IFERROR(__xludf.DUMMYFUNCTION("GOOGLEFINANCE(A16,""price"")"),2087)</f>
        <v>2087</v>
      </c>
      <c r="G16" s="118">
        <f t="shared" ca="1" si="3"/>
        <v>104400</v>
      </c>
      <c r="H16" s="17"/>
      <c r="I16" s="17"/>
      <c r="J16" s="17"/>
      <c r="K16" s="67">
        <f t="shared" ca="1" si="4"/>
        <v>33.354632587859427</v>
      </c>
      <c r="L16" s="68">
        <f t="shared" si="5"/>
        <v>313000</v>
      </c>
      <c r="N16" s="105"/>
      <c r="Q16" s="3">
        <v>100000</v>
      </c>
      <c r="R16" s="3" t="s">
        <v>289</v>
      </c>
      <c r="S16" s="100" t="s">
        <v>271</v>
      </c>
      <c r="T16" s="98" t="s">
        <v>272</v>
      </c>
      <c r="U16" s="98">
        <v>473</v>
      </c>
      <c r="V16" s="98">
        <v>250</v>
      </c>
      <c r="W16" s="99">
        <v>596</v>
      </c>
      <c r="X16" s="65">
        <f t="shared" si="7"/>
        <v>30750</v>
      </c>
      <c r="Y16" s="115" t="s">
        <v>288</v>
      </c>
      <c r="Z16" s="66">
        <f t="shared" si="8"/>
        <v>26.004228329809724</v>
      </c>
      <c r="AA16" s="60">
        <f t="shared" si="9"/>
        <v>118250</v>
      </c>
      <c r="AB16" s="52"/>
      <c r="AC16" s="17"/>
      <c r="AD16" s="51"/>
      <c r="AE16" s="103"/>
      <c r="AF16" s="103"/>
    </row>
    <row r="17" spans="1:32" ht="15.75" customHeight="1">
      <c r="A17" s="3" t="s">
        <v>65</v>
      </c>
      <c r="B17" s="35">
        <v>45309</v>
      </c>
      <c r="C17" s="3">
        <v>815</v>
      </c>
      <c r="D17" s="3">
        <v>1000</v>
      </c>
      <c r="E17" s="16" t="s">
        <v>198</v>
      </c>
      <c r="F17" s="8">
        <f ca="1">IFERROR(__xludf.DUMMYFUNCTION("GOOGLEFINANCE(A17,""price"")"),1342.55)</f>
        <v>1342.55</v>
      </c>
      <c r="G17" s="118">
        <f t="shared" ca="1" si="3"/>
        <v>527550</v>
      </c>
      <c r="H17" s="17"/>
      <c r="I17" s="17"/>
      <c r="J17" s="17"/>
      <c r="K17" s="67">
        <f t="shared" ca="1" si="4"/>
        <v>64.730061349693244</v>
      </c>
      <c r="L17" s="68">
        <f t="shared" si="5"/>
        <v>815000</v>
      </c>
      <c r="M17" s="121" t="s">
        <v>290</v>
      </c>
      <c r="N17" s="110">
        <f>SUM(X97:X116)</f>
        <v>812669.75</v>
      </c>
      <c r="O17" s="122"/>
      <c r="P17" s="110">
        <f>N17*0.2</f>
        <v>162533.95000000001</v>
      </c>
      <c r="S17" s="100" t="s">
        <v>291</v>
      </c>
      <c r="T17" s="98" t="s">
        <v>266</v>
      </c>
      <c r="U17" s="98">
        <v>96.8</v>
      </c>
      <c r="V17" s="98">
        <v>2000</v>
      </c>
      <c r="W17" s="98">
        <v>95.75</v>
      </c>
      <c r="X17" s="65">
        <f t="shared" si="7"/>
        <v>-2099.9999999999945</v>
      </c>
      <c r="Y17" s="115" t="s">
        <v>288</v>
      </c>
      <c r="Z17" s="66">
        <f t="shared" si="8"/>
        <v>-1.0847107438016499</v>
      </c>
      <c r="AA17" s="60">
        <f t="shared" si="9"/>
        <v>193600</v>
      </c>
      <c r="AC17" s="17"/>
      <c r="AD17" s="51"/>
      <c r="AE17" s="103"/>
      <c r="AF17" s="103"/>
    </row>
    <row r="18" spans="1:32" ht="15.75" customHeight="1">
      <c r="A18" s="3" t="s">
        <v>79</v>
      </c>
      <c r="B18" s="35">
        <v>45315</v>
      </c>
      <c r="C18" s="3">
        <v>404</v>
      </c>
      <c r="D18" s="3">
        <v>600</v>
      </c>
      <c r="E18" s="16" t="s">
        <v>198</v>
      </c>
      <c r="F18" s="8">
        <f ca="1">IFERROR(__xludf.DUMMYFUNCTION("GOOGLEFINANCE(A18,""price"")"),465)</f>
        <v>465</v>
      </c>
      <c r="G18" s="118">
        <f t="shared" ca="1" si="3"/>
        <v>36600</v>
      </c>
      <c r="H18" s="17"/>
      <c r="I18" s="17"/>
      <c r="J18" s="17"/>
      <c r="K18" s="67">
        <f t="shared" ca="1" si="4"/>
        <v>15.099009900990099</v>
      </c>
      <c r="L18" s="68">
        <f t="shared" si="5"/>
        <v>242400</v>
      </c>
      <c r="M18" s="5"/>
      <c r="N18" s="105"/>
      <c r="S18" s="100" t="s">
        <v>292</v>
      </c>
      <c r="T18" s="98" t="s">
        <v>293</v>
      </c>
      <c r="U18" s="98">
        <v>2465.8000000000002</v>
      </c>
      <c r="V18" s="98">
        <v>50</v>
      </c>
      <c r="W18" s="98">
        <v>2440</v>
      </c>
      <c r="X18" s="65">
        <f t="shared" si="7"/>
        <v>-1290.0000000000091</v>
      </c>
      <c r="Y18" s="115" t="s">
        <v>288</v>
      </c>
      <c r="Z18" s="66">
        <f t="shared" si="8"/>
        <v>-1.0463135696325809</v>
      </c>
      <c r="AA18" s="60">
        <f t="shared" si="9"/>
        <v>123290.00000000001</v>
      </c>
      <c r="AC18" s="17"/>
      <c r="AD18" s="51"/>
      <c r="AE18" s="103"/>
      <c r="AF18" s="102"/>
    </row>
    <row r="19" spans="1:32" ht="15.75" customHeight="1">
      <c r="A19" s="3" t="s">
        <v>12</v>
      </c>
      <c r="B19" s="31" t="s">
        <v>294</v>
      </c>
      <c r="C19" s="3">
        <v>828</v>
      </c>
      <c r="D19" s="3">
        <v>475</v>
      </c>
      <c r="E19" s="16" t="s">
        <v>295</v>
      </c>
      <c r="F19" s="8">
        <f ca="1">IFERROR(__xludf.DUMMYFUNCTION("GOOGLEFINANCE(A19,""price"")"),725)</f>
        <v>725</v>
      </c>
      <c r="G19" s="118">
        <f t="shared" ca="1" si="3"/>
        <v>-48925</v>
      </c>
      <c r="K19" s="67">
        <f t="shared" ca="1" si="4"/>
        <v>-12.439613526570048</v>
      </c>
      <c r="L19" s="68">
        <f t="shared" si="5"/>
        <v>393300</v>
      </c>
      <c r="M19" s="121" t="s">
        <v>296</v>
      </c>
      <c r="N19" s="110">
        <f>SUM(X118:X125)</f>
        <v>13351.000000000044</v>
      </c>
      <c r="O19" s="122"/>
      <c r="P19" s="110">
        <f>N19*0.2</f>
        <v>2670.2000000000089</v>
      </c>
      <c r="S19" s="100" t="s">
        <v>283</v>
      </c>
      <c r="T19" s="98" t="s">
        <v>251</v>
      </c>
      <c r="U19" s="98">
        <v>661</v>
      </c>
      <c r="V19" s="98">
        <v>250</v>
      </c>
      <c r="W19" s="98">
        <v>771</v>
      </c>
      <c r="X19" s="65">
        <f t="shared" si="7"/>
        <v>27500</v>
      </c>
      <c r="Y19" s="99" t="s">
        <v>297</v>
      </c>
      <c r="Z19" s="66">
        <f t="shared" si="8"/>
        <v>16.64145234493192</v>
      </c>
      <c r="AA19" s="60">
        <f t="shared" si="9"/>
        <v>165250</v>
      </c>
      <c r="AB19" s="22"/>
      <c r="AC19" s="17"/>
      <c r="AD19" s="123"/>
      <c r="AE19" s="103"/>
      <c r="AF19" s="102"/>
    </row>
    <row r="20" spans="1:32" ht="15.75" customHeight="1">
      <c r="A20" s="3" t="s">
        <v>16</v>
      </c>
      <c r="B20" s="31" t="s">
        <v>298</v>
      </c>
      <c r="C20" s="3">
        <v>2000</v>
      </c>
      <c r="D20" s="3">
        <v>200</v>
      </c>
      <c r="E20" s="16" t="s">
        <v>295</v>
      </c>
      <c r="F20" s="8">
        <f ca="1">IFERROR(__xludf.DUMMYFUNCTION("GOOGLEFINANCE(A20,""price"")"),1715)</f>
        <v>1715</v>
      </c>
      <c r="G20" s="118">
        <f t="shared" ca="1" si="3"/>
        <v>-57000</v>
      </c>
      <c r="K20" s="67">
        <f t="shared" ca="1" si="4"/>
        <v>-14.25</v>
      </c>
      <c r="L20" s="68">
        <f t="shared" si="5"/>
        <v>400000</v>
      </c>
      <c r="M20" s="5"/>
      <c r="N20" s="105"/>
      <c r="S20" s="100" t="s">
        <v>299</v>
      </c>
      <c r="T20" s="98" t="s">
        <v>272</v>
      </c>
      <c r="U20" s="98">
        <v>124.5</v>
      </c>
      <c r="V20" s="98">
        <v>600</v>
      </c>
      <c r="W20" s="98">
        <v>144</v>
      </c>
      <c r="X20" s="65">
        <f t="shared" si="7"/>
        <v>11700</v>
      </c>
      <c r="Y20" s="99" t="s">
        <v>297</v>
      </c>
      <c r="Z20" s="66">
        <f t="shared" si="8"/>
        <v>15.662650602409638</v>
      </c>
      <c r="AA20" s="60">
        <f t="shared" si="9"/>
        <v>74700</v>
      </c>
      <c r="AB20" s="62"/>
      <c r="AC20" s="17"/>
      <c r="AD20" s="51"/>
      <c r="AE20" s="103"/>
      <c r="AF20" s="102"/>
    </row>
    <row r="21" spans="1:32" ht="15.75" customHeight="1">
      <c r="A21" s="3" t="s">
        <v>21</v>
      </c>
      <c r="B21" s="31" t="s">
        <v>300</v>
      </c>
      <c r="C21" s="3">
        <v>6788.9</v>
      </c>
      <c r="D21" s="3">
        <v>50</v>
      </c>
      <c r="E21" s="16" t="s">
        <v>295</v>
      </c>
      <c r="F21" s="8">
        <f ca="1">IFERROR(__xludf.DUMMYFUNCTION("GOOGLEFINANCE(A21,""price"")"),7829.95)</f>
        <v>7829.95</v>
      </c>
      <c r="G21" s="118">
        <f t="shared" ca="1" si="3"/>
        <v>52052.500000000007</v>
      </c>
      <c r="K21" s="67">
        <f t="shared" ca="1" si="4"/>
        <v>15.334590287086277</v>
      </c>
      <c r="L21" s="68">
        <f t="shared" si="5"/>
        <v>339445</v>
      </c>
      <c r="M21" s="121" t="s">
        <v>301</v>
      </c>
      <c r="N21" s="110">
        <f>SUM(X127:X143)</f>
        <v>137673.90000000002</v>
      </c>
      <c r="O21" s="122"/>
      <c r="P21" s="110">
        <f>N21*0.2</f>
        <v>27534.780000000006</v>
      </c>
      <c r="S21" s="100" t="s">
        <v>302</v>
      </c>
      <c r="T21" s="98" t="s">
        <v>280</v>
      </c>
      <c r="U21" s="98">
        <v>660</v>
      </c>
      <c r="V21" s="98">
        <v>200</v>
      </c>
      <c r="W21" s="98">
        <v>890</v>
      </c>
      <c r="X21" s="65">
        <f t="shared" si="7"/>
        <v>46000</v>
      </c>
      <c r="Y21" s="98" t="s">
        <v>303</v>
      </c>
      <c r="Z21" s="66">
        <f t="shared" si="8"/>
        <v>34.848484848484851</v>
      </c>
      <c r="AA21" s="60">
        <f t="shared" si="9"/>
        <v>132000</v>
      </c>
      <c r="AB21" s="102"/>
      <c r="AC21" s="17"/>
      <c r="AD21" s="102"/>
      <c r="AE21" s="102"/>
      <c r="AF21" s="102"/>
    </row>
    <row r="22" spans="1:32" ht="15.75" customHeight="1">
      <c r="A22" s="3" t="s">
        <v>30</v>
      </c>
      <c r="B22" s="31" t="s">
        <v>304</v>
      </c>
      <c r="C22" s="3">
        <v>54.59</v>
      </c>
      <c r="D22" s="3">
        <v>4000</v>
      </c>
      <c r="E22" s="16" t="s">
        <v>295</v>
      </c>
      <c r="F22" s="8">
        <f ca="1">IFERROR(__xludf.DUMMYFUNCTION("GOOGLEFINANCE(A22,""price"")"),61.92)</f>
        <v>61.92</v>
      </c>
      <c r="G22" s="118">
        <f t="shared" ca="1" si="3"/>
        <v>29319.999999999993</v>
      </c>
      <c r="K22" s="67">
        <f t="shared" ca="1" si="4"/>
        <v>13.427367649752696</v>
      </c>
      <c r="L22" s="68">
        <f t="shared" si="5"/>
        <v>218360</v>
      </c>
      <c r="M22" s="5"/>
      <c r="N22" s="105"/>
      <c r="S22" s="100" t="s">
        <v>302</v>
      </c>
      <c r="T22" s="98" t="s">
        <v>280</v>
      </c>
      <c r="U22" s="98">
        <v>660</v>
      </c>
      <c r="V22" s="98">
        <v>100</v>
      </c>
      <c r="W22" s="98">
        <v>940</v>
      </c>
      <c r="X22" s="65">
        <f t="shared" si="7"/>
        <v>28000</v>
      </c>
      <c r="Y22" s="98" t="s">
        <v>303</v>
      </c>
      <c r="Z22" s="66">
        <f t="shared" si="8"/>
        <v>42.424242424242422</v>
      </c>
      <c r="AA22" s="60">
        <f t="shared" si="9"/>
        <v>66000</v>
      </c>
      <c r="AC22" s="17"/>
      <c r="AD22" s="102"/>
      <c r="AE22" s="102"/>
      <c r="AF22" s="102"/>
    </row>
    <row r="23" spans="1:32" ht="15.75" customHeight="1">
      <c r="A23" s="3" t="s">
        <v>35</v>
      </c>
      <c r="B23" s="31" t="s">
        <v>305</v>
      </c>
      <c r="C23" s="3">
        <v>1550</v>
      </c>
      <c r="D23" s="3">
        <v>550</v>
      </c>
      <c r="E23" s="16" t="s">
        <v>295</v>
      </c>
      <c r="F23" s="8">
        <f ca="1">IFERROR(__xludf.DUMMYFUNCTION("GOOGLEFINANCE(A23,""price"")"),1509.6)</f>
        <v>1509.6</v>
      </c>
      <c r="G23" s="118">
        <f t="shared" ca="1" si="3"/>
        <v>-22220.000000000051</v>
      </c>
      <c r="K23" s="67">
        <f t="shared" ca="1" si="4"/>
        <v>-2.6064516129032316</v>
      </c>
      <c r="L23" s="68">
        <f t="shared" si="5"/>
        <v>852500</v>
      </c>
      <c r="M23" s="121" t="s">
        <v>306</v>
      </c>
      <c r="N23" s="110">
        <f>SUM(X145:X162)</f>
        <v>372529.99999999988</v>
      </c>
      <c r="O23" s="124"/>
      <c r="P23" s="110">
        <f>N23*0.2</f>
        <v>74505.999999999985</v>
      </c>
      <c r="S23" s="125" t="s">
        <v>307</v>
      </c>
      <c r="T23" s="17" t="s">
        <v>308</v>
      </c>
      <c r="U23" s="17">
        <v>1060</v>
      </c>
      <c r="V23" s="17">
        <v>150</v>
      </c>
      <c r="W23" s="17">
        <v>1102</v>
      </c>
      <c r="X23" s="65">
        <f t="shared" si="7"/>
        <v>6300</v>
      </c>
      <c r="Y23" s="98" t="s">
        <v>309</v>
      </c>
      <c r="Z23" s="66">
        <f t="shared" si="8"/>
        <v>3.9622641509433962</v>
      </c>
      <c r="AA23" s="60">
        <f t="shared" si="9"/>
        <v>159000</v>
      </c>
      <c r="AC23" s="17"/>
      <c r="AD23" s="102"/>
      <c r="AE23" s="102"/>
      <c r="AF23" s="102"/>
    </row>
    <row r="24" spans="1:32" ht="15.75" customHeight="1">
      <c r="A24" s="3" t="s">
        <v>31</v>
      </c>
      <c r="B24" s="31" t="s">
        <v>310</v>
      </c>
      <c r="C24" s="3">
        <v>334.9</v>
      </c>
      <c r="D24" s="3">
        <v>1000</v>
      </c>
      <c r="E24" s="16" t="s">
        <v>295</v>
      </c>
      <c r="F24" s="8">
        <f ca="1">IFERROR(__xludf.DUMMYFUNCTION("GOOGLEFINANCE(A24,""price"")"),385)</f>
        <v>385</v>
      </c>
      <c r="G24" s="118">
        <f t="shared" ca="1" si="3"/>
        <v>50100.000000000022</v>
      </c>
      <c r="K24" s="67">
        <f t="shared" ca="1" si="4"/>
        <v>14.959689459540167</v>
      </c>
      <c r="L24" s="68">
        <f t="shared" si="5"/>
        <v>334900</v>
      </c>
      <c r="N24" s="105"/>
      <c r="AA24" s="60"/>
      <c r="AC24" s="17"/>
      <c r="AD24" s="102"/>
      <c r="AE24" s="102"/>
      <c r="AF24" s="102"/>
    </row>
    <row r="25" spans="1:32" ht="15.75" customHeight="1">
      <c r="A25" s="3" t="s">
        <v>36</v>
      </c>
      <c r="B25" s="31" t="s">
        <v>311</v>
      </c>
      <c r="C25" s="126">
        <v>538</v>
      </c>
      <c r="D25" s="126">
        <v>750</v>
      </c>
      <c r="E25" s="16" t="s">
        <v>295</v>
      </c>
      <c r="F25" s="8">
        <f ca="1">IFERROR(__xludf.DUMMYFUNCTION("GOOGLEFINANCE(A25,""price"")"),524.6)</f>
        <v>524.6</v>
      </c>
      <c r="G25" s="118">
        <f t="shared" ca="1" si="3"/>
        <v>-10049.999999999984</v>
      </c>
      <c r="K25" s="67">
        <f t="shared" ca="1" si="4"/>
        <v>-2.490706319702598</v>
      </c>
      <c r="L25" s="68">
        <f t="shared" si="5"/>
        <v>403500</v>
      </c>
      <c r="M25" s="121" t="s">
        <v>312</v>
      </c>
      <c r="N25" s="110">
        <f>SUM(X164:X185)</f>
        <v>690022.25</v>
      </c>
      <c r="O25" s="124"/>
      <c r="P25" s="110">
        <f>N25*0.2</f>
        <v>138004.45000000001</v>
      </c>
      <c r="S25" s="28" t="s">
        <v>286</v>
      </c>
      <c r="T25" s="17" t="s">
        <v>287</v>
      </c>
      <c r="U25" s="17">
        <v>798</v>
      </c>
      <c r="V25" s="17">
        <v>200</v>
      </c>
      <c r="W25" s="17">
        <v>1100</v>
      </c>
      <c r="X25" s="65">
        <f>(W25-U25)*V25</f>
        <v>60400</v>
      </c>
      <c r="Y25" s="98" t="s">
        <v>313</v>
      </c>
      <c r="Z25" s="66">
        <f>(W25-U25)*100/U25</f>
        <v>37.844611528822057</v>
      </c>
      <c r="AA25" s="60">
        <f>U25*V25</f>
        <v>159600</v>
      </c>
      <c r="AB25" s="9"/>
      <c r="AC25" s="17"/>
      <c r="AD25" s="102"/>
      <c r="AE25" s="102"/>
      <c r="AF25" s="102"/>
    </row>
    <row r="26" spans="1:32" ht="15.75" customHeight="1">
      <c r="A26" s="3" t="s">
        <v>53</v>
      </c>
      <c r="B26" s="31" t="s">
        <v>314</v>
      </c>
      <c r="C26" s="3">
        <v>3415</v>
      </c>
      <c r="D26" s="3">
        <v>100</v>
      </c>
      <c r="E26" s="16" t="s">
        <v>295</v>
      </c>
      <c r="F26" s="8">
        <f ca="1">IFERROR(__xludf.DUMMYFUNCTION("GOOGLEFINANCE(A26,""price"")"),3989)</f>
        <v>3989</v>
      </c>
      <c r="G26" s="118">
        <f t="shared" ca="1" si="3"/>
        <v>57400</v>
      </c>
      <c r="K26" s="67">
        <f t="shared" ca="1" si="4"/>
        <v>16.808199121522694</v>
      </c>
      <c r="L26" s="68">
        <f t="shared" si="5"/>
        <v>341500</v>
      </c>
      <c r="N26" s="105"/>
      <c r="S26" s="9"/>
      <c r="T26" s="17"/>
      <c r="U26" s="17"/>
      <c r="V26" s="17"/>
      <c r="W26" s="17"/>
      <c r="X26" s="127"/>
      <c r="Y26" s="87"/>
      <c r="Z26" s="128"/>
      <c r="AA26" s="60"/>
      <c r="AC26" s="17"/>
      <c r="AD26" s="102"/>
      <c r="AE26" s="102"/>
      <c r="AF26" s="102"/>
    </row>
    <row r="27" spans="1:32" ht="15.75" customHeight="1">
      <c r="A27" s="3" t="s">
        <v>38</v>
      </c>
      <c r="B27" s="31" t="s">
        <v>315</v>
      </c>
      <c r="C27" s="3">
        <v>476</v>
      </c>
      <c r="D27" s="3">
        <v>500</v>
      </c>
      <c r="E27" s="16" t="s">
        <v>295</v>
      </c>
      <c r="F27" s="8">
        <f ca="1">IFERROR(__xludf.DUMMYFUNCTION("GOOGLEFINANCE(A27,""price"")"),461)</f>
        <v>461</v>
      </c>
      <c r="G27" s="118">
        <f t="shared" ca="1" si="3"/>
        <v>-7500</v>
      </c>
      <c r="K27" s="67">
        <f t="shared" ca="1" si="4"/>
        <v>-3.1512605042016806</v>
      </c>
      <c r="L27" s="68">
        <f t="shared" si="5"/>
        <v>238000</v>
      </c>
      <c r="N27" s="5"/>
      <c r="S27" s="9" t="s">
        <v>316</v>
      </c>
      <c r="T27" s="17" t="s">
        <v>280</v>
      </c>
      <c r="U27" s="17">
        <v>75</v>
      </c>
      <c r="V27" s="17">
        <v>90</v>
      </c>
      <c r="W27" s="17">
        <v>79</v>
      </c>
      <c r="X27" s="65">
        <f t="shared" ref="X27:X39" si="10">(W27-U27)*V27</f>
        <v>360</v>
      </c>
      <c r="Y27" s="17" t="s">
        <v>317</v>
      </c>
      <c r="Z27" s="66">
        <f t="shared" ref="Z27:Z39" si="11">(W27-U27)*100/U27</f>
        <v>5.333333333333333</v>
      </c>
      <c r="AA27" s="60">
        <f t="shared" ref="AA27:AA39" si="12">U27*V27</f>
        <v>6750</v>
      </c>
      <c r="AC27" s="17"/>
      <c r="AD27" s="102"/>
      <c r="AE27" s="102"/>
      <c r="AF27" s="102"/>
    </row>
    <row r="28" spans="1:32" ht="15.75" customHeight="1">
      <c r="A28" s="3" t="s">
        <v>40</v>
      </c>
      <c r="B28" s="31" t="s">
        <v>318</v>
      </c>
      <c r="C28" s="3">
        <v>25.6</v>
      </c>
      <c r="D28" s="3">
        <v>8000</v>
      </c>
      <c r="E28" s="16" t="s">
        <v>295</v>
      </c>
      <c r="F28" s="8">
        <f ca="1">IFERROR(__xludf.DUMMYFUNCTION("GOOGLEFINANCE(A28,""price"")"),20.6)</f>
        <v>20.6</v>
      </c>
      <c r="G28" s="118">
        <f t="shared" ca="1" si="3"/>
        <v>-40000</v>
      </c>
      <c r="K28" s="67">
        <f t="shared" ca="1" si="4"/>
        <v>-19.53125</v>
      </c>
      <c r="L28" s="68">
        <f t="shared" si="5"/>
        <v>204800</v>
      </c>
      <c r="N28" s="5"/>
      <c r="S28" s="9" t="s">
        <v>316</v>
      </c>
      <c r="T28" s="17" t="s">
        <v>280</v>
      </c>
      <c r="U28" s="17">
        <v>75</v>
      </c>
      <c r="V28" s="17">
        <v>2910</v>
      </c>
      <c r="W28" s="17">
        <v>79</v>
      </c>
      <c r="X28" s="65">
        <f t="shared" si="10"/>
        <v>11640</v>
      </c>
      <c r="Y28" s="17" t="s">
        <v>319</v>
      </c>
      <c r="Z28" s="66">
        <f t="shared" si="11"/>
        <v>5.333333333333333</v>
      </c>
      <c r="AA28" s="60">
        <f t="shared" si="12"/>
        <v>218250</v>
      </c>
      <c r="AC28" s="17"/>
      <c r="AD28" s="102"/>
      <c r="AE28" s="102"/>
      <c r="AF28" s="102"/>
    </row>
    <row r="29" spans="1:32" ht="15.75" customHeight="1">
      <c r="A29" s="3" t="s">
        <v>72</v>
      </c>
      <c r="B29" s="31" t="s">
        <v>320</v>
      </c>
      <c r="C29" s="3">
        <v>111</v>
      </c>
      <c r="D29" s="3">
        <v>1500</v>
      </c>
      <c r="E29" s="16" t="s">
        <v>295</v>
      </c>
      <c r="F29" s="8">
        <f ca="1">IFERROR(__xludf.DUMMYFUNCTION("GOOGLEFINANCE(A29,""price"")"),141.95)</f>
        <v>141.94999999999999</v>
      </c>
      <c r="G29" s="118">
        <f t="shared" ca="1" si="3"/>
        <v>46424.999999999985</v>
      </c>
      <c r="K29" s="67">
        <f t="shared" ca="1" si="4"/>
        <v>27.882882882882875</v>
      </c>
      <c r="L29" s="68">
        <f t="shared" si="5"/>
        <v>166500</v>
      </c>
      <c r="N29" s="5"/>
      <c r="S29" s="9" t="s">
        <v>321</v>
      </c>
      <c r="T29" s="17" t="s">
        <v>288</v>
      </c>
      <c r="U29" s="17">
        <v>237.9</v>
      </c>
      <c r="V29" s="17">
        <v>500</v>
      </c>
      <c r="W29" s="17">
        <v>236</v>
      </c>
      <c r="X29" s="65">
        <f t="shared" si="10"/>
        <v>-950.00000000000284</v>
      </c>
      <c r="Y29" s="17" t="s">
        <v>319</v>
      </c>
      <c r="Z29" s="66">
        <f t="shared" si="11"/>
        <v>-0.79865489701555514</v>
      </c>
      <c r="AA29" s="60">
        <f t="shared" si="12"/>
        <v>118950</v>
      </c>
      <c r="AC29" s="17"/>
      <c r="AD29" s="102"/>
      <c r="AE29" s="102"/>
      <c r="AF29" s="102"/>
    </row>
    <row r="30" spans="1:32" ht="15.75" customHeight="1">
      <c r="A30" s="129" t="s">
        <v>56</v>
      </c>
      <c r="B30" s="31" t="s">
        <v>322</v>
      </c>
      <c r="C30" s="126">
        <v>423.45</v>
      </c>
      <c r="D30" s="126">
        <v>800</v>
      </c>
      <c r="E30" s="16" t="s">
        <v>295</v>
      </c>
      <c r="F30" s="8">
        <f ca="1">IFERROR(__xludf.DUMMYFUNCTION("GOOGLEFINANCE(A30,""price"")"),402)</f>
        <v>402</v>
      </c>
      <c r="G30" s="118">
        <f t="shared" ca="1" si="3"/>
        <v>-17159.999999999993</v>
      </c>
      <c r="K30" s="67">
        <f t="shared" ca="1" si="4"/>
        <v>-5.0655331207934804</v>
      </c>
      <c r="L30" s="68">
        <f t="shared" si="5"/>
        <v>338760</v>
      </c>
      <c r="N30" s="5"/>
      <c r="S30" s="9" t="s">
        <v>323</v>
      </c>
      <c r="T30" s="17" t="s">
        <v>274</v>
      </c>
      <c r="U30" s="17">
        <v>2383</v>
      </c>
      <c r="V30" s="17">
        <v>90</v>
      </c>
      <c r="W30" s="17">
        <v>2636</v>
      </c>
      <c r="X30" s="65">
        <f t="shared" si="10"/>
        <v>22770</v>
      </c>
      <c r="Y30" s="17" t="s">
        <v>319</v>
      </c>
      <c r="Z30" s="66">
        <f t="shared" si="11"/>
        <v>10.616869492236676</v>
      </c>
      <c r="AA30" s="60">
        <f t="shared" si="12"/>
        <v>214470</v>
      </c>
      <c r="AC30" s="17"/>
      <c r="AD30" s="102"/>
      <c r="AE30" s="102"/>
      <c r="AF30" s="102"/>
    </row>
    <row r="31" spans="1:32" ht="15.75" customHeight="1">
      <c r="A31" s="3" t="s">
        <v>28</v>
      </c>
      <c r="B31" s="31" t="s">
        <v>324</v>
      </c>
      <c r="C31" s="126">
        <v>491.47</v>
      </c>
      <c r="D31" s="126">
        <v>800</v>
      </c>
      <c r="E31" s="16" t="s">
        <v>295</v>
      </c>
      <c r="F31" s="8">
        <f ca="1">IFERROR(__xludf.DUMMYFUNCTION("GOOGLEFINANCE(A31,""price"")"),513.5)</f>
        <v>513.5</v>
      </c>
      <c r="G31" s="118">
        <f t="shared" ca="1" si="3"/>
        <v>17623.999999999978</v>
      </c>
      <c r="K31" s="67">
        <f t="shared" ca="1" si="4"/>
        <v>4.4824709544834827</v>
      </c>
      <c r="L31" s="68">
        <f t="shared" si="5"/>
        <v>393176</v>
      </c>
      <c r="N31" s="5"/>
      <c r="S31" s="17" t="s">
        <v>134</v>
      </c>
      <c r="T31" s="17" t="s">
        <v>325</v>
      </c>
      <c r="U31" s="17">
        <v>248.8</v>
      </c>
      <c r="V31" s="17">
        <v>427</v>
      </c>
      <c r="W31" s="17">
        <v>247.65</v>
      </c>
      <c r="X31" s="65">
        <f t="shared" si="10"/>
        <v>-491.05000000000246</v>
      </c>
      <c r="Y31" s="17" t="s">
        <v>319</v>
      </c>
      <c r="Z31" s="66">
        <f t="shared" si="11"/>
        <v>-0.46221864951768715</v>
      </c>
      <c r="AA31" s="60">
        <f t="shared" si="12"/>
        <v>106237.6</v>
      </c>
      <c r="AC31" s="17"/>
      <c r="AD31" s="102"/>
      <c r="AE31" s="102"/>
      <c r="AF31" s="102"/>
    </row>
    <row r="32" spans="1:32" ht="15.75" customHeight="1">
      <c r="A32" s="3" t="s">
        <v>49</v>
      </c>
      <c r="B32" s="31" t="s">
        <v>326</v>
      </c>
      <c r="C32" s="126">
        <v>1611.72</v>
      </c>
      <c r="D32" s="126">
        <v>200</v>
      </c>
      <c r="E32" s="16" t="s">
        <v>295</v>
      </c>
      <c r="F32" s="8">
        <f ca="1">IFERROR(__xludf.DUMMYFUNCTION("GOOGLEFINANCE(A32,""price"")"),2030)</f>
        <v>2030</v>
      </c>
      <c r="G32" s="118">
        <f t="shared" ca="1" si="3"/>
        <v>83656</v>
      </c>
      <c r="K32" s="67">
        <f t="shared" ca="1" si="4"/>
        <v>25.952398679671408</v>
      </c>
      <c r="L32" s="68">
        <f t="shared" si="5"/>
        <v>322344</v>
      </c>
      <c r="N32" s="5"/>
      <c r="S32" s="9" t="s">
        <v>327</v>
      </c>
      <c r="T32" s="17" t="s">
        <v>266</v>
      </c>
      <c r="U32" s="17">
        <v>945.5</v>
      </c>
      <c r="V32" s="17">
        <v>300</v>
      </c>
      <c r="W32" s="17">
        <v>1203</v>
      </c>
      <c r="X32" s="65">
        <f t="shared" si="10"/>
        <v>77250</v>
      </c>
      <c r="Y32" s="17" t="s">
        <v>328</v>
      </c>
      <c r="Z32" s="66">
        <f t="shared" si="11"/>
        <v>27.234267583289267</v>
      </c>
      <c r="AA32" s="60">
        <f t="shared" si="12"/>
        <v>283650</v>
      </c>
      <c r="AC32" s="17"/>
      <c r="AD32" s="102"/>
      <c r="AE32" s="102"/>
      <c r="AF32" s="102"/>
    </row>
    <row r="33" spans="1:32" ht="15.75" customHeight="1">
      <c r="A33" s="3" t="s">
        <v>82</v>
      </c>
      <c r="B33" s="31" t="s">
        <v>329</v>
      </c>
      <c r="C33" s="126">
        <v>67.55</v>
      </c>
      <c r="D33" s="126">
        <v>4500</v>
      </c>
      <c r="E33" s="16" t="s">
        <v>295</v>
      </c>
      <c r="F33" s="8">
        <f ca="1">IFERROR(__xludf.DUMMYFUNCTION("GOOGLEFINANCE(A33,""price"")"),71.9)</f>
        <v>71.900000000000006</v>
      </c>
      <c r="G33" s="118">
        <f t="shared" ca="1" si="3"/>
        <v>19575.00000000004</v>
      </c>
      <c r="K33" s="67">
        <f t="shared" ca="1" si="4"/>
        <v>6.4396743153219962</v>
      </c>
      <c r="L33" s="68">
        <f t="shared" si="5"/>
        <v>303975</v>
      </c>
      <c r="N33" s="5"/>
      <c r="O33" s="9"/>
      <c r="S33" s="9" t="s">
        <v>330</v>
      </c>
      <c r="T33" s="17" t="s">
        <v>303</v>
      </c>
      <c r="U33" s="17">
        <v>187</v>
      </c>
      <c r="V33" s="17">
        <v>1000</v>
      </c>
      <c r="W33" s="17">
        <v>217</v>
      </c>
      <c r="X33" s="65">
        <f t="shared" si="10"/>
        <v>30000</v>
      </c>
      <c r="Y33" s="20" t="s">
        <v>331</v>
      </c>
      <c r="Z33" s="66">
        <f t="shared" si="11"/>
        <v>16.042780748663102</v>
      </c>
      <c r="AA33" s="60">
        <f t="shared" si="12"/>
        <v>187000</v>
      </c>
      <c r="AC33" s="17"/>
      <c r="AD33" s="51"/>
      <c r="AE33" s="103"/>
      <c r="AF33" s="102"/>
    </row>
    <row r="34" spans="1:32" ht="15.75" customHeight="1">
      <c r="A34" s="3" t="s">
        <v>66</v>
      </c>
      <c r="B34" s="31" t="s">
        <v>332</v>
      </c>
      <c r="C34" s="3">
        <v>7831</v>
      </c>
      <c r="D34" s="3">
        <v>60</v>
      </c>
      <c r="E34" s="16" t="s">
        <v>295</v>
      </c>
      <c r="F34" s="8">
        <f ca="1">IFERROR(__xludf.DUMMYFUNCTION("GOOGLEFINANCE(A34,""price"")"),8540)</f>
        <v>8540</v>
      </c>
      <c r="G34" s="118">
        <f t="shared" ca="1" si="3"/>
        <v>42540</v>
      </c>
      <c r="K34" s="67">
        <f t="shared" ca="1" si="4"/>
        <v>9.0537606946750095</v>
      </c>
      <c r="L34" s="68">
        <f t="shared" si="5"/>
        <v>469860</v>
      </c>
      <c r="N34" s="5"/>
      <c r="S34" s="9" t="s">
        <v>333</v>
      </c>
      <c r="T34" s="17" t="s">
        <v>334</v>
      </c>
      <c r="U34" s="17">
        <v>1037</v>
      </c>
      <c r="V34" s="17">
        <v>250</v>
      </c>
      <c r="W34" s="17">
        <v>1022</v>
      </c>
      <c r="X34" s="65">
        <f t="shared" si="10"/>
        <v>-3750</v>
      </c>
      <c r="Y34" s="20" t="s">
        <v>335</v>
      </c>
      <c r="Z34" s="66">
        <f t="shared" si="11"/>
        <v>-1.446480231436837</v>
      </c>
      <c r="AA34" s="60">
        <f t="shared" si="12"/>
        <v>259250</v>
      </c>
      <c r="AC34" s="17"/>
      <c r="AD34" s="51"/>
      <c r="AE34" s="103"/>
      <c r="AF34" s="102"/>
    </row>
    <row r="35" spans="1:32" ht="15.75" customHeight="1">
      <c r="A35" s="3" t="s">
        <v>52</v>
      </c>
      <c r="B35" s="31" t="s">
        <v>336</v>
      </c>
      <c r="C35" s="126">
        <v>641.12</v>
      </c>
      <c r="D35" s="126">
        <v>500</v>
      </c>
      <c r="E35" s="16" t="s">
        <v>295</v>
      </c>
      <c r="F35" s="8">
        <f ca="1">IFERROR(__xludf.DUMMYFUNCTION("GOOGLEFINANCE(A35,""price"")"),658)</f>
        <v>658</v>
      </c>
      <c r="G35" s="118">
        <f t="shared" ca="1" si="3"/>
        <v>8439.9999999999982</v>
      </c>
      <c r="K35" s="67">
        <f t="shared" ca="1" si="4"/>
        <v>2.6328924382330912</v>
      </c>
      <c r="L35" s="68">
        <f t="shared" si="5"/>
        <v>320560</v>
      </c>
      <c r="N35" s="5"/>
      <c r="S35" s="9" t="s">
        <v>337</v>
      </c>
      <c r="T35" s="17" t="s">
        <v>255</v>
      </c>
      <c r="U35" s="17">
        <v>45</v>
      </c>
      <c r="V35" s="17">
        <v>3600</v>
      </c>
      <c r="W35" s="17">
        <v>45.6</v>
      </c>
      <c r="X35" s="65">
        <f t="shared" si="10"/>
        <v>2160.000000000005</v>
      </c>
      <c r="Y35" s="20" t="s">
        <v>338</v>
      </c>
      <c r="Z35" s="66">
        <f t="shared" si="11"/>
        <v>1.3333333333333366</v>
      </c>
      <c r="AA35" s="60">
        <f t="shared" si="12"/>
        <v>162000</v>
      </c>
      <c r="AC35" s="17"/>
      <c r="AD35" s="51"/>
      <c r="AE35" s="103"/>
      <c r="AF35" s="102"/>
    </row>
    <row r="36" spans="1:32" ht="15.75" customHeight="1">
      <c r="A36" s="3" t="s">
        <v>54</v>
      </c>
      <c r="B36" s="31" t="s">
        <v>339</v>
      </c>
      <c r="C36" s="3">
        <v>2349</v>
      </c>
      <c r="D36" s="3">
        <v>200</v>
      </c>
      <c r="E36" s="16" t="s">
        <v>295</v>
      </c>
      <c r="F36" s="8">
        <f ca="1">IFERROR(__xludf.DUMMYFUNCTION("GOOGLEFINANCE(A36,""price"")"),2410)</f>
        <v>2410</v>
      </c>
      <c r="G36" s="118">
        <f t="shared" ca="1" si="3"/>
        <v>12200</v>
      </c>
      <c r="K36" s="67">
        <f t="shared" ca="1" si="4"/>
        <v>2.5968497232865051</v>
      </c>
      <c r="L36" s="68">
        <f t="shared" si="5"/>
        <v>469800</v>
      </c>
      <c r="N36" s="5"/>
      <c r="S36" s="9" t="s">
        <v>340</v>
      </c>
      <c r="T36" s="17" t="s">
        <v>341</v>
      </c>
      <c r="U36" s="17">
        <v>159</v>
      </c>
      <c r="V36" s="17">
        <v>1000</v>
      </c>
      <c r="W36" s="17">
        <v>149.05000000000001</v>
      </c>
      <c r="X36" s="65">
        <f t="shared" si="10"/>
        <v>-9949.9999999999891</v>
      </c>
      <c r="Y36" s="20" t="s">
        <v>342</v>
      </c>
      <c r="Z36" s="66">
        <f t="shared" si="11"/>
        <v>-6.2578616352201184</v>
      </c>
      <c r="AA36" s="60">
        <f t="shared" si="12"/>
        <v>159000</v>
      </c>
      <c r="AC36" s="17"/>
      <c r="AD36" s="51"/>
      <c r="AE36" s="103"/>
      <c r="AF36" s="102"/>
    </row>
    <row r="37" spans="1:32" ht="15.75" customHeight="1">
      <c r="A37" s="3" t="s">
        <v>73</v>
      </c>
      <c r="B37" s="31" t="s">
        <v>343</v>
      </c>
      <c r="C37" s="3">
        <v>4120</v>
      </c>
      <c r="D37" s="126">
        <v>225</v>
      </c>
      <c r="E37" s="16" t="s">
        <v>295</v>
      </c>
      <c r="F37" s="8">
        <f ca="1">IFERROR(__xludf.DUMMYFUNCTION("GOOGLEFINANCE(A37,""price"")"),4003.8)</f>
        <v>4003.8</v>
      </c>
      <c r="G37" s="118">
        <f t="shared" ca="1" si="3"/>
        <v>-26144.99999999996</v>
      </c>
      <c r="K37" s="67">
        <f t="shared" ca="1" si="4"/>
        <v>-2.8203883495145585</v>
      </c>
      <c r="L37" s="68">
        <f t="shared" si="5"/>
        <v>927000</v>
      </c>
      <c r="N37" s="5"/>
      <c r="S37" s="17" t="s">
        <v>344</v>
      </c>
      <c r="T37" s="17" t="s">
        <v>345</v>
      </c>
      <c r="U37" s="17">
        <v>355</v>
      </c>
      <c r="V37" s="17">
        <v>500</v>
      </c>
      <c r="W37" s="17">
        <v>330</v>
      </c>
      <c r="X37" s="65">
        <f t="shared" si="10"/>
        <v>-12500</v>
      </c>
      <c r="Y37" s="20" t="s">
        <v>342</v>
      </c>
      <c r="Z37" s="66">
        <f t="shared" si="11"/>
        <v>-7.042253521126761</v>
      </c>
      <c r="AA37" s="60">
        <f t="shared" si="12"/>
        <v>177500</v>
      </c>
      <c r="AB37" s="22"/>
      <c r="AC37" s="17"/>
      <c r="AD37" s="123"/>
      <c r="AE37" s="103"/>
      <c r="AF37" s="102"/>
    </row>
    <row r="38" spans="1:32" ht="15.75" customHeight="1">
      <c r="A38" s="3" t="s">
        <v>10</v>
      </c>
      <c r="B38" s="31" t="s">
        <v>346</v>
      </c>
      <c r="C38" s="3">
        <v>389.8</v>
      </c>
      <c r="D38" s="3">
        <v>900</v>
      </c>
      <c r="E38" s="16" t="s">
        <v>295</v>
      </c>
      <c r="F38" s="8">
        <f ca="1">IFERROR(__xludf.DUMMYFUNCTION("GOOGLEFINANCE(A38,""price"")"),480)</f>
        <v>480</v>
      </c>
      <c r="G38" s="118">
        <f t="shared" ca="1" si="3"/>
        <v>81179.999999999985</v>
      </c>
      <c r="K38" s="67">
        <f t="shared" ca="1" si="4"/>
        <v>23.140071831708564</v>
      </c>
      <c r="L38" s="68">
        <f t="shared" si="5"/>
        <v>350820</v>
      </c>
      <c r="N38" s="5"/>
      <c r="S38" s="9" t="s">
        <v>347</v>
      </c>
      <c r="T38" s="17" t="s">
        <v>348</v>
      </c>
      <c r="U38" s="17">
        <v>62.5</v>
      </c>
      <c r="V38" s="17">
        <v>2000</v>
      </c>
      <c r="W38" s="17">
        <v>46</v>
      </c>
      <c r="X38" s="65">
        <f t="shared" si="10"/>
        <v>-33000</v>
      </c>
      <c r="Y38" s="20" t="s">
        <v>349</v>
      </c>
      <c r="Z38" s="66">
        <f t="shared" si="11"/>
        <v>-26.4</v>
      </c>
      <c r="AA38" s="60">
        <f t="shared" si="12"/>
        <v>125000</v>
      </c>
      <c r="AC38" s="17"/>
      <c r="AD38" s="51"/>
      <c r="AE38" s="103"/>
      <c r="AF38" s="102"/>
    </row>
    <row r="39" spans="1:32" ht="15.75" customHeight="1">
      <c r="A39" s="3" t="s">
        <v>22</v>
      </c>
      <c r="B39" s="31" t="s">
        <v>350</v>
      </c>
      <c r="C39" s="3">
        <v>117.8</v>
      </c>
      <c r="D39" s="3">
        <v>3446</v>
      </c>
      <c r="E39" s="16" t="s">
        <v>295</v>
      </c>
      <c r="F39" s="8">
        <f ca="1">IFERROR(__xludf.DUMMYFUNCTION("GOOGLEFINANCE(A39,""price"")"),122)</f>
        <v>122</v>
      </c>
      <c r="G39" s="118">
        <f t="shared" ca="1" si="3"/>
        <v>14473.20000000001</v>
      </c>
      <c r="K39" s="67">
        <f t="shared" ca="1" si="4"/>
        <v>3.5653650254668956</v>
      </c>
      <c r="L39" s="68">
        <f t="shared" si="5"/>
        <v>405938.8</v>
      </c>
      <c r="N39" s="5"/>
      <c r="S39" s="9" t="s">
        <v>351</v>
      </c>
      <c r="T39" s="17" t="s">
        <v>266</v>
      </c>
      <c r="U39" s="17">
        <v>191.46</v>
      </c>
      <c r="V39" s="17">
        <v>1000</v>
      </c>
      <c r="W39" s="17">
        <v>190</v>
      </c>
      <c r="X39" s="65">
        <f t="shared" si="10"/>
        <v>-1460.000000000008</v>
      </c>
      <c r="Y39" s="20" t="s">
        <v>349</v>
      </c>
      <c r="Z39" s="66">
        <f t="shared" si="11"/>
        <v>-0.76256137052126183</v>
      </c>
      <c r="AA39" s="60">
        <f t="shared" si="12"/>
        <v>191460</v>
      </c>
      <c r="AC39" s="17"/>
      <c r="AD39" s="130"/>
      <c r="AE39" s="103"/>
      <c r="AF39" s="102"/>
    </row>
    <row r="40" spans="1:32" ht="15.75" customHeight="1">
      <c r="A40" s="3" t="s">
        <v>74</v>
      </c>
      <c r="B40" s="31" t="s">
        <v>352</v>
      </c>
      <c r="C40" s="3">
        <v>526.1</v>
      </c>
      <c r="D40" s="3">
        <v>500</v>
      </c>
      <c r="E40" s="16" t="s">
        <v>295</v>
      </c>
      <c r="F40" s="8">
        <f ca="1">IFERROR(__xludf.DUMMYFUNCTION("GOOGLEFINANCE(A40,""price"")"),544)</f>
        <v>544</v>
      </c>
      <c r="G40" s="118">
        <f t="shared" ca="1" si="3"/>
        <v>8949.9999999999891</v>
      </c>
      <c r="K40" s="67">
        <f t="shared" ca="1" si="4"/>
        <v>3.4023949819425918</v>
      </c>
      <c r="L40" s="68">
        <f t="shared" si="5"/>
        <v>263050</v>
      </c>
      <c r="N40" s="5"/>
      <c r="S40" s="17"/>
      <c r="T40" s="17"/>
      <c r="U40" s="17"/>
      <c r="V40" s="17"/>
      <c r="W40" s="17"/>
      <c r="X40" s="127"/>
      <c r="Y40" s="40"/>
      <c r="Z40" s="128"/>
      <c r="AA40" s="60"/>
      <c r="AB40" s="22"/>
      <c r="AC40" s="17"/>
      <c r="AD40" s="128"/>
      <c r="AE40" s="103"/>
      <c r="AF40" s="102"/>
    </row>
    <row r="41" spans="1:32" ht="15.75" customHeight="1">
      <c r="A41" s="3" t="s">
        <v>55</v>
      </c>
      <c r="B41" s="31" t="s">
        <v>353</v>
      </c>
      <c r="C41" s="3">
        <v>145.30000000000001</v>
      </c>
      <c r="D41" s="3">
        <v>1000</v>
      </c>
      <c r="E41" s="16" t="s">
        <v>295</v>
      </c>
      <c r="F41" s="8">
        <f ca="1">IFERROR(__xludf.DUMMYFUNCTION("GOOGLEFINANCE(A41,""price"")"),162.5)</f>
        <v>162.5</v>
      </c>
      <c r="G41" s="118">
        <f t="shared" ca="1" si="3"/>
        <v>17199.999999999989</v>
      </c>
      <c r="K41" s="67">
        <f t="shared" ca="1" si="4"/>
        <v>11.837577426015132</v>
      </c>
      <c r="L41" s="68">
        <f t="shared" si="5"/>
        <v>145300</v>
      </c>
      <c r="N41" s="5"/>
      <c r="S41" s="9" t="s">
        <v>354</v>
      </c>
      <c r="T41" s="17" t="s">
        <v>345</v>
      </c>
      <c r="U41" s="17">
        <v>214.2</v>
      </c>
      <c r="V41" s="17">
        <v>750</v>
      </c>
      <c r="W41" s="17">
        <v>212</v>
      </c>
      <c r="X41" s="65">
        <f t="shared" ref="X41:X57" si="13">(W41-U41)*V41</f>
        <v>-1649.9999999999914</v>
      </c>
      <c r="Y41" s="131" t="s">
        <v>355</v>
      </c>
      <c r="Z41" s="66">
        <f t="shared" ref="Z41:Z57" si="14">(W41-U41)*100/U41</f>
        <v>-1.0270774976657278</v>
      </c>
      <c r="AA41" s="60">
        <f t="shared" ref="AA41:AA57" si="15">U41*V41</f>
        <v>160650</v>
      </c>
      <c r="AB41" s="17"/>
      <c r="AC41" s="17"/>
      <c r="AD41" s="88"/>
      <c r="AE41" s="120"/>
      <c r="AF41" s="102"/>
    </row>
    <row r="42" spans="1:32" ht="15.75" customHeight="1">
      <c r="A42" s="3" t="s">
        <v>25</v>
      </c>
      <c r="B42" s="31" t="s">
        <v>356</v>
      </c>
      <c r="C42" s="3">
        <v>99</v>
      </c>
      <c r="D42" s="3">
        <v>1104</v>
      </c>
      <c r="E42" s="16" t="s">
        <v>295</v>
      </c>
      <c r="F42" s="8">
        <f ca="1">IFERROR(__xludf.DUMMYFUNCTION("GOOGLEFINANCE(A42,""price"")"),104.85)</f>
        <v>104.85</v>
      </c>
      <c r="G42" s="118">
        <f t="shared" ca="1" si="3"/>
        <v>6458.3999999999942</v>
      </c>
      <c r="K42" s="67">
        <f t="shared" ca="1" si="4"/>
        <v>5.909090909090903</v>
      </c>
      <c r="L42" s="68">
        <f t="shared" si="5"/>
        <v>109296</v>
      </c>
      <c r="N42" s="5"/>
      <c r="S42" s="9" t="s">
        <v>354</v>
      </c>
      <c r="T42" s="17" t="s">
        <v>357</v>
      </c>
      <c r="U42" s="46">
        <v>204.6</v>
      </c>
      <c r="V42" s="46">
        <v>200</v>
      </c>
      <c r="W42" s="17">
        <v>212</v>
      </c>
      <c r="X42" s="65">
        <f t="shared" si="13"/>
        <v>1480.0000000000011</v>
      </c>
      <c r="Y42" s="131" t="s">
        <v>355</v>
      </c>
      <c r="Z42" s="66">
        <f t="shared" si="14"/>
        <v>3.6168132942326521</v>
      </c>
      <c r="AA42" s="60">
        <f t="shared" si="15"/>
        <v>40920</v>
      </c>
      <c r="AC42" s="17"/>
      <c r="AD42" s="130"/>
      <c r="AE42" s="103"/>
      <c r="AF42" s="102"/>
    </row>
    <row r="43" spans="1:32" ht="15.75" customHeight="1">
      <c r="A43" s="3" t="s">
        <v>27</v>
      </c>
      <c r="B43" s="31" t="s">
        <v>358</v>
      </c>
      <c r="C43" s="3">
        <v>1695</v>
      </c>
      <c r="D43" s="3">
        <v>100</v>
      </c>
      <c r="E43" s="16" t="s">
        <v>295</v>
      </c>
      <c r="F43" s="8">
        <f ca="1">IFERROR(__xludf.DUMMYFUNCTION("GOOGLEFINANCE(A43,""price"")"),1788.8)</f>
        <v>1788.8</v>
      </c>
      <c r="G43" s="118">
        <f t="shared" ca="1" si="3"/>
        <v>9379.9999999999964</v>
      </c>
      <c r="K43" s="67">
        <f t="shared" ca="1" si="4"/>
        <v>5.5339233038348059</v>
      </c>
      <c r="L43" s="68">
        <f t="shared" si="5"/>
        <v>169500</v>
      </c>
      <c r="N43" s="5"/>
      <c r="S43" s="9" t="s">
        <v>359</v>
      </c>
      <c r="T43" s="17" t="s">
        <v>288</v>
      </c>
      <c r="U43" s="17">
        <v>116.5</v>
      </c>
      <c r="V43" s="17">
        <v>2000</v>
      </c>
      <c r="W43" s="17">
        <v>152.5</v>
      </c>
      <c r="X43" s="65">
        <f t="shared" si="13"/>
        <v>72000</v>
      </c>
      <c r="Y43" s="131" t="s">
        <v>360</v>
      </c>
      <c r="Z43" s="66">
        <f t="shared" si="14"/>
        <v>30.901287553648068</v>
      </c>
      <c r="AA43" s="60">
        <f t="shared" si="15"/>
        <v>233000</v>
      </c>
      <c r="AC43" s="17"/>
      <c r="AD43" s="130"/>
      <c r="AE43" s="103"/>
      <c r="AF43" s="102"/>
    </row>
    <row r="44" spans="1:32" ht="15.75" customHeight="1">
      <c r="A44" s="3" t="s">
        <v>23</v>
      </c>
      <c r="B44" s="31" t="s">
        <v>361</v>
      </c>
      <c r="C44" s="3">
        <v>303</v>
      </c>
      <c r="D44" s="3">
        <v>1500</v>
      </c>
      <c r="E44" s="16" t="s">
        <v>295</v>
      </c>
      <c r="F44" s="8">
        <f ca="1">IFERROR(__xludf.DUMMYFUNCTION("GOOGLEFINANCE(A44,""price"")"),304)</f>
        <v>304</v>
      </c>
      <c r="G44" s="118">
        <f t="shared" ca="1" si="3"/>
        <v>1500</v>
      </c>
      <c r="K44" s="67">
        <f t="shared" ca="1" si="4"/>
        <v>0.33003300330033003</v>
      </c>
      <c r="L44" s="68">
        <f t="shared" si="5"/>
        <v>454500</v>
      </c>
      <c r="N44" s="5"/>
      <c r="S44" s="9" t="s">
        <v>362</v>
      </c>
      <c r="T44" s="17" t="s">
        <v>268</v>
      </c>
      <c r="U44" s="17">
        <v>418</v>
      </c>
      <c r="V44" s="17">
        <v>250</v>
      </c>
      <c r="W44" s="17">
        <v>982</v>
      </c>
      <c r="X44" s="65">
        <f t="shared" si="13"/>
        <v>141000</v>
      </c>
      <c r="Y44" s="131" t="s">
        <v>360</v>
      </c>
      <c r="Z44" s="66">
        <f t="shared" si="14"/>
        <v>134.92822966507177</v>
      </c>
      <c r="AA44" s="60">
        <f t="shared" si="15"/>
        <v>104500</v>
      </c>
      <c r="AD44" s="130"/>
      <c r="AE44" s="24"/>
      <c r="AF44" s="102"/>
    </row>
    <row r="45" spans="1:32" ht="15.75" customHeight="1">
      <c r="A45" s="3" t="s">
        <v>50</v>
      </c>
      <c r="B45" s="31" t="s">
        <v>363</v>
      </c>
      <c r="C45" s="3">
        <v>1086</v>
      </c>
      <c r="D45" s="3">
        <v>325</v>
      </c>
      <c r="E45" s="16" t="s">
        <v>295</v>
      </c>
      <c r="F45" s="8">
        <f ca="1">IFERROR(__xludf.DUMMYFUNCTION("GOOGLEFINANCE(A45,""price"")"),1062)</f>
        <v>1062</v>
      </c>
      <c r="G45" s="118">
        <f t="shared" ca="1" si="3"/>
        <v>-7800</v>
      </c>
      <c r="K45" s="67">
        <f t="shared" ca="1" si="4"/>
        <v>-2.2099447513812156</v>
      </c>
      <c r="L45" s="68">
        <f t="shared" si="5"/>
        <v>352950</v>
      </c>
      <c r="N45" s="5"/>
      <c r="S45" s="9" t="s">
        <v>364</v>
      </c>
      <c r="T45" s="17" t="s">
        <v>365</v>
      </c>
      <c r="U45" s="17">
        <v>1230</v>
      </c>
      <c r="V45" s="17">
        <v>100</v>
      </c>
      <c r="W45" s="17">
        <v>1800</v>
      </c>
      <c r="X45" s="65">
        <f t="shared" si="13"/>
        <v>57000</v>
      </c>
      <c r="Y45" s="131" t="s">
        <v>366</v>
      </c>
      <c r="Z45" s="66">
        <f t="shared" si="14"/>
        <v>46.341463414634148</v>
      </c>
      <c r="AA45" s="60">
        <f t="shared" si="15"/>
        <v>123000</v>
      </c>
      <c r="AD45" s="130"/>
      <c r="AE45" s="24"/>
      <c r="AF45" s="102"/>
    </row>
    <row r="46" spans="1:32" ht="15.75" customHeight="1">
      <c r="A46" s="3" t="s">
        <v>39</v>
      </c>
      <c r="B46" s="31" t="s">
        <v>367</v>
      </c>
      <c r="C46" s="3">
        <v>308.5</v>
      </c>
      <c r="D46" s="3">
        <v>1000</v>
      </c>
      <c r="E46" s="16" t="s">
        <v>295</v>
      </c>
      <c r="F46" s="8">
        <f ca="1">IFERROR(__xludf.DUMMYFUNCTION("GOOGLEFINANCE(A46,""price"")"),362.6)</f>
        <v>362.6</v>
      </c>
      <c r="G46" s="118">
        <f t="shared" ca="1" si="3"/>
        <v>54100.000000000022</v>
      </c>
      <c r="K46" s="67">
        <f t="shared" ca="1" si="4"/>
        <v>17.536466774716377</v>
      </c>
      <c r="L46" s="68">
        <f t="shared" si="5"/>
        <v>308500</v>
      </c>
      <c r="N46" s="5"/>
      <c r="S46" s="9" t="s">
        <v>368</v>
      </c>
      <c r="T46" s="17" t="s">
        <v>303</v>
      </c>
      <c r="U46" s="17">
        <v>380</v>
      </c>
      <c r="V46" s="17">
        <v>200</v>
      </c>
      <c r="W46" s="17">
        <v>491.5</v>
      </c>
      <c r="X46" s="65">
        <f t="shared" si="13"/>
        <v>22300</v>
      </c>
      <c r="Y46" s="131" t="s">
        <v>369</v>
      </c>
      <c r="Z46" s="66">
        <f t="shared" si="14"/>
        <v>29.342105263157894</v>
      </c>
      <c r="AA46" s="60">
        <f t="shared" si="15"/>
        <v>76000</v>
      </c>
      <c r="AB46" s="52"/>
      <c r="AD46" s="130"/>
      <c r="AE46" s="24"/>
      <c r="AF46" s="102"/>
    </row>
    <row r="47" spans="1:32" ht="15.75" customHeight="1">
      <c r="A47" s="3" t="s">
        <v>47</v>
      </c>
      <c r="B47" s="31" t="s">
        <v>370</v>
      </c>
      <c r="C47" s="126">
        <v>603.92999999999995</v>
      </c>
      <c r="D47" s="126">
        <v>500</v>
      </c>
      <c r="E47" s="16" t="s">
        <v>295</v>
      </c>
      <c r="F47" s="8">
        <f ca="1">IFERROR(__xludf.DUMMYFUNCTION("GOOGLEFINANCE(A47,""price"")"),608)</f>
        <v>608</v>
      </c>
      <c r="G47" s="118">
        <f t="shared" ca="1" si="3"/>
        <v>2035.000000000025</v>
      </c>
      <c r="K47" s="67">
        <f t="shared" ca="1" si="4"/>
        <v>0.67391916281689113</v>
      </c>
      <c r="L47" s="68">
        <f t="shared" si="5"/>
        <v>301965</v>
      </c>
      <c r="N47" s="5"/>
      <c r="S47" s="9" t="s">
        <v>371</v>
      </c>
      <c r="T47" s="17" t="s">
        <v>272</v>
      </c>
      <c r="U47" s="17">
        <v>297.5</v>
      </c>
      <c r="V47" s="17">
        <v>400</v>
      </c>
      <c r="W47" s="17">
        <v>447.2</v>
      </c>
      <c r="X47" s="65">
        <f t="shared" si="13"/>
        <v>59879.999999999993</v>
      </c>
      <c r="Y47" s="131" t="s">
        <v>369</v>
      </c>
      <c r="Z47" s="66">
        <f t="shared" si="14"/>
        <v>50.319327731092429</v>
      </c>
      <c r="AA47" s="60">
        <f t="shared" si="15"/>
        <v>119000</v>
      </c>
      <c r="AB47" s="22"/>
      <c r="AD47" s="128"/>
      <c r="AE47" s="24"/>
      <c r="AF47" s="102"/>
    </row>
    <row r="48" spans="1:32" ht="15.75" customHeight="1">
      <c r="A48" s="31" t="s">
        <v>44</v>
      </c>
      <c r="B48" s="31" t="s">
        <v>372</v>
      </c>
      <c r="C48" s="126">
        <v>696.08</v>
      </c>
      <c r="D48" s="126">
        <v>500</v>
      </c>
      <c r="E48" s="16" t="s">
        <v>295</v>
      </c>
      <c r="F48" s="8">
        <f ca="1">IFERROR(__xludf.DUMMYFUNCTION("GOOGLEFINANCE(A48,""price"")"),719.7)</f>
        <v>719.7</v>
      </c>
      <c r="G48" s="118">
        <f t="shared" ca="1" si="3"/>
        <v>11810.000000000002</v>
      </c>
      <c r="K48" s="67">
        <f t="shared" ca="1" si="4"/>
        <v>3.3932881278014024</v>
      </c>
      <c r="L48" s="68">
        <f t="shared" si="5"/>
        <v>348040</v>
      </c>
      <c r="N48" s="5"/>
      <c r="S48" s="9" t="s">
        <v>373</v>
      </c>
      <c r="T48" s="17" t="s">
        <v>374</v>
      </c>
      <c r="U48" s="17">
        <v>55</v>
      </c>
      <c r="V48" s="17">
        <v>4000</v>
      </c>
      <c r="W48" s="17">
        <v>57.45</v>
      </c>
      <c r="X48" s="65">
        <f t="shared" si="13"/>
        <v>9800.0000000000109</v>
      </c>
      <c r="Y48" s="131" t="s">
        <v>375</v>
      </c>
      <c r="Z48" s="66">
        <f t="shared" si="14"/>
        <v>4.4545454545454595</v>
      </c>
      <c r="AA48" s="60">
        <f t="shared" si="15"/>
        <v>220000</v>
      </c>
      <c r="AD48" s="130"/>
      <c r="AE48" s="24"/>
      <c r="AF48" s="102"/>
    </row>
    <row r="49" spans="1:32" ht="15.75" customHeight="1">
      <c r="A49" s="31" t="s">
        <v>51</v>
      </c>
      <c r="B49" s="31" t="s">
        <v>376</v>
      </c>
      <c r="C49" s="126">
        <v>551.65</v>
      </c>
      <c r="D49" s="126">
        <v>550</v>
      </c>
      <c r="E49" s="16" t="s">
        <v>295</v>
      </c>
      <c r="F49" s="8">
        <f ca="1">IFERROR(__xludf.DUMMYFUNCTION("GOOGLEFINANCE(A49,""price"")"),614.8)</f>
        <v>614.79999999999995</v>
      </c>
      <c r="G49" s="118">
        <f t="shared" ca="1" si="3"/>
        <v>34732.499999999985</v>
      </c>
      <c r="K49" s="67">
        <f t="shared" ca="1" si="4"/>
        <v>11.447475754554516</v>
      </c>
      <c r="L49" s="68">
        <f t="shared" si="5"/>
        <v>303407.5</v>
      </c>
      <c r="N49" s="5"/>
      <c r="S49" s="9" t="s">
        <v>321</v>
      </c>
      <c r="T49" s="17" t="s">
        <v>288</v>
      </c>
      <c r="U49" s="17">
        <v>237.9</v>
      </c>
      <c r="V49" s="17">
        <v>1000</v>
      </c>
      <c r="W49" s="17">
        <v>243.5</v>
      </c>
      <c r="X49" s="65">
        <f t="shared" si="13"/>
        <v>5599.9999999999945</v>
      </c>
      <c r="Y49" s="131" t="s">
        <v>375</v>
      </c>
      <c r="Z49" s="66">
        <f t="shared" si="14"/>
        <v>2.3539302227826795</v>
      </c>
      <c r="AA49" s="60">
        <f t="shared" si="15"/>
        <v>237900</v>
      </c>
      <c r="AC49" s="17"/>
      <c r="AD49" s="87"/>
      <c r="AE49" s="102"/>
      <c r="AF49" s="102"/>
    </row>
    <row r="50" spans="1:32" ht="15.75" customHeight="1">
      <c r="A50" s="31" t="s">
        <v>70</v>
      </c>
      <c r="B50" s="31" t="s">
        <v>377</v>
      </c>
      <c r="C50" s="126">
        <v>417.85</v>
      </c>
      <c r="D50" s="126">
        <v>800</v>
      </c>
      <c r="E50" s="16" t="s">
        <v>295</v>
      </c>
      <c r="F50" s="8">
        <f ca="1">IFERROR(__xludf.DUMMYFUNCTION("GOOGLEFINANCE(A50,""price"")"),431.9)</f>
        <v>431.9</v>
      </c>
      <c r="G50" s="118">
        <f t="shared" ca="1" si="3"/>
        <v>11239.999999999964</v>
      </c>
      <c r="J50" s="72"/>
      <c r="K50" s="67">
        <f t="shared" ca="1" si="4"/>
        <v>3.3624506401818723</v>
      </c>
      <c r="L50" s="68">
        <f t="shared" si="5"/>
        <v>334280</v>
      </c>
      <c r="N50" s="5"/>
      <c r="S50" s="17" t="s">
        <v>378</v>
      </c>
      <c r="T50" s="18">
        <v>45139</v>
      </c>
      <c r="U50" s="17">
        <v>420</v>
      </c>
      <c r="V50" s="17">
        <v>300</v>
      </c>
      <c r="W50" s="17">
        <v>400</v>
      </c>
      <c r="X50" s="65">
        <f t="shared" si="13"/>
        <v>-6000</v>
      </c>
      <c r="Y50" s="20" t="s">
        <v>379</v>
      </c>
      <c r="Z50" s="66">
        <f t="shared" si="14"/>
        <v>-4.7619047619047619</v>
      </c>
      <c r="AA50" s="60">
        <f t="shared" si="15"/>
        <v>126000</v>
      </c>
      <c r="AD50" s="29"/>
      <c r="AE50" s="24"/>
      <c r="AF50" s="102"/>
    </row>
    <row r="51" spans="1:32" ht="15.75" customHeight="1">
      <c r="A51" s="31" t="s">
        <v>62</v>
      </c>
      <c r="B51" s="31" t="s">
        <v>380</v>
      </c>
      <c r="C51" s="126">
        <v>1564.93</v>
      </c>
      <c r="D51" s="126">
        <v>200</v>
      </c>
      <c r="E51" s="16" t="s">
        <v>295</v>
      </c>
      <c r="F51" s="8">
        <f ca="1">IFERROR(__xludf.DUMMYFUNCTION("GOOGLEFINANCE(A51,""price"")"),1659.05)</f>
        <v>1659.05</v>
      </c>
      <c r="G51" s="118">
        <f t="shared" ca="1" si="3"/>
        <v>18823.999999999978</v>
      </c>
      <c r="K51" s="67">
        <f t="shared" ca="1" si="4"/>
        <v>6.0143265193970263</v>
      </c>
      <c r="L51" s="68">
        <f t="shared" si="5"/>
        <v>312986</v>
      </c>
      <c r="N51" s="5"/>
      <c r="S51" s="125" t="s">
        <v>381</v>
      </c>
      <c r="T51" s="17" t="s">
        <v>249</v>
      </c>
      <c r="U51" s="17">
        <v>95</v>
      </c>
      <c r="V51" s="17">
        <v>1500</v>
      </c>
      <c r="W51" s="17">
        <v>114</v>
      </c>
      <c r="X51" s="65">
        <f t="shared" si="13"/>
        <v>28500</v>
      </c>
      <c r="Y51" s="20" t="s">
        <v>379</v>
      </c>
      <c r="Z51" s="66">
        <f t="shared" si="14"/>
        <v>20</v>
      </c>
      <c r="AA51" s="60">
        <f t="shared" si="15"/>
        <v>142500</v>
      </c>
      <c r="AD51" s="132"/>
      <c r="AE51" s="24"/>
      <c r="AF51" s="102"/>
    </row>
    <row r="52" spans="1:32" ht="15.75" customHeight="1">
      <c r="A52" s="31" t="s">
        <v>68</v>
      </c>
      <c r="B52" s="31" t="s">
        <v>382</v>
      </c>
      <c r="C52" s="126">
        <v>27.18</v>
      </c>
      <c r="D52" s="126">
        <v>6000</v>
      </c>
      <c r="E52" s="16" t="s">
        <v>295</v>
      </c>
      <c r="F52" s="8">
        <f ca="1">IFERROR(__xludf.DUMMYFUNCTION("GOOGLEFINANCE(A52,""price"")"),30.2)</f>
        <v>30.2</v>
      </c>
      <c r="G52" s="118">
        <f t="shared" ca="1" si="3"/>
        <v>18119.999999999996</v>
      </c>
      <c r="K52" s="67">
        <f t="shared" ca="1" si="4"/>
        <v>11.111111111111109</v>
      </c>
      <c r="L52" s="68">
        <f t="shared" si="5"/>
        <v>163080</v>
      </c>
      <c r="N52" s="5"/>
      <c r="S52" s="17" t="s">
        <v>383</v>
      </c>
      <c r="T52" s="17" t="s">
        <v>319</v>
      </c>
      <c r="U52" s="17">
        <v>126</v>
      </c>
      <c r="V52" s="17">
        <v>1000</v>
      </c>
      <c r="W52" s="62">
        <v>131.44999999999999</v>
      </c>
      <c r="X52" s="65">
        <f t="shared" si="13"/>
        <v>5449.9999999999891</v>
      </c>
      <c r="Y52" s="20" t="s">
        <v>379</v>
      </c>
      <c r="Z52" s="66">
        <f t="shared" si="14"/>
        <v>4.3253968253968162</v>
      </c>
      <c r="AA52" s="60">
        <f t="shared" si="15"/>
        <v>126000</v>
      </c>
      <c r="AD52" s="29"/>
      <c r="AE52" s="24"/>
      <c r="AF52" s="102"/>
    </row>
    <row r="53" spans="1:32" ht="15.75" customHeight="1">
      <c r="A53" s="39" t="s">
        <v>78</v>
      </c>
      <c r="B53" s="31" t="s">
        <v>384</v>
      </c>
      <c r="C53" s="39">
        <v>268</v>
      </c>
      <c r="D53" s="39">
        <v>1500</v>
      </c>
      <c r="E53" s="39" t="s">
        <v>295</v>
      </c>
      <c r="F53" s="8">
        <f ca="1">IFERROR(__xludf.DUMMYFUNCTION("GOOGLEFINANCE(A53,""price"")"),258.35)</f>
        <v>258.35000000000002</v>
      </c>
      <c r="G53" s="118">
        <f t="shared" ca="1" si="3"/>
        <v>-14474.999999999965</v>
      </c>
      <c r="K53" s="67">
        <f t="shared" ca="1" si="4"/>
        <v>-3.600746268656708</v>
      </c>
      <c r="L53" s="68">
        <f t="shared" si="5"/>
        <v>402000</v>
      </c>
      <c r="N53" s="5"/>
      <c r="S53" s="9" t="s">
        <v>385</v>
      </c>
      <c r="T53" s="17" t="s">
        <v>266</v>
      </c>
      <c r="U53" s="46">
        <v>270.55</v>
      </c>
      <c r="V53" s="46">
        <v>300</v>
      </c>
      <c r="W53" s="17">
        <v>484</v>
      </c>
      <c r="X53" s="65">
        <f t="shared" si="13"/>
        <v>64035</v>
      </c>
      <c r="Y53" s="8" t="s">
        <v>386</v>
      </c>
      <c r="Z53" s="66">
        <f t="shared" si="14"/>
        <v>78.894843836629079</v>
      </c>
      <c r="AA53" s="60">
        <f t="shared" si="15"/>
        <v>81165</v>
      </c>
      <c r="AB53" s="17"/>
      <c r="AC53" s="17"/>
      <c r="AD53" s="88"/>
      <c r="AE53" s="89"/>
      <c r="AF53" s="39"/>
    </row>
    <row r="54" spans="1:32" ht="15.75" customHeight="1">
      <c r="E54" s="16"/>
      <c r="G54" s="63"/>
      <c r="K54" s="95"/>
      <c r="L54" s="1"/>
      <c r="N54" s="5"/>
      <c r="S54" s="9" t="s">
        <v>387</v>
      </c>
      <c r="T54" s="17" t="s">
        <v>268</v>
      </c>
      <c r="U54" s="17">
        <v>125</v>
      </c>
      <c r="V54" s="17">
        <v>1000</v>
      </c>
      <c r="W54" s="17">
        <v>134.5</v>
      </c>
      <c r="X54" s="65">
        <f t="shared" si="13"/>
        <v>9500</v>
      </c>
      <c r="Y54" s="8" t="s">
        <v>386</v>
      </c>
      <c r="Z54" s="66">
        <f t="shared" si="14"/>
        <v>7.6</v>
      </c>
      <c r="AA54" s="60">
        <f t="shared" si="15"/>
        <v>125000</v>
      </c>
      <c r="AD54" s="130"/>
      <c r="AE54" s="133"/>
      <c r="AF54" s="39"/>
    </row>
    <row r="55" spans="1:32" ht="15.75" customHeight="1">
      <c r="E55" s="16"/>
      <c r="G55" s="63"/>
      <c r="K55" s="95"/>
      <c r="L55" s="1"/>
      <c r="N55" s="5"/>
      <c r="S55" s="17" t="s">
        <v>121</v>
      </c>
      <c r="T55" s="18">
        <v>45132</v>
      </c>
      <c r="U55" s="17">
        <v>389.6</v>
      </c>
      <c r="V55" s="17">
        <v>220</v>
      </c>
      <c r="W55" s="17">
        <v>450</v>
      </c>
      <c r="X55" s="65">
        <f t="shared" si="13"/>
        <v>13287.999999999995</v>
      </c>
      <c r="Y55" s="8" t="s">
        <v>386</v>
      </c>
      <c r="Z55" s="66">
        <f t="shared" si="14"/>
        <v>15.503080082135519</v>
      </c>
      <c r="AA55" s="60">
        <f t="shared" si="15"/>
        <v>85712</v>
      </c>
      <c r="AD55" s="128"/>
      <c r="AE55" s="133"/>
      <c r="AF55" s="39"/>
    </row>
    <row r="56" spans="1:32" ht="15.75" customHeight="1">
      <c r="E56" s="16"/>
      <c r="G56" s="63"/>
      <c r="K56" s="95"/>
      <c r="L56" s="1"/>
      <c r="N56" s="5"/>
      <c r="S56" s="9" t="s">
        <v>388</v>
      </c>
      <c r="T56" s="17" t="s">
        <v>288</v>
      </c>
      <c r="U56" s="17">
        <v>1023</v>
      </c>
      <c r="V56" s="17">
        <v>200</v>
      </c>
      <c r="W56" s="17">
        <v>934</v>
      </c>
      <c r="X56" s="65">
        <f t="shared" si="13"/>
        <v>-17800</v>
      </c>
      <c r="Y56" s="20" t="s">
        <v>389</v>
      </c>
      <c r="Z56" s="66">
        <f t="shared" si="14"/>
        <v>-8.6999022482893444</v>
      </c>
      <c r="AA56" s="60">
        <f t="shared" si="15"/>
        <v>204600</v>
      </c>
      <c r="AD56" s="130"/>
      <c r="AE56" s="133"/>
      <c r="AF56" s="39"/>
    </row>
    <row r="57" spans="1:32" ht="15.75" customHeight="1">
      <c r="E57" s="16"/>
      <c r="G57" s="63"/>
      <c r="K57" s="95"/>
      <c r="L57" s="1"/>
      <c r="N57" s="5"/>
      <c r="S57" s="9" t="s">
        <v>390</v>
      </c>
      <c r="T57" s="17" t="s">
        <v>365</v>
      </c>
      <c r="U57" s="17">
        <v>45.7</v>
      </c>
      <c r="V57" s="17">
        <v>3000</v>
      </c>
      <c r="W57" s="17">
        <v>41.2</v>
      </c>
      <c r="X57" s="65">
        <f t="shared" si="13"/>
        <v>-13500</v>
      </c>
      <c r="Y57" s="20" t="s">
        <v>389</v>
      </c>
      <c r="Z57" s="66">
        <f t="shared" si="14"/>
        <v>-9.846827133479211</v>
      </c>
      <c r="AA57" s="60">
        <f t="shared" si="15"/>
        <v>137100</v>
      </c>
      <c r="AD57" s="130"/>
      <c r="AE57" s="133"/>
      <c r="AF57" s="39"/>
    </row>
    <row r="58" spans="1:32" ht="15.75" customHeight="1">
      <c r="E58" s="16"/>
      <c r="G58" s="63"/>
      <c r="K58" s="95"/>
      <c r="L58" s="1"/>
      <c r="N58" s="5"/>
      <c r="W58" s="102"/>
      <c r="X58" s="48"/>
      <c r="Y58" s="102"/>
      <c r="Z58" s="123"/>
      <c r="AA58" s="103"/>
      <c r="AD58" s="39"/>
      <c r="AE58" s="39"/>
      <c r="AF58" s="39"/>
    </row>
    <row r="59" spans="1:32" ht="15.75" customHeight="1">
      <c r="E59" s="16"/>
      <c r="G59" s="63"/>
      <c r="K59" s="95"/>
      <c r="L59" s="1"/>
      <c r="N59" s="5"/>
      <c r="S59" s="9" t="s">
        <v>391</v>
      </c>
      <c r="T59" s="17" t="s">
        <v>313</v>
      </c>
      <c r="U59" s="17">
        <v>7059</v>
      </c>
      <c r="V59" s="17">
        <v>20</v>
      </c>
      <c r="W59" s="17">
        <v>7220</v>
      </c>
      <c r="X59" s="65">
        <f t="shared" ref="X59:X60" si="16">(W59-U59)*V59</f>
        <v>3220</v>
      </c>
      <c r="Y59" s="20" t="s">
        <v>392</v>
      </c>
      <c r="Z59" s="66">
        <f t="shared" ref="Z59:Z60" si="17">(W59-U59)*100/U59</f>
        <v>2.2807763139254851</v>
      </c>
      <c r="AA59" s="60">
        <f t="shared" ref="AA59:AA60" si="18">U59*V59</f>
        <v>141180</v>
      </c>
      <c r="AD59" s="130"/>
      <c r="AE59" s="133"/>
      <c r="AF59" s="39"/>
    </row>
    <row r="60" spans="1:32" ht="15.75" customHeight="1">
      <c r="E60" s="16"/>
      <c r="G60" s="63"/>
      <c r="K60" s="95"/>
      <c r="L60" s="1"/>
      <c r="N60" s="5"/>
      <c r="P60" s="62"/>
      <c r="Q60" s="62"/>
      <c r="R60" s="62"/>
      <c r="S60" s="9" t="s">
        <v>362</v>
      </c>
      <c r="T60" s="17" t="s">
        <v>268</v>
      </c>
      <c r="U60" s="17">
        <v>418</v>
      </c>
      <c r="V60" s="17">
        <v>150</v>
      </c>
      <c r="W60" s="17">
        <v>1161</v>
      </c>
      <c r="X60" s="65">
        <f t="shared" si="16"/>
        <v>111450</v>
      </c>
      <c r="Y60" s="20" t="s">
        <v>393</v>
      </c>
      <c r="Z60" s="66">
        <f t="shared" si="17"/>
        <v>177.7511961722488</v>
      </c>
      <c r="AA60" s="60">
        <f t="shared" si="18"/>
        <v>62700</v>
      </c>
      <c r="AD60" s="130"/>
      <c r="AE60" s="133"/>
      <c r="AF60" s="39"/>
    </row>
    <row r="61" spans="1:32" ht="15.75" customHeight="1">
      <c r="E61" s="16"/>
      <c r="G61" s="63"/>
      <c r="K61" s="95"/>
      <c r="L61" s="1"/>
      <c r="N61" s="5"/>
      <c r="P61" s="62"/>
      <c r="Q61" s="62"/>
      <c r="R61" s="62"/>
      <c r="S61" s="62"/>
      <c r="T61" s="62"/>
      <c r="U61" s="62"/>
      <c r="X61" s="127"/>
      <c r="Y61" s="39"/>
      <c r="Z61" s="128"/>
      <c r="AA61" s="60"/>
      <c r="AD61" s="39"/>
      <c r="AE61" s="39"/>
      <c r="AF61" s="39"/>
    </row>
    <row r="62" spans="1:32" ht="15.75" customHeight="1">
      <c r="E62" s="16"/>
      <c r="G62" s="63"/>
      <c r="K62" s="95"/>
      <c r="L62" s="1"/>
      <c r="N62" s="5"/>
      <c r="P62" s="62"/>
      <c r="Q62" s="62"/>
      <c r="R62" s="62"/>
      <c r="S62" s="17" t="s">
        <v>394</v>
      </c>
      <c r="T62" s="17" t="s">
        <v>395</v>
      </c>
      <c r="U62" s="17">
        <v>174</v>
      </c>
      <c r="V62" s="17">
        <v>1200</v>
      </c>
      <c r="W62" s="62">
        <v>242</v>
      </c>
      <c r="X62" s="65">
        <f t="shared" ref="X62:X64" si="19">(W62-U62)*V62</f>
        <v>81600</v>
      </c>
      <c r="Y62" s="20" t="s">
        <v>396</v>
      </c>
      <c r="Z62" s="66">
        <f t="shared" ref="Z62:Z64" si="20">(W62-U62)*100/U62</f>
        <v>39.080459770114942</v>
      </c>
      <c r="AA62" s="60">
        <f t="shared" ref="AA62:AA64" si="21">U62*V62</f>
        <v>208800</v>
      </c>
      <c r="AD62" s="39"/>
      <c r="AE62" s="39"/>
      <c r="AF62" s="39"/>
    </row>
    <row r="63" spans="1:32" ht="15.75" customHeight="1">
      <c r="E63" s="16"/>
      <c r="G63" s="63"/>
      <c r="K63" s="95"/>
      <c r="L63" s="1"/>
      <c r="N63" s="5"/>
      <c r="P63" s="62"/>
      <c r="Q63" s="62"/>
      <c r="R63" s="62"/>
      <c r="S63" s="9" t="s">
        <v>397</v>
      </c>
      <c r="T63" s="17" t="s">
        <v>269</v>
      </c>
      <c r="U63" s="17">
        <v>86</v>
      </c>
      <c r="V63" s="17">
        <v>2000</v>
      </c>
      <c r="W63" s="3">
        <v>221.2</v>
      </c>
      <c r="X63" s="65">
        <f t="shared" si="19"/>
        <v>270400</v>
      </c>
      <c r="Y63" s="20" t="s">
        <v>396</v>
      </c>
      <c r="Z63" s="66">
        <f t="shared" si="20"/>
        <v>157.20930232558138</v>
      </c>
      <c r="AA63" s="60">
        <f t="shared" si="21"/>
        <v>172000</v>
      </c>
      <c r="AD63" s="128"/>
      <c r="AE63" s="133"/>
      <c r="AF63" s="39"/>
    </row>
    <row r="64" spans="1:32" ht="15.75" customHeight="1">
      <c r="E64" s="16"/>
      <c r="G64" s="63"/>
      <c r="K64" s="95"/>
      <c r="L64" s="1"/>
      <c r="N64" s="5"/>
      <c r="P64" s="61"/>
      <c r="Q64" s="62"/>
      <c r="R64" s="134"/>
      <c r="S64" s="9" t="s">
        <v>398</v>
      </c>
      <c r="T64" s="17" t="s">
        <v>399</v>
      </c>
      <c r="U64" s="17">
        <v>395</v>
      </c>
      <c r="V64" s="17">
        <v>500</v>
      </c>
      <c r="W64" s="3">
        <v>526.45000000000005</v>
      </c>
      <c r="X64" s="65">
        <f t="shared" si="19"/>
        <v>65725.000000000029</v>
      </c>
      <c r="Y64" s="20" t="s">
        <v>396</v>
      </c>
      <c r="Z64" s="66">
        <f t="shared" si="20"/>
        <v>33.27848101265824</v>
      </c>
      <c r="AA64" s="60">
        <f t="shared" si="21"/>
        <v>197500</v>
      </c>
      <c r="AD64" s="130"/>
      <c r="AE64" s="133"/>
      <c r="AF64" s="39"/>
    </row>
    <row r="65" spans="5:32" ht="15.75" customHeight="1">
      <c r="E65" s="16"/>
      <c r="G65" s="63"/>
      <c r="K65" s="95"/>
      <c r="L65" s="1"/>
      <c r="N65" s="5"/>
      <c r="P65" s="61"/>
      <c r="Q65" s="52"/>
      <c r="R65" s="134"/>
      <c r="S65" s="62"/>
      <c r="T65" s="62"/>
      <c r="U65" s="62"/>
      <c r="X65" s="127"/>
      <c r="Y65" s="39"/>
      <c r="Z65" s="128"/>
      <c r="AA65" s="60"/>
      <c r="AD65" s="130"/>
      <c r="AE65" s="133"/>
      <c r="AF65" s="39"/>
    </row>
    <row r="66" spans="5:32" ht="15.75" customHeight="1">
      <c r="E66" s="16"/>
      <c r="G66" s="63"/>
      <c r="K66" s="95"/>
      <c r="L66" s="1"/>
      <c r="N66" s="5"/>
      <c r="P66" s="61"/>
      <c r="Q66" s="62"/>
      <c r="R66" s="134"/>
      <c r="S66" s="9" t="s">
        <v>371</v>
      </c>
      <c r="T66" s="17" t="s">
        <v>272</v>
      </c>
      <c r="U66" s="17">
        <v>297.5</v>
      </c>
      <c r="V66" s="17">
        <v>400</v>
      </c>
      <c r="W66" s="3">
        <v>371</v>
      </c>
      <c r="X66" s="65">
        <f t="shared" ref="X66:X85" si="22">(W66-U66)*V66</f>
        <v>29400</v>
      </c>
      <c r="Y66" s="20" t="s">
        <v>400</v>
      </c>
      <c r="Z66" s="66">
        <f t="shared" ref="Z66:Z85" si="23">(W66-U66)*100/U66</f>
        <v>24.705882352941178</v>
      </c>
      <c r="AA66" s="60">
        <f t="shared" ref="AA66:AA85" si="24">U66*V66</f>
        <v>119000</v>
      </c>
      <c r="AD66" s="39"/>
      <c r="AE66" s="39"/>
      <c r="AF66" s="39"/>
    </row>
    <row r="67" spans="5:32" ht="15.75" customHeight="1">
      <c r="E67" s="16"/>
      <c r="G67" s="63"/>
      <c r="K67" s="95"/>
      <c r="L67" s="1"/>
      <c r="N67" s="5"/>
      <c r="P67" s="61"/>
      <c r="Q67" s="62"/>
      <c r="R67" s="134"/>
      <c r="S67" s="125" t="s">
        <v>401</v>
      </c>
      <c r="T67" s="17" t="s">
        <v>249</v>
      </c>
      <c r="U67" s="17">
        <v>250.55</v>
      </c>
      <c r="V67" s="17">
        <v>500</v>
      </c>
      <c r="W67" s="3">
        <v>313.5</v>
      </c>
      <c r="X67" s="65">
        <f t="shared" si="22"/>
        <v>31474.999999999993</v>
      </c>
      <c r="Y67" s="20" t="s">
        <v>400</v>
      </c>
      <c r="Z67" s="66">
        <f t="shared" si="23"/>
        <v>25.124725603671916</v>
      </c>
      <c r="AA67" s="60">
        <f t="shared" si="24"/>
        <v>125275</v>
      </c>
      <c r="AB67" s="52"/>
      <c r="AD67" s="130"/>
      <c r="AE67" s="133"/>
      <c r="AF67" s="39"/>
    </row>
    <row r="68" spans="5:32" ht="15.75" customHeight="1">
      <c r="E68" s="16"/>
      <c r="G68" s="63"/>
      <c r="K68" s="95"/>
      <c r="L68" s="1"/>
      <c r="N68" s="5"/>
      <c r="P68" s="61"/>
      <c r="Q68" s="62"/>
      <c r="R68" s="134"/>
      <c r="S68" s="9" t="s">
        <v>385</v>
      </c>
      <c r="T68" s="17" t="s">
        <v>266</v>
      </c>
      <c r="U68" s="17">
        <v>270.55</v>
      </c>
      <c r="V68" s="17">
        <v>500</v>
      </c>
      <c r="W68" s="3">
        <v>526</v>
      </c>
      <c r="X68" s="65">
        <f t="shared" si="22"/>
        <v>127725</v>
      </c>
      <c r="Y68" s="20" t="s">
        <v>400</v>
      </c>
      <c r="Z68" s="66">
        <f t="shared" si="23"/>
        <v>94.418776566253925</v>
      </c>
      <c r="AA68" s="60">
        <f t="shared" si="24"/>
        <v>135275</v>
      </c>
      <c r="AD68" s="130"/>
      <c r="AE68" s="133"/>
      <c r="AF68" s="39"/>
    </row>
    <row r="69" spans="5:32" ht="15.75" customHeight="1">
      <c r="E69" s="16"/>
      <c r="G69" s="63"/>
      <c r="K69" s="95"/>
      <c r="L69" s="1"/>
      <c r="N69" s="5"/>
      <c r="P69" s="61"/>
      <c r="Q69" s="62"/>
      <c r="R69" s="134"/>
      <c r="S69" s="17" t="s">
        <v>402</v>
      </c>
      <c r="T69" s="17" t="s">
        <v>319</v>
      </c>
      <c r="U69" s="17">
        <v>57.3</v>
      </c>
      <c r="V69" s="17">
        <v>2500</v>
      </c>
      <c r="W69" s="62">
        <v>64</v>
      </c>
      <c r="X69" s="65">
        <f t="shared" si="22"/>
        <v>16750.000000000007</v>
      </c>
      <c r="Y69" s="20" t="s">
        <v>400</v>
      </c>
      <c r="Z69" s="66">
        <f t="shared" si="23"/>
        <v>11.692844677137876</v>
      </c>
      <c r="AA69" s="60">
        <f t="shared" si="24"/>
        <v>143250</v>
      </c>
      <c r="AD69" s="130"/>
      <c r="AE69" s="133"/>
      <c r="AF69" s="39"/>
    </row>
    <row r="70" spans="5:32" ht="15.75" customHeight="1">
      <c r="E70" s="16"/>
      <c r="G70" s="63"/>
      <c r="K70" s="95"/>
      <c r="L70" s="1"/>
      <c r="N70" s="5"/>
      <c r="P70" s="61"/>
      <c r="Q70" s="62"/>
      <c r="R70" s="134"/>
      <c r="S70" s="17" t="s">
        <v>403</v>
      </c>
      <c r="T70" s="18">
        <v>45131</v>
      </c>
      <c r="U70" s="17">
        <v>3887</v>
      </c>
      <c r="V70" s="17">
        <v>40</v>
      </c>
      <c r="W70" s="3">
        <v>3850</v>
      </c>
      <c r="X70" s="65">
        <f t="shared" si="22"/>
        <v>-1480</v>
      </c>
      <c r="Y70" s="20" t="s">
        <v>404</v>
      </c>
      <c r="Z70" s="66">
        <f t="shared" si="23"/>
        <v>-0.95189091844610241</v>
      </c>
      <c r="AA70" s="60">
        <f t="shared" si="24"/>
        <v>155480</v>
      </c>
      <c r="AD70" s="128"/>
      <c r="AE70" s="133"/>
      <c r="AF70" s="39"/>
    </row>
    <row r="71" spans="5:32" ht="15.75" customHeight="1">
      <c r="E71" s="16"/>
      <c r="G71" s="63"/>
      <c r="K71" s="95"/>
      <c r="L71" s="1"/>
      <c r="N71" s="5"/>
      <c r="P71" s="61"/>
      <c r="Q71" s="62"/>
      <c r="R71" s="134"/>
      <c r="S71" s="9" t="s">
        <v>368</v>
      </c>
      <c r="T71" s="17" t="s">
        <v>303</v>
      </c>
      <c r="U71" s="17">
        <v>380</v>
      </c>
      <c r="V71" s="17">
        <v>200</v>
      </c>
      <c r="W71" s="3">
        <v>636.5</v>
      </c>
      <c r="X71" s="65">
        <f t="shared" si="22"/>
        <v>51300</v>
      </c>
      <c r="Y71" s="20" t="s">
        <v>404</v>
      </c>
      <c r="Z71" s="66">
        <f t="shared" si="23"/>
        <v>67.5</v>
      </c>
      <c r="AA71" s="60">
        <f t="shared" si="24"/>
        <v>76000</v>
      </c>
      <c r="AD71" s="128"/>
      <c r="AE71" s="133"/>
      <c r="AF71" s="39"/>
    </row>
    <row r="72" spans="5:32" ht="15.75" customHeight="1">
      <c r="E72" s="16"/>
      <c r="G72" s="63"/>
      <c r="K72" s="95"/>
      <c r="L72" s="1"/>
      <c r="N72" s="5"/>
      <c r="P72" s="61"/>
      <c r="Q72" s="52"/>
      <c r="R72" s="134"/>
      <c r="S72" s="9" t="s">
        <v>405</v>
      </c>
      <c r="T72" s="17" t="s">
        <v>406</v>
      </c>
      <c r="U72" s="17">
        <v>405</v>
      </c>
      <c r="V72" s="17">
        <v>500</v>
      </c>
      <c r="W72" s="3">
        <v>495</v>
      </c>
      <c r="X72" s="65">
        <f t="shared" si="22"/>
        <v>45000</v>
      </c>
      <c r="Y72" s="20" t="s">
        <v>404</v>
      </c>
      <c r="Z72" s="66">
        <f t="shared" si="23"/>
        <v>22.222222222222221</v>
      </c>
      <c r="AA72" s="60">
        <f t="shared" si="24"/>
        <v>202500</v>
      </c>
      <c r="AD72" s="130"/>
      <c r="AE72" s="133"/>
      <c r="AF72" s="39"/>
    </row>
    <row r="73" spans="5:32" ht="15.75" customHeight="1">
      <c r="E73" s="16"/>
      <c r="G73" s="63"/>
      <c r="K73" s="95"/>
      <c r="L73" s="1"/>
      <c r="N73" s="5"/>
      <c r="P73" s="61"/>
      <c r="Q73" s="62"/>
      <c r="R73" s="134"/>
      <c r="S73" s="9" t="s">
        <v>407</v>
      </c>
      <c r="T73" s="17" t="s">
        <v>303</v>
      </c>
      <c r="U73" s="17">
        <v>317</v>
      </c>
      <c r="V73" s="17">
        <v>300</v>
      </c>
      <c r="W73" s="3">
        <v>372.5</v>
      </c>
      <c r="X73" s="65">
        <f t="shared" si="22"/>
        <v>16650</v>
      </c>
      <c r="Y73" s="20" t="s">
        <v>404</v>
      </c>
      <c r="Z73" s="66">
        <f t="shared" si="23"/>
        <v>17.50788643533123</v>
      </c>
      <c r="AA73" s="60">
        <f t="shared" si="24"/>
        <v>95100</v>
      </c>
      <c r="AB73" s="52"/>
      <c r="AD73" s="130"/>
      <c r="AE73" s="133"/>
      <c r="AF73" s="39"/>
    </row>
    <row r="74" spans="5:32" ht="15.75" customHeight="1">
      <c r="E74" s="16"/>
      <c r="G74" s="63"/>
      <c r="K74" s="95"/>
      <c r="L74" s="1"/>
      <c r="N74" s="5"/>
      <c r="P74" s="61"/>
      <c r="Q74" s="62"/>
      <c r="R74" s="134"/>
      <c r="S74" s="17" t="s">
        <v>408</v>
      </c>
      <c r="T74" s="18">
        <v>45139</v>
      </c>
      <c r="U74" s="17">
        <v>3878</v>
      </c>
      <c r="V74" s="17">
        <v>40</v>
      </c>
      <c r="W74" s="3">
        <v>4335</v>
      </c>
      <c r="X74" s="65">
        <f t="shared" si="22"/>
        <v>18280</v>
      </c>
      <c r="Y74" s="20" t="s">
        <v>404</v>
      </c>
      <c r="Z74" s="66">
        <f t="shared" si="23"/>
        <v>11.784424961320267</v>
      </c>
      <c r="AA74" s="60">
        <f t="shared" si="24"/>
        <v>155120</v>
      </c>
      <c r="AB74" s="16"/>
      <c r="AD74" s="51"/>
      <c r="AE74" s="103"/>
      <c r="AF74" s="39"/>
    </row>
    <row r="75" spans="5:32" ht="15.75" customHeight="1">
      <c r="E75" s="16"/>
      <c r="G75" s="63"/>
      <c r="K75" s="95"/>
      <c r="L75" s="1"/>
      <c r="N75" s="5"/>
      <c r="P75" s="61"/>
      <c r="Q75" s="62"/>
      <c r="R75" s="62"/>
      <c r="S75" s="17" t="s">
        <v>409</v>
      </c>
      <c r="T75" s="135">
        <v>45161</v>
      </c>
      <c r="U75" s="17">
        <v>1110</v>
      </c>
      <c r="V75" s="17">
        <v>200</v>
      </c>
      <c r="W75" s="3">
        <v>1200</v>
      </c>
      <c r="X75" s="65">
        <f t="shared" si="22"/>
        <v>18000</v>
      </c>
      <c r="Y75" s="20" t="s">
        <v>404</v>
      </c>
      <c r="Z75" s="66">
        <f t="shared" si="23"/>
        <v>8.1081081081081088</v>
      </c>
      <c r="AA75" s="60">
        <f t="shared" si="24"/>
        <v>222000</v>
      </c>
      <c r="AB75" s="16"/>
      <c r="AD75" s="123"/>
      <c r="AE75" s="103"/>
      <c r="AF75" s="39"/>
    </row>
    <row r="76" spans="5:32" ht="15.75" customHeight="1">
      <c r="E76" s="16"/>
      <c r="G76" s="63"/>
      <c r="K76" s="95"/>
      <c r="L76" s="1"/>
      <c r="N76" s="5"/>
      <c r="P76" s="61"/>
      <c r="Q76" s="62"/>
      <c r="R76" s="62"/>
      <c r="S76" s="17" t="s">
        <v>410</v>
      </c>
      <c r="T76" s="18">
        <v>45148</v>
      </c>
      <c r="U76" s="17">
        <v>474</v>
      </c>
      <c r="V76" s="17">
        <v>500</v>
      </c>
      <c r="W76" s="3">
        <v>560</v>
      </c>
      <c r="X76" s="65">
        <f t="shared" si="22"/>
        <v>43000</v>
      </c>
      <c r="Y76" s="20" t="s">
        <v>411</v>
      </c>
      <c r="Z76" s="66">
        <f t="shared" si="23"/>
        <v>18.143459915611814</v>
      </c>
      <c r="AA76" s="60">
        <f t="shared" si="24"/>
        <v>237000</v>
      </c>
      <c r="AB76" s="16"/>
      <c r="AD76" s="119"/>
      <c r="AE76" s="120"/>
      <c r="AF76" s="39"/>
    </row>
    <row r="77" spans="5:32" ht="15.75" customHeight="1">
      <c r="E77" s="16"/>
      <c r="G77" s="63"/>
      <c r="K77" s="95"/>
      <c r="L77" s="1"/>
      <c r="N77" s="5"/>
      <c r="P77" s="61"/>
      <c r="Q77" s="62"/>
      <c r="R77" s="62"/>
      <c r="S77" s="9" t="s">
        <v>412</v>
      </c>
      <c r="T77" s="17" t="s">
        <v>313</v>
      </c>
      <c r="U77" s="17">
        <v>318</v>
      </c>
      <c r="V77" s="17">
        <v>500</v>
      </c>
      <c r="W77" s="3">
        <v>376</v>
      </c>
      <c r="X77" s="65">
        <f t="shared" si="22"/>
        <v>29000</v>
      </c>
      <c r="Y77" s="20" t="s">
        <v>413</v>
      </c>
      <c r="Z77" s="66">
        <f t="shared" si="23"/>
        <v>18.238993710691823</v>
      </c>
      <c r="AA77" s="60">
        <f t="shared" si="24"/>
        <v>159000</v>
      </c>
      <c r="AB77" s="16"/>
      <c r="AD77" s="123"/>
      <c r="AE77" s="103"/>
      <c r="AF77" s="39"/>
    </row>
    <row r="78" spans="5:32" ht="15.75" customHeight="1">
      <c r="E78" s="16"/>
      <c r="G78" s="63"/>
      <c r="K78" s="95"/>
      <c r="L78" s="1"/>
      <c r="M78" s="136"/>
      <c r="N78" s="137"/>
      <c r="O78" s="136"/>
      <c r="P78" s="138"/>
      <c r="Q78" s="139"/>
      <c r="R78" s="62"/>
      <c r="S78" s="17" t="s">
        <v>414</v>
      </c>
      <c r="T78" s="17" t="s">
        <v>415</v>
      </c>
      <c r="U78" s="17">
        <v>182.9</v>
      </c>
      <c r="V78" s="17">
        <v>800</v>
      </c>
      <c r="W78" s="62">
        <v>258</v>
      </c>
      <c r="X78" s="65">
        <f t="shared" si="22"/>
        <v>60079.999999999993</v>
      </c>
      <c r="Y78" s="20" t="s">
        <v>413</v>
      </c>
      <c r="Z78" s="66">
        <f t="shared" si="23"/>
        <v>41.060688901038816</v>
      </c>
      <c r="AA78" s="60">
        <f t="shared" si="24"/>
        <v>146320</v>
      </c>
      <c r="AB78" s="16"/>
      <c r="AD78" s="51"/>
      <c r="AE78" s="103"/>
      <c r="AF78" s="39"/>
    </row>
    <row r="79" spans="5:32" ht="15.75" customHeight="1">
      <c r="E79" s="16"/>
      <c r="G79" s="63"/>
      <c r="K79" s="95"/>
      <c r="L79" s="1"/>
      <c r="N79" s="5"/>
      <c r="P79" s="61"/>
      <c r="Q79" s="52"/>
      <c r="R79" s="62"/>
      <c r="S79" s="17" t="s">
        <v>416</v>
      </c>
      <c r="T79" s="18">
        <v>45135</v>
      </c>
      <c r="U79" s="17">
        <v>442</v>
      </c>
      <c r="V79" s="17">
        <v>500</v>
      </c>
      <c r="W79" s="3">
        <v>518</v>
      </c>
      <c r="X79" s="65">
        <f t="shared" si="22"/>
        <v>38000</v>
      </c>
      <c r="Y79" s="20" t="s">
        <v>417</v>
      </c>
      <c r="Z79" s="66">
        <f t="shared" si="23"/>
        <v>17.194570135746606</v>
      </c>
      <c r="AA79" s="60">
        <f t="shared" si="24"/>
        <v>221000</v>
      </c>
      <c r="AB79" s="16"/>
      <c r="AD79" s="123"/>
      <c r="AE79" s="103"/>
    </row>
    <row r="80" spans="5:32" ht="15.75" customHeight="1">
      <c r="E80" s="16"/>
      <c r="G80" s="63"/>
      <c r="K80" s="95"/>
      <c r="L80" s="1"/>
      <c r="N80" s="5"/>
      <c r="P80" s="61"/>
      <c r="Q80" s="52"/>
      <c r="R80" s="62"/>
      <c r="S80" s="9" t="s">
        <v>418</v>
      </c>
      <c r="T80" s="17" t="s">
        <v>288</v>
      </c>
      <c r="U80" s="17">
        <v>385</v>
      </c>
      <c r="V80" s="17">
        <v>500</v>
      </c>
      <c r="W80" s="3">
        <v>550</v>
      </c>
      <c r="X80" s="65">
        <f t="shared" si="22"/>
        <v>82500</v>
      </c>
      <c r="Y80" s="20" t="s">
        <v>417</v>
      </c>
      <c r="Z80" s="66">
        <f t="shared" si="23"/>
        <v>42.857142857142854</v>
      </c>
      <c r="AA80" s="60">
        <f t="shared" si="24"/>
        <v>192500</v>
      </c>
      <c r="AB80" s="16"/>
      <c r="AD80" s="123"/>
      <c r="AE80" s="103"/>
    </row>
    <row r="81" spans="5:31" ht="15.75" customHeight="1">
      <c r="E81" s="16"/>
      <c r="G81" s="63"/>
      <c r="K81" s="95"/>
      <c r="L81" s="1"/>
      <c r="N81" s="5"/>
      <c r="P81" s="61"/>
      <c r="Q81" s="62"/>
      <c r="R81" s="62"/>
      <c r="S81" s="9" t="s">
        <v>419</v>
      </c>
      <c r="T81" s="17" t="s">
        <v>313</v>
      </c>
      <c r="U81" s="17">
        <v>41.95</v>
      </c>
      <c r="V81" s="17">
        <v>3000</v>
      </c>
      <c r="W81" s="3">
        <v>53</v>
      </c>
      <c r="X81" s="65">
        <f t="shared" si="22"/>
        <v>33149.999999999993</v>
      </c>
      <c r="Y81" s="20" t="s">
        <v>420</v>
      </c>
      <c r="Z81" s="66">
        <f t="shared" si="23"/>
        <v>26.340882002383783</v>
      </c>
      <c r="AA81" s="60">
        <f t="shared" si="24"/>
        <v>125850.00000000001</v>
      </c>
      <c r="AB81" s="102"/>
      <c r="AD81" s="51"/>
      <c r="AE81" s="103"/>
    </row>
    <row r="82" spans="5:31" ht="15.75" customHeight="1">
      <c r="E82" s="16"/>
      <c r="G82" s="63"/>
      <c r="K82" s="95"/>
      <c r="L82" s="1"/>
      <c r="N82" s="5"/>
      <c r="P82" s="62"/>
      <c r="Q82" s="62"/>
      <c r="R82" s="62"/>
      <c r="S82" s="3" t="s">
        <v>122</v>
      </c>
      <c r="T82" s="38">
        <v>45175</v>
      </c>
      <c r="U82" s="3">
        <v>31.95</v>
      </c>
      <c r="V82" s="3">
        <v>6200</v>
      </c>
      <c r="W82" s="3">
        <v>32</v>
      </c>
      <c r="X82" s="65">
        <f t="shared" si="22"/>
        <v>310.00000000000443</v>
      </c>
      <c r="Y82" s="20" t="s">
        <v>420</v>
      </c>
      <c r="Z82" s="66">
        <f t="shared" si="23"/>
        <v>0.15649452269170802</v>
      </c>
      <c r="AA82" s="60">
        <f t="shared" si="24"/>
        <v>198090</v>
      </c>
      <c r="AB82" s="16"/>
      <c r="AD82" s="51"/>
      <c r="AE82" s="103"/>
    </row>
    <row r="83" spans="5:31" ht="15.75" customHeight="1">
      <c r="E83" s="16"/>
      <c r="G83" s="63"/>
      <c r="K83" s="95"/>
      <c r="L83" s="1"/>
      <c r="N83" s="5"/>
      <c r="P83" s="62"/>
      <c r="Q83" s="62"/>
      <c r="R83" s="62"/>
      <c r="S83" s="3" t="s">
        <v>123</v>
      </c>
      <c r="T83" s="38">
        <v>45177</v>
      </c>
      <c r="U83" s="3">
        <v>710</v>
      </c>
      <c r="V83" s="3">
        <v>400</v>
      </c>
      <c r="W83" s="3">
        <v>840</v>
      </c>
      <c r="X83" s="65">
        <f t="shared" si="22"/>
        <v>52000</v>
      </c>
      <c r="Y83" s="20" t="s">
        <v>420</v>
      </c>
      <c r="Z83" s="66">
        <f t="shared" si="23"/>
        <v>18.309859154929576</v>
      </c>
      <c r="AA83" s="60">
        <f t="shared" si="24"/>
        <v>284000</v>
      </c>
      <c r="AB83" s="16"/>
      <c r="AD83" s="119"/>
      <c r="AE83" s="120"/>
    </row>
    <row r="84" spans="5:31" ht="15.75" customHeight="1">
      <c r="E84" s="16"/>
      <c r="G84" s="63"/>
      <c r="K84" s="95"/>
      <c r="L84" s="1"/>
      <c r="N84" s="5"/>
      <c r="P84" s="62"/>
      <c r="Q84" s="62"/>
      <c r="R84" s="62"/>
      <c r="S84" s="17" t="s">
        <v>421</v>
      </c>
      <c r="T84" s="18">
        <v>45147</v>
      </c>
      <c r="U84" s="17">
        <v>2364</v>
      </c>
      <c r="V84" s="17">
        <v>100</v>
      </c>
      <c r="W84" s="3">
        <v>2110</v>
      </c>
      <c r="X84" s="65">
        <f t="shared" si="22"/>
        <v>-25400</v>
      </c>
      <c r="Y84" s="20" t="s">
        <v>420</v>
      </c>
      <c r="Z84" s="66">
        <f t="shared" si="23"/>
        <v>-10.744500846023689</v>
      </c>
      <c r="AA84" s="60">
        <f t="shared" si="24"/>
        <v>236400</v>
      </c>
      <c r="AB84" s="16"/>
      <c r="AD84" s="119"/>
      <c r="AE84" s="120"/>
    </row>
    <row r="85" spans="5:31" ht="15.75" customHeight="1">
      <c r="E85" s="16"/>
      <c r="G85" s="63"/>
      <c r="K85" s="95"/>
      <c r="L85" s="1"/>
      <c r="N85" s="5"/>
      <c r="P85" s="62"/>
      <c r="Q85" s="62"/>
      <c r="R85" s="62"/>
      <c r="S85" s="9" t="s">
        <v>422</v>
      </c>
      <c r="T85" s="17" t="s">
        <v>399</v>
      </c>
      <c r="U85" s="17">
        <v>2413</v>
      </c>
      <c r="V85" s="17">
        <v>50</v>
      </c>
      <c r="W85" s="3">
        <v>2640</v>
      </c>
      <c r="X85" s="65">
        <f t="shared" si="22"/>
        <v>11350</v>
      </c>
      <c r="Y85" s="20" t="s">
        <v>420</v>
      </c>
      <c r="Z85" s="66">
        <f t="shared" si="23"/>
        <v>9.4073767094902614</v>
      </c>
      <c r="AA85" s="60">
        <f t="shared" si="24"/>
        <v>120650</v>
      </c>
      <c r="AB85" s="16"/>
      <c r="AD85" s="123"/>
      <c r="AE85" s="103"/>
    </row>
    <row r="86" spans="5:31" ht="15.75" customHeight="1">
      <c r="E86" s="16"/>
      <c r="G86" s="63"/>
      <c r="K86" s="95"/>
      <c r="L86" s="1"/>
      <c r="N86" s="5"/>
      <c r="P86" s="62"/>
      <c r="Q86" s="62"/>
      <c r="R86" s="62"/>
      <c r="S86" s="62"/>
      <c r="T86" s="62"/>
      <c r="U86" s="62"/>
      <c r="AB86" s="102"/>
      <c r="AD86" s="61"/>
      <c r="AE86" s="60"/>
    </row>
    <row r="87" spans="5:31" ht="15.75" customHeight="1">
      <c r="E87" s="16"/>
      <c r="G87" s="63"/>
      <c r="K87" s="95"/>
      <c r="L87" s="1"/>
      <c r="N87" s="5"/>
      <c r="P87" s="62"/>
      <c r="Q87" s="62"/>
      <c r="R87" s="62"/>
      <c r="S87" s="17" t="s">
        <v>423</v>
      </c>
      <c r="T87" s="18">
        <v>45140</v>
      </c>
      <c r="U87" s="17">
        <v>69</v>
      </c>
      <c r="V87" s="17">
        <v>3000</v>
      </c>
      <c r="W87" s="3">
        <v>108.15</v>
      </c>
      <c r="X87" s="65">
        <f t="shared" ref="X87:X89" si="25">(W87-U87)*V87</f>
        <v>117450.00000000001</v>
      </c>
      <c r="Y87" s="20" t="s">
        <v>424</v>
      </c>
      <c r="Z87" s="66">
        <f t="shared" ref="Z87:Z89" si="26">(W87-U87)*100/U87</f>
        <v>56.739130434782616</v>
      </c>
      <c r="AA87" s="60">
        <f t="shared" ref="AA87:AA89" si="27">U87*V87</f>
        <v>207000</v>
      </c>
      <c r="AB87" s="16"/>
      <c r="AD87" s="140"/>
      <c r="AE87" s="140"/>
    </row>
    <row r="88" spans="5:31" ht="15.75" customHeight="1">
      <c r="E88" s="16"/>
      <c r="G88" s="63"/>
      <c r="K88" s="95"/>
      <c r="L88" s="1"/>
      <c r="N88" s="5"/>
      <c r="P88" s="62"/>
      <c r="Q88" s="62"/>
      <c r="R88" s="62"/>
      <c r="S88" s="17" t="s">
        <v>425</v>
      </c>
      <c r="T88" s="18">
        <v>45119</v>
      </c>
      <c r="U88" s="17">
        <v>620</v>
      </c>
      <c r="V88" s="17">
        <v>200</v>
      </c>
      <c r="W88" s="3">
        <v>842.85</v>
      </c>
      <c r="X88" s="65">
        <f t="shared" si="25"/>
        <v>44570.000000000007</v>
      </c>
      <c r="Y88" s="20" t="s">
        <v>424</v>
      </c>
      <c r="Z88" s="66">
        <f t="shared" si="26"/>
        <v>35.943548387096783</v>
      </c>
      <c r="AA88" s="60">
        <f t="shared" si="27"/>
        <v>124000</v>
      </c>
      <c r="AB88" s="16"/>
      <c r="AD88" s="141"/>
      <c r="AE88" s="60"/>
    </row>
    <row r="89" spans="5:31" ht="15.75" customHeight="1">
      <c r="E89" s="16"/>
      <c r="G89" s="63"/>
      <c r="K89" s="95"/>
      <c r="L89" s="1"/>
      <c r="N89" s="5"/>
      <c r="P89" s="62"/>
      <c r="Q89" s="62"/>
      <c r="R89" s="62"/>
      <c r="S89" s="17" t="s">
        <v>426</v>
      </c>
      <c r="T89" s="18">
        <v>45118</v>
      </c>
      <c r="U89" s="17">
        <v>587</v>
      </c>
      <c r="V89" s="17">
        <v>200</v>
      </c>
      <c r="W89" s="3">
        <v>955</v>
      </c>
      <c r="X89" s="65">
        <f t="shared" si="25"/>
        <v>73600</v>
      </c>
      <c r="Y89" s="142" t="s">
        <v>427</v>
      </c>
      <c r="Z89" s="66">
        <f t="shared" si="26"/>
        <v>62.691652470187393</v>
      </c>
      <c r="AA89" s="60">
        <f t="shared" si="27"/>
        <v>117400</v>
      </c>
      <c r="AB89" s="16"/>
      <c r="AD89" s="141"/>
      <c r="AE89" s="60"/>
    </row>
    <row r="90" spans="5:31" ht="15.75" customHeight="1">
      <c r="E90" s="16"/>
      <c r="G90" s="63"/>
      <c r="K90" s="95"/>
      <c r="L90" s="1"/>
      <c r="N90" s="5"/>
      <c r="P90" s="62"/>
      <c r="Q90" s="62"/>
      <c r="R90" s="62"/>
      <c r="S90" s="62"/>
      <c r="T90" s="62"/>
      <c r="U90" s="62"/>
      <c r="AB90" s="16"/>
      <c r="AD90" s="141"/>
      <c r="AE90" s="60"/>
    </row>
    <row r="91" spans="5:31" ht="15.75" customHeight="1">
      <c r="E91" s="16"/>
      <c r="G91" s="63"/>
      <c r="K91" s="95"/>
      <c r="L91" s="1"/>
      <c r="N91" s="5"/>
      <c r="P91" s="62"/>
      <c r="Q91" s="62"/>
      <c r="R91" s="62"/>
      <c r="S91" s="100" t="s">
        <v>428</v>
      </c>
      <c r="T91" s="98" t="s">
        <v>293</v>
      </c>
      <c r="U91" s="98">
        <v>9.8699999999999992</v>
      </c>
      <c r="V91" s="98">
        <v>10000</v>
      </c>
      <c r="W91" s="98">
        <v>30</v>
      </c>
      <c r="X91" s="65">
        <f t="shared" ref="X91:X95" si="28">(W91-U91)*V91</f>
        <v>201300.00000000003</v>
      </c>
      <c r="Y91" s="142" t="s">
        <v>429</v>
      </c>
      <c r="AA91" s="60">
        <f t="shared" ref="AA91:AA95" si="29">U91*V91</f>
        <v>98699.999999999985</v>
      </c>
      <c r="AB91" s="16"/>
      <c r="AD91" s="140"/>
      <c r="AE91" s="140"/>
    </row>
    <row r="92" spans="5:31" ht="15.75" customHeight="1">
      <c r="E92" s="16"/>
      <c r="G92" s="63"/>
      <c r="K92" s="95"/>
      <c r="L92" s="1"/>
      <c r="N92" s="5"/>
      <c r="P92" s="62"/>
      <c r="Q92" s="62"/>
      <c r="R92" s="62"/>
      <c r="S92" s="17" t="s">
        <v>430</v>
      </c>
      <c r="T92" s="18">
        <v>45140</v>
      </c>
      <c r="U92" s="17">
        <v>353</v>
      </c>
      <c r="V92" s="17">
        <v>600</v>
      </c>
      <c r="W92" s="3">
        <v>374</v>
      </c>
      <c r="X92" s="65">
        <f t="shared" si="28"/>
        <v>12600</v>
      </c>
      <c r="Y92" s="20" t="s">
        <v>431</v>
      </c>
      <c r="Z92" s="66">
        <f t="shared" ref="Z92:Z95" si="30">(W92-U92)*100/U92</f>
        <v>5.9490084985835692</v>
      </c>
      <c r="AA92" s="60">
        <f t="shared" si="29"/>
        <v>211800</v>
      </c>
      <c r="AD92" s="141"/>
      <c r="AE92" s="60"/>
    </row>
    <row r="93" spans="5:31" ht="15.75" customHeight="1">
      <c r="E93" s="16"/>
      <c r="G93" s="63"/>
      <c r="K93" s="95"/>
      <c r="L93" s="1"/>
      <c r="N93" s="5"/>
      <c r="P93" s="62"/>
      <c r="Q93" s="62"/>
      <c r="R93" s="62"/>
      <c r="S93" s="17" t="s">
        <v>432</v>
      </c>
      <c r="T93" s="18">
        <v>45117</v>
      </c>
      <c r="U93" s="17">
        <v>474.5</v>
      </c>
      <c r="V93" s="17">
        <v>600</v>
      </c>
      <c r="W93" s="3">
        <v>610</v>
      </c>
      <c r="X93" s="65">
        <f t="shared" si="28"/>
        <v>81300</v>
      </c>
      <c r="Y93" s="142" t="s">
        <v>433</v>
      </c>
      <c r="Z93" s="66">
        <f t="shared" si="30"/>
        <v>28.556375131717598</v>
      </c>
      <c r="AA93" s="60">
        <f t="shared" si="29"/>
        <v>284700</v>
      </c>
      <c r="AD93" s="141"/>
      <c r="AE93" s="60"/>
    </row>
    <row r="94" spans="5:31" ht="15.75" customHeight="1">
      <c r="E94" s="16"/>
      <c r="G94" s="63"/>
      <c r="K94" s="95"/>
      <c r="L94" s="1"/>
      <c r="N94" s="5"/>
      <c r="P94" s="62"/>
      <c r="Q94" s="62"/>
      <c r="R94" s="62"/>
      <c r="S94" s="9" t="s">
        <v>434</v>
      </c>
      <c r="T94" s="17" t="s">
        <v>435</v>
      </c>
      <c r="U94" s="17">
        <v>84</v>
      </c>
      <c r="V94" s="17">
        <v>3000</v>
      </c>
      <c r="W94" s="3">
        <v>130</v>
      </c>
      <c r="X94" s="65">
        <f t="shared" si="28"/>
        <v>138000</v>
      </c>
      <c r="Y94" s="20" t="s">
        <v>436</v>
      </c>
      <c r="Z94" s="66">
        <f t="shared" si="30"/>
        <v>54.761904761904759</v>
      </c>
      <c r="AA94" s="60">
        <f t="shared" si="29"/>
        <v>252000</v>
      </c>
      <c r="AB94" s="22"/>
      <c r="AD94" s="141"/>
      <c r="AE94" s="60"/>
    </row>
    <row r="95" spans="5:31" ht="15.75" customHeight="1">
      <c r="E95" s="16"/>
      <c r="G95" s="63"/>
      <c r="K95" s="95"/>
      <c r="L95" s="1"/>
      <c r="N95" s="5"/>
      <c r="P95" s="62"/>
      <c r="Q95" s="62"/>
      <c r="R95" s="62"/>
      <c r="S95" s="3" t="s">
        <v>125</v>
      </c>
      <c r="T95" s="38">
        <v>45187</v>
      </c>
      <c r="U95" s="3">
        <v>1776</v>
      </c>
      <c r="V95" s="3">
        <v>150</v>
      </c>
      <c r="W95" s="3">
        <v>2095</v>
      </c>
      <c r="X95" s="65">
        <f t="shared" si="28"/>
        <v>47850</v>
      </c>
      <c r="Y95" s="20" t="s">
        <v>436</v>
      </c>
      <c r="Z95" s="66">
        <f t="shared" si="30"/>
        <v>17.961711711711711</v>
      </c>
      <c r="AA95" s="133">
        <f t="shared" si="29"/>
        <v>266400</v>
      </c>
      <c r="AD95" s="143"/>
      <c r="AE95" s="144"/>
    </row>
    <row r="96" spans="5:31" ht="15.75" customHeight="1">
      <c r="E96" s="16"/>
      <c r="G96" s="63"/>
      <c r="K96" s="95"/>
      <c r="L96" s="1"/>
      <c r="N96" s="5"/>
      <c r="P96" s="62"/>
      <c r="Q96" s="62"/>
      <c r="R96" s="62"/>
      <c r="S96" s="62"/>
      <c r="T96" s="62"/>
      <c r="U96" s="62"/>
      <c r="AA96" s="39"/>
      <c r="AB96" s="16"/>
      <c r="AD96" s="140"/>
      <c r="AE96" s="140"/>
    </row>
    <row r="97" spans="5:31" ht="15.75" customHeight="1">
      <c r="E97" s="16"/>
      <c r="G97" s="63"/>
      <c r="K97" s="95"/>
      <c r="L97" s="1"/>
      <c r="N97" s="5"/>
      <c r="P97" s="62"/>
      <c r="Q97" s="62"/>
      <c r="R97" s="62"/>
      <c r="S97" s="17" t="s">
        <v>437</v>
      </c>
      <c r="T97" s="17" t="s">
        <v>438</v>
      </c>
      <c r="U97" s="17">
        <v>352</v>
      </c>
      <c r="V97" s="17">
        <v>700</v>
      </c>
      <c r="W97" s="62">
        <v>643.9</v>
      </c>
      <c r="X97" s="65">
        <f t="shared" ref="X97:X116" si="31">(W97-U97)*V97</f>
        <v>204329.99999999997</v>
      </c>
      <c r="Y97" s="20" t="s">
        <v>439</v>
      </c>
      <c r="Z97" s="66">
        <f t="shared" ref="Z97:Z116" si="32">(W97-U97)*100/U97</f>
        <v>82.92613636363636</v>
      </c>
      <c r="AA97" s="133">
        <f t="shared" ref="AA97:AA116" si="33">U97*V97</f>
        <v>246400</v>
      </c>
      <c r="AB97" s="16"/>
      <c r="AD97" s="39"/>
      <c r="AE97" s="39"/>
    </row>
    <row r="98" spans="5:31" ht="15.75" customHeight="1">
      <c r="E98" s="16"/>
      <c r="G98" s="63"/>
      <c r="K98" s="95"/>
      <c r="L98" s="1"/>
      <c r="N98" s="5"/>
      <c r="P98" s="62"/>
      <c r="Q98" s="62"/>
      <c r="R98" s="62"/>
      <c r="S98" s="9" t="s">
        <v>440</v>
      </c>
      <c r="T98" s="17" t="s">
        <v>441</v>
      </c>
      <c r="U98" s="17">
        <v>2805</v>
      </c>
      <c r="V98" s="17">
        <v>70</v>
      </c>
      <c r="W98" s="3">
        <v>3910</v>
      </c>
      <c r="X98" s="65">
        <f t="shared" si="31"/>
        <v>77350</v>
      </c>
      <c r="Y98" s="20" t="s">
        <v>442</v>
      </c>
      <c r="Z98" s="66">
        <f t="shared" si="32"/>
        <v>39.393939393939391</v>
      </c>
      <c r="AA98" s="133">
        <f t="shared" si="33"/>
        <v>196350</v>
      </c>
      <c r="AD98" s="128"/>
      <c r="AE98" s="133"/>
    </row>
    <row r="99" spans="5:31" ht="15.75" customHeight="1">
      <c r="E99" s="16"/>
      <c r="G99" s="63"/>
      <c r="K99" s="95"/>
      <c r="L99" s="1"/>
      <c r="N99" s="5"/>
      <c r="P99" s="62"/>
      <c r="Q99" s="62"/>
      <c r="R99" s="62"/>
      <c r="S99" s="17" t="s">
        <v>440</v>
      </c>
      <c r="T99" s="17" t="s">
        <v>345</v>
      </c>
      <c r="U99" s="46">
        <v>2967.85</v>
      </c>
      <c r="V99" s="46">
        <v>5</v>
      </c>
      <c r="W99" s="17">
        <v>3910</v>
      </c>
      <c r="X99" s="65">
        <f t="shared" si="31"/>
        <v>4710.75</v>
      </c>
      <c r="Y99" s="20" t="s">
        <v>442</v>
      </c>
      <c r="Z99" s="66">
        <f t="shared" si="32"/>
        <v>31.745202756203991</v>
      </c>
      <c r="AA99" s="133">
        <f t="shared" si="33"/>
        <v>14839.25</v>
      </c>
      <c r="AD99" s="130"/>
      <c r="AE99" s="133"/>
    </row>
    <row r="100" spans="5:31" ht="15.75" customHeight="1">
      <c r="E100" s="16"/>
      <c r="G100" s="63"/>
      <c r="K100" s="95"/>
      <c r="L100" s="1"/>
      <c r="N100" s="5"/>
      <c r="P100" s="62"/>
      <c r="Q100" s="62"/>
      <c r="R100" s="62"/>
      <c r="S100" s="9" t="s">
        <v>443</v>
      </c>
      <c r="T100" s="17" t="s">
        <v>444</v>
      </c>
      <c r="U100" s="17">
        <v>60.5</v>
      </c>
      <c r="V100" s="17">
        <v>4000</v>
      </c>
      <c r="W100" s="3">
        <v>72.400000000000006</v>
      </c>
      <c r="X100" s="65">
        <f t="shared" si="31"/>
        <v>47600.000000000022</v>
      </c>
      <c r="Y100" s="20" t="s">
        <v>445</v>
      </c>
      <c r="Z100" s="66">
        <f t="shared" si="32"/>
        <v>19.669421487603312</v>
      </c>
      <c r="AA100" s="133">
        <f t="shared" si="33"/>
        <v>242000</v>
      </c>
      <c r="AB100" s="17"/>
      <c r="AC100" s="17"/>
      <c r="AD100" s="145"/>
      <c r="AE100" s="89"/>
    </row>
    <row r="101" spans="5:31" ht="15.75" customHeight="1">
      <c r="E101" s="16"/>
      <c r="G101" s="63"/>
      <c r="K101" s="95"/>
      <c r="L101" s="1"/>
      <c r="N101" s="5"/>
      <c r="P101" s="62"/>
      <c r="Q101" s="62"/>
      <c r="R101" s="62"/>
      <c r="S101" s="17" t="s">
        <v>446</v>
      </c>
      <c r="T101" s="18">
        <v>45132</v>
      </c>
      <c r="U101" s="17">
        <v>5200</v>
      </c>
      <c r="V101" s="17">
        <v>15</v>
      </c>
      <c r="W101" s="3">
        <v>5300</v>
      </c>
      <c r="X101" s="65">
        <f t="shared" si="31"/>
        <v>1500</v>
      </c>
      <c r="Y101" s="20" t="s">
        <v>445</v>
      </c>
      <c r="Z101" s="66">
        <f t="shared" si="32"/>
        <v>1.9230769230769231</v>
      </c>
      <c r="AA101" s="133">
        <f t="shared" si="33"/>
        <v>78000</v>
      </c>
      <c r="AD101" s="146"/>
      <c r="AE101" s="133"/>
    </row>
    <row r="102" spans="5:31" ht="15.75" customHeight="1">
      <c r="E102" s="16"/>
      <c r="G102" s="63"/>
      <c r="K102" s="95"/>
      <c r="L102" s="1"/>
      <c r="N102" s="5"/>
      <c r="P102" s="62"/>
      <c r="Q102" s="62"/>
      <c r="R102" s="62"/>
      <c r="S102" s="9" t="s">
        <v>447</v>
      </c>
      <c r="T102" s="17" t="s">
        <v>448</v>
      </c>
      <c r="U102" s="17">
        <v>276.8</v>
      </c>
      <c r="V102" s="17">
        <v>1000</v>
      </c>
      <c r="W102" s="3">
        <v>321.89999999999998</v>
      </c>
      <c r="X102" s="65">
        <f t="shared" si="31"/>
        <v>45099.999999999964</v>
      </c>
      <c r="Y102" s="20" t="s">
        <v>445</v>
      </c>
      <c r="Z102" s="66">
        <f t="shared" si="32"/>
        <v>16.293352601156055</v>
      </c>
      <c r="AA102" s="133">
        <f t="shared" si="33"/>
        <v>276800</v>
      </c>
      <c r="AD102" s="147"/>
      <c r="AE102" s="133"/>
    </row>
    <row r="103" spans="5:31" ht="15.75" customHeight="1">
      <c r="E103" s="16"/>
      <c r="G103" s="63"/>
      <c r="K103" s="95"/>
      <c r="L103" s="1"/>
      <c r="N103" s="5"/>
      <c r="P103" s="62"/>
      <c r="Q103" s="62"/>
      <c r="R103" s="62"/>
      <c r="S103" s="9" t="s">
        <v>449</v>
      </c>
      <c r="T103" s="17" t="s">
        <v>288</v>
      </c>
      <c r="U103" s="17">
        <v>43</v>
      </c>
      <c r="V103" s="17">
        <v>4000</v>
      </c>
      <c r="W103" s="3">
        <v>76.150000000000006</v>
      </c>
      <c r="X103" s="65">
        <f t="shared" si="31"/>
        <v>132600.00000000003</v>
      </c>
      <c r="Y103" s="20" t="s">
        <v>450</v>
      </c>
      <c r="Z103" s="66">
        <f t="shared" si="32"/>
        <v>77.093023255813961</v>
      </c>
      <c r="AA103" s="133">
        <f t="shared" si="33"/>
        <v>172000</v>
      </c>
      <c r="AD103" s="146"/>
      <c r="AE103" s="133"/>
    </row>
    <row r="104" spans="5:31" ht="15.75" customHeight="1">
      <c r="E104" s="16"/>
      <c r="G104" s="63"/>
      <c r="K104" s="95"/>
      <c r="L104" s="1"/>
      <c r="N104" s="5"/>
      <c r="P104" s="62"/>
      <c r="Q104" s="62"/>
      <c r="R104" s="62"/>
      <c r="S104" s="17" t="s">
        <v>451</v>
      </c>
      <c r="T104" s="86">
        <v>45147</v>
      </c>
      <c r="U104" s="46">
        <v>544</v>
      </c>
      <c r="V104" s="46">
        <v>300</v>
      </c>
      <c r="W104" s="17">
        <v>674</v>
      </c>
      <c r="X104" s="65">
        <f t="shared" si="31"/>
        <v>39000</v>
      </c>
      <c r="Y104" s="8" t="s">
        <v>452</v>
      </c>
      <c r="Z104" s="66">
        <f t="shared" si="32"/>
        <v>23.897058823529413</v>
      </c>
      <c r="AA104" s="133">
        <f t="shared" si="33"/>
        <v>163200</v>
      </c>
      <c r="AD104" s="146"/>
      <c r="AE104" s="133"/>
    </row>
    <row r="105" spans="5:31" ht="15.75" customHeight="1">
      <c r="E105" s="16"/>
      <c r="G105" s="63"/>
      <c r="K105" s="95"/>
      <c r="L105" s="1"/>
      <c r="N105" s="5"/>
      <c r="P105" s="62"/>
      <c r="Q105" s="62"/>
      <c r="R105" s="62"/>
      <c r="S105" s="9" t="s">
        <v>453</v>
      </c>
      <c r="T105" s="17" t="s">
        <v>275</v>
      </c>
      <c r="U105" s="17">
        <v>146.6</v>
      </c>
      <c r="V105" s="17">
        <v>1000</v>
      </c>
      <c r="W105" s="3">
        <v>224.25</v>
      </c>
      <c r="X105" s="65">
        <f t="shared" si="31"/>
        <v>77650</v>
      </c>
      <c r="Y105" s="20" t="s">
        <v>452</v>
      </c>
      <c r="Z105" s="66">
        <f t="shared" si="32"/>
        <v>52.967257844474773</v>
      </c>
      <c r="AA105" s="133">
        <f t="shared" si="33"/>
        <v>146600</v>
      </c>
      <c r="AB105" s="17"/>
      <c r="AC105" s="17"/>
      <c r="AD105" s="148"/>
      <c r="AE105" s="89"/>
    </row>
    <row r="106" spans="5:31" ht="15.75" customHeight="1">
      <c r="E106" s="16"/>
      <c r="G106" s="63"/>
      <c r="K106" s="95"/>
      <c r="L106" s="1"/>
      <c r="N106" s="5"/>
      <c r="P106" s="62"/>
      <c r="Q106" s="62"/>
      <c r="R106" s="62"/>
      <c r="S106" s="17" t="s">
        <v>451</v>
      </c>
      <c r="T106" s="86">
        <v>45147</v>
      </c>
      <c r="U106" s="46">
        <v>544</v>
      </c>
      <c r="V106" s="46">
        <v>200</v>
      </c>
      <c r="W106" s="17">
        <v>750</v>
      </c>
      <c r="X106" s="65">
        <f t="shared" si="31"/>
        <v>41200</v>
      </c>
      <c r="Y106" s="8" t="s">
        <v>454</v>
      </c>
      <c r="Z106" s="66">
        <f t="shared" si="32"/>
        <v>37.867647058823529</v>
      </c>
      <c r="AA106" s="133">
        <f t="shared" si="33"/>
        <v>108800</v>
      </c>
      <c r="AD106" s="147"/>
      <c r="AE106" s="133"/>
    </row>
    <row r="107" spans="5:31" ht="15.75" customHeight="1">
      <c r="E107" s="16"/>
      <c r="G107" s="63"/>
      <c r="K107" s="95"/>
      <c r="L107" s="1"/>
      <c r="N107" s="5"/>
      <c r="P107" s="62"/>
      <c r="Q107" s="62"/>
      <c r="R107" s="62"/>
      <c r="S107" s="3" t="s">
        <v>129</v>
      </c>
      <c r="T107" s="38">
        <v>45184</v>
      </c>
      <c r="U107" s="3">
        <v>69.8</v>
      </c>
      <c r="V107" s="3">
        <v>2000</v>
      </c>
      <c r="W107" s="16">
        <v>62</v>
      </c>
      <c r="X107" s="65">
        <f t="shared" si="31"/>
        <v>-15599.999999999995</v>
      </c>
      <c r="Y107" s="149" t="s">
        <v>455</v>
      </c>
      <c r="Z107" s="66">
        <f t="shared" si="32"/>
        <v>-11.174785100286529</v>
      </c>
      <c r="AA107" s="133">
        <f t="shared" si="33"/>
        <v>139600</v>
      </c>
      <c r="AB107" s="17"/>
      <c r="AC107" s="17"/>
      <c r="AD107" s="150"/>
      <c r="AE107" s="68"/>
    </row>
    <row r="108" spans="5:31" ht="15.75" customHeight="1">
      <c r="E108" s="16"/>
      <c r="G108" s="63"/>
      <c r="K108" s="95"/>
      <c r="L108" s="1"/>
      <c r="N108" s="5"/>
      <c r="P108" s="62"/>
      <c r="Q108" s="62"/>
      <c r="R108" s="62"/>
      <c r="S108" s="17" t="s">
        <v>440</v>
      </c>
      <c r="T108" s="17" t="s">
        <v>345</v>
      </c>
      <c r="U108" s="17">
        <v>2967.85</v>
      </c>
      <c r="V108" s="17">
        <v>60</v>
      </c>
      <c r="W108" s="102">
        <v>3750</v>
      </c>
      <c r="X108" s="65">
        <f t="shared" si="31"/>
        <v>46929.000000000007</v>
      </c>
      <c r="Y108" s="149" t="s">
        <v>455</v>
      </c>
      <c r="Z108" s="66">
        <f t="shared" si="32"/>
        <v>26.354094715029404</v>
      </c>
      <c r="AA108" s="133">
        <f t="shared" si="33"/>
        <v>178071</v>
      </c>
      <c r="AC108" s="13"/>
      <c r="AD108" s="68"/>
    </row>
    <row r="109" spans="5:31" ht="15.75" customHeight="1">
      <c r="E109" s="16"/>
      <c r="G109" s="63"/>
      <c r="K109" s="95"/>
      <c r="L109" s="1"/>
      <c r="N109" s="5"/>
      <c r="P109" s="62"/>
      <c r="Q109" s="62"/>
      <c r="R109" s="62"/>
      <c r="S109" s="9" t="s">
        <v>456</v>
      </c>
      <c r="T109" s="17" t="s">
        <v>288</v>
      </c>
      <c r="U109" s="17">
        <v>297.60000000000002</v>
      </c>
      <c r="V109" s="17">
        <v>1000</v>
      </c>
      <c r="W109" s="102">
        <v>317</v>
      </c>
      <c r="X109" s="65">
        <f t="shared" si="31"/>
        <v>19399.999999999978</v>
      </c>
      <c r="Y109" s="149" t="s">
        <v>455</v>
      </c>
      <c r="Z109" s="66">
        <f t="shared" si="32"/>
        <v>6.518817204301067</v>
      </c>
      <c r="AA109" s="133">
        <f t="shared" si="33"/>
        <v>297600</v>
      </c>
      <c r="AC109" s="13"/>
      <c r="AD109" s="24"/>
    </row>
    <row r="110" spans="5:31" ht="15.75" customHeight="1">
      <c r="E110" s="16"/>
      <c r="G110" s="63"/>
      <c r="K110" s="95"/>
      <c r="L110" s="1"/>
      <c r="N110" s="5"/>
      <c r="P110" s="62"/>
      <c r="Q110" s="62"/>
      <c r="R110" s="62"/>
      <c r="S110" s="9" t="s">
        <v>457</v>
      </c>
      <c r="T110" s="17" t="s">
        <v>399</v>
      </c>
      <c r="U110" s="17">
        <v>60.8</v>
      </c>
      <c r="V110" s="17">
        <v>6000</v>
      </c>
      <c r="W110" s="102">
        <v>73</v>
      </c>
      <c r="X110" s="65">
        <f t="shared" si="31"/>
        <v>73200.000000000015</v>
      </c>
      <c r="Y110" s="149" t="s">
        <v>455</v>
      </c>
      <c r="Z110" s="66">
        <f t="shared" si="32"/>
        <v>20.065789473684216</v>
      </c>
      <c r="AA110" s="133">
        <f t="shared" si="33"/>
        <v>364800</v>
      </c>
      <c r="AC110" s="13"/>
      <c r="AD110" s="24"/>
    </row>
    <row r="111" spans="5:31" ht="15.75" customHeight="1">
      <c r="E111" s="16"/>
      <c r="G111" s="63"/>
      <c r="K111" s="95"/>
      <c r="L111" s="1"/>
      <c r="N111" s="5"/>
      <c r="P111" s="62"/>
      <c r="Q111" s="62"/>
      <c r="R111" s="62"/>
      <c r="S111" s="3" t="s">
        <v>131</v>
      </c>
      <c r="T111" s="38">
        <v>45195</v>
      </c>
      <c r="U111" s="3">
        <v>685</v>
      </c>
      <c r="V111" s="3">
        <v>500</v>
      </c>
      <c r="W111" s="16">
        <v>648</v>
      </c>
      <c r="X111" s="65">
        <f t="shared" si="31"/>
        <v>-18500</v>
      </c>
      <c r="Y111" s="149" t="s">
        <v>455</v>
      </c>
      <c r="Z111" s="66">
        <f t="shared" si="32"/>
        <v>-5.4014598540145986</v>
      </c>
      <c r="AA111" s="133">
        <f t="shared" si="33"/>
        <v>342500</v>
      </c>
      <c r="AC111" s="13"/>
      <c r="AD111" s="24"/>
    </row>
    <row r="112" spans="5:31" ht="15.75" customHeight="1">
      <c r="E112" s="16"/>
      <c r="G112" s="63"/>
      <c r="K112" s="95"/>
      <c r="L112" s="1"/>
      <c r="N112" s="5"/>
      <c r="P112" s="62"/>
      <c r="Q112" s="62"/>
      <c r="R112" s="62"/>
      <c r="S112" s="3" t="s">
        <v>458</v>
      </c>
      <c r="T112" s="32">
        <v>45216</v>
      </c>
      <c r="U112" s="3">
        <v>271</v>
      </c>
      <c r="V112" s="3">
        <v>1000</v>
      </c>
      <c r="W112" s="16">
        <v>250</v>
      </c>
      <c r="X112" s="65">
        <f t="shared" si="31"/>
        <v>-21000</v>
      </c>
      <c r="Y112" s="149" t="s">
        <v>455</v>
      </c>
      <c r="Z112" s="66">
        <f t="shared" si="32"/>
        <v>-7.7490774907749076</v>
      </c>
      <c r="AA112" s="133">
        <f t="shared" si="33"/>
        <v>271000</v>
      </c>
      <c r="AC112" s="13"/>
      <c r="AD112" s="68"/>
    </row>
    <row r="113" spans="5:30" ht="15.75" customHeight="1">
      <c r="E113" s="16"/>
      <c r="G113" s="63"/>
      <c r="K113" s="95"/>
      <c r="L113" s="1"/>
      <c r="N113" s="5"/>
      <c r="P113" s="62"/>
      <c r="Q113" s="62"/>
      <c r="R113" s="62"/>
      <c r="S113" s="17" t="s">
        <v>459</v>
      </c>
      <c r="T113" s="17" t="s">
        <v>415</v>
      </c>
      <c r="U113" s="17">
        <v>498</v>
      </c>
      <c r="V113" s="17">
        <v>200</v>
      </c>
      <c r="W113" s="102">
        <v>655</v>
      </c>
      <c r="X113" s="65">
        <f t="shared" si="31"/>
        <v>31400</v>
      </c>
      <c r="Y113" s="149" t="s">
        <v>455</v>
      </c>
      <c r="Z113" s="66">
        <f t="shared" si="32"/>
        <v>31.526104417670684</v>
      </c>
      <c r="AA113" s="133">
        <f t="shared" si="33"/>
        <v>99600</v>
      </c>
      <c r="AC113" s="13"/>
    </row>
    <row r="114" spans="5:30" ht="15.75" customHeight="1">
      <c r="E114" s="16"/>
      <c r="G114" s="63"/>
      <c r="K114" s="95"/>
      <c r="L114" s="1"/>
      <c r="N114" s="5"/>
      <c r="P114" s="62"/>
      <c r="Q114" s="62"/>
      <c r="R114" s="62"/>
      <c r="S114" s="17" t="s">
        <v>460</v>
      </c>
      <c r="T114" s="18">
        <v>45127</v>
      </c>
      <c r="U114" s="17">
        <v>81.400000000000006</v>
      </c>
      <c r="V114" s="17">
        <v>2000</v>
      </c>
      <c r="W114" s="102">
        <v>71.5</v>
      </c>
      <c r="X114" s="65">
        <f t="shared" si="31"/>
        <v>-19800.000000000011</v>
      </c>
      <c r="Y114" s="149" t="s">
        <v>455</v>
      </c>
      <c r="Z114" s="66">
        <f t="shared" si="32"/>
        <v>-12.162162162162168</v>
      </c>
      <c r="AA114" s="133">
        <f t="shared" si="33"/>
        <v>162800</v>
      </c>
      <c r="AC114" s="13"/>
      <c r="AD114" s="24"/>
    </row>
    <row r="115" spans="5:30" ht="15.75" customHeight="1">
      <c r="E115" s="16"/>
      <c r="G115" s="63"/>
      <c r="K115" s="95"/>
      <c r="L115" s="1"/>
      <c r="N115" s="5"/>
      <c r="P115" s="62"/>
      <c r="Q115" s="62"/>
      <c r="R115" s="62"/>
      <c r="S115" s="17" t="s">
        <v>130</v>
      </c>
      <c r="T115" s="135">
        <v>45161</v>
      </c>
      <c r="U115" s="17">
        <v>271</v>
      </c>
      <c r="V115" s="17">
        <v>1000</v>
      </c>
      <c r="W115" s="102">
        <v>300</v>
      </c>
      <c r="X115" s="65">
        <f t="shared" si="31"/>
        <v>29000</v>
      </c>
      <c r="Y115" s="149" t="s">
        <v>455</v>
      </c>
      <c r="Z115" s="66">
        <f t="shared" si="32"/>
        <v>10.701107011070111</v>
      </c>
      <c r="AA115" s="133">
        <f t="shared" si="33"/>
        <v>271000</v>
      </c>
      <c r="AC115" s="13"/>
      <c r="AD115" s="24"/>
    </row>
    <row r="116" spans="5:30" ht="15.75" customHeight="1">
      <c r="E116" s="16"/>
      <c r="G116" s="63"/>
      <c r="K116" s="95"/>
      <c r="L116" s="1"/>
      <c r="N116" s="5"/>
      <c r="P116" s="62"/>
      <c r="Q116" s="62"/>
      <c r="R116" s="62"/>
      <c r="S116" s="17" t="s">
        <v>461</v>
      </c>
      <c r="T116" s="18">
        <v>45132</v>
      </c>
      <c r="U116" s="17">
        <v>407</v>
      </c>
      <c r="V116" s="17">
        <v>200</v>
      </c>
      <c r="W116" s="102">
        <v>490</v>
      </c>
      <c r="X116" s="65">
        <f t="shared" si="31"/>
        <v>16600</v>
      </c>
      <c r="Y116" s="48" t="s">
        <v>462</v>
      </c>
      <c r="Z116" s="66">
        <f t="shared" si="32"/>
        <v>20.393120393120395</v>
      </c>
      <c r="AA116" s="133">
        <f t="shared" si="33"/>
        <v>81400</v>
      </c>
      <c r="AC116" s="13"/>
      <c r="AD116" s="68"/>
    </row>
    <row r="117" spans="5:30" ht="15.75" customHeight="1">
      <c r="E117" s="16"/>
      <c r="G117" s="63"/>
      <c r="K117" s="95"/>
      <c r="L117" s="1"/>
      <c r="N117" s="5"/>
      <c r="P117" s="62"/>
      <c r="Q117" s="62"/>
      <c r="R117" s="62"/>
      <c r="S117" s="62"/>
      <c r="T117" s="62"/>
      <c r="U117" s="62"/>
      <c r="X117" s="127"/>
      <c r="Y117" s="127"/>
      <c r="Z117" s="128"/>
      <c r="AA117" s="133"/>
      <c r="AC117" s="13"/>
      <c r="AD117" s="24"/>
    </row>
    <row r="118" spans="5:30" ht="15.75" customHeight="1">
      <c r="E118" s="16"/>
      <c r="G118" s="63"/>
      <c r="K118" s="95"/>
      <c r="L118" s="1"/>
      <c r="N118" s="5"/>
      <c r="P118" s="62"/>
      <c r="Q118" s="62"/>
      <c r="R118" s="62"/>
      <c r="S118" s="9" t="s">
        <v>463</v>
      </c>
      <c r="T118" s="17" t="s">
        <v>435</v>
      </c>
      <c r="U118" s="17">
        <v>577</v>
      </c>
      <c r="V118" s="17">
        <v>500</v>
      </c>
      <c r="W118" s="102">
        <v>666.6</v>
      </c>
      <c r="X118" s="65">
        <f t="shared" ref="X118:X125" si="34">(W118-U118)*V118</f>
        <v>44800.000000000015</v>
      </c>
      <c r="Y118" s="48" t="s">
        <v>464</v>
      </c>
      <c r="Z118" s="66">
        <f t="shared" ref="Z118:Z125" si="35">(W118-U118)*100/U118</f>
        <v>15.528596187175047</v>
      </c>
      <c r="AA118" s="133">
        <f t="shared" ref="AA118:AA125" si="36">U118*V118</f>
        <v>288500</v>
      </c>
    </row>
    <row r="119" spans="5:30" ht="15.75" customHeight="1">
      <c r="E119" s="16"/>
      <c r="G119" s="63"/>
      <c r="K119" s="95"/>
      <c r="L119" s="1"/>
      <c r="N119" s="5"/>
      <c r="P119" s="62"/>
      <c r="Q119" s="62"/>
      <c r="R119" s="62"/>
      <c r="S119" s="17" t="s">
        <v>134</v>
      </c>
      <c r="T119" s="17" t="s">
        <v>325</v>
      </c>
      <c r="U119" s="17">
        <v>248.8</v>
      </c>
      <c r="V119" s="17">
        <v>900</v>
      </c>
      <c r="W119" s="102">
        <v>274.7</v>
      </c>
      <c r="X119" s="65">
        <f t="shared" si="34"/>
        <v>23309.999999999978</v>
      </c>
      <c r="Y119" s="48" t="s">
        <v>465</v>
      </c>
      <c r="Z119" s="66">
        <f t="shared" si="35"/>
        <v>10.409967845659155</v>
      </c>
      <c r="AA119" s="133">
        <f t="shared" si="36"/>
        <v>223920</v>
      </c>
      <c r="AC119" s="13"/>
      <c r="AD119" s="24"/>
    </row>
    <row r="120" spans="5:30" ht="15.75" customHeight="1">
      <c r="E120" s="16"/>
      <c r="G120" s="63"/>
      <c r="K120" s="95"/>
      <c r="L120" s="1"/>
      <c r="N120" s="5"/>
      <c r="P120" s="62"/>
      <c r="Q120" s="62"/>
      <c r="R120" s="62"/>
      <c r="S120" s="3" t="s">
        <v>138</v>
      </c>
      <c r="T120" s="38">
        <v>45187</v>
      </c>
      <c r="U120" s="3">
        <v>1125</v>
      </c>
      <c r="V120" s="3">
        <v>200</v>
      </c>
      <c r="W120" s="16">
        <v>1122.5</v>
      </c>
      <c r="X120" s="65">
        <f t="shared" si="34"/>
        <v>-500</v>
      </c>
      <c r="Y120" s="149" t="s">
        <v>218</v>
      </c>
      <c r="Z120" s="66">
        <f t="shared" si="35"/>
        <v>-0.22222222222222221</v>
      </c>
      <c r="AA120" s="133">
        <f t="shared" si="36"/>
        <v>225000</v>
      </c>
      <c r="AC120" s="13"/>
      <c r="AD120" s="24"/>
    </row>
    <row r="121" spans="5:30" ht="15.75" customHeight="1">
      <c r="E121" s="16"/>
      <c r="G121" s="63"/>
      <c r="K121" s="95"/>
      <c r="L121" s="1"/>
      <c r="N121" s="5"/>
      <c r="P121" s="62"/>
      <c r="Q121" s="62"/>
      <c r="R121" s="62"/>
      <c r="S121" s="3" t="s">
        <v>139</v>
      </c>
      <c r="T121" s="38">
        <v>45202</v>
      </c>
      <c r="U121" s="3">
        <f>535/10</f>
        <v>53.5</v>
      </c>
      <c r="V121" s="3">
        <f>650*10</f>
        <v>6500</v>
      </c>
      <c r="W121" s="16">
        <v>57</v>
      </c>
      <c r="X121" s="65">
        <f t="shared" si="34"/>
        <v>22750</v>
      </c>
      <c r="Y121" s="149" t="s">
        <v>218</v>
      </c>
      <c r="Z121" s="66">
        <f t="shared" si="35"/>
        <v>6.5420560747663554</v>
      </c>
      <c r="AA121" s="133">
        <f t="shared" si="36"/>
        <v>347750</v>
      </c>
      <c r="AC121" s="13"/>
      <c r="AD121" s="68"/>
    </row>
    <row r="122" spans="5:30" ht="15.75" customHeight="1">
      <c r="E122" s="16"/>
      <c r="G122" s="63"/>
      <c r="K122" s="95"/>
      <c r="L122" s="1"/>
      <c r="N122" s="5"/>
      <c r="S122" s="9" t="s">
        <v>126</v>
      </c>
      <c r="T122" s="38">
        <v>45197</v>
      </c>
      <c r="U122" s="3">
        <v>579.29999999999995</v>
      </c>
      <c r="V122" s="3">
        <v>680</v>
      </c>
      <c r="W122" s="16">
        <v>532</v>
      </c>
      <c r="X122" s="65">
        <f t="shared" si="34"/>
        <v>-32163.999999999971</v>
      </c>
      <c r="Y122" s="149" t="s">
        <v>218</v>
      </c>
      <c r="Z122" s="66">
        <f t="shared" si="35"/>
        <v>-8.1650267564301675</v>
      </c>
      <c r="AA122" s="133">
        <f t="shared" si="36"/>
        <v>393923.99999999994</v>
      </c>
      <c r="AB122" s="3" t="s">
        <v>219</v>
      </c>
      <c r="AC122" s="13"/>
      <c r="AD122" s="1"/>
    </row>
    <row r="123" spans="5:30" ht="15.75" customHeight="1">
      <c r="E123" s="16"/>
      <c r="G123" s="63"/>
      <c r="K123" s="95"/>
      <c r="L123" s="1"/>
      <c r="N123" s="5"/>
      <c r="S123" s="3" t="s">
        <v>135</v>
      </c>
      <c r="T123" s="38">
        <v>45184</v>
      </c>
      <c r="U123" s="3">
        <v>237</v>
      </c>
      <c r="V123" s="3">
        <v>1050</v>
      </c>
      <c r="W123" s="16">
        <v>196.8</v>
      </c>
      <c r="X123" s="65">
        <f t="shared" si="34"/>
        <v>-42209.999999999985</v>
      </c>
      <c r="Y123" s="149" t="s">
        <v>218</v>
      </c>
      <c r="Z123" s="66">
        <f t="shared" si="35"/>
        <v>-16.962025316455691</v>
      </c>
      <c r="AA123" s="133">
        <f t="shared" si="36"/>
        <v>248850</v>
      </c>
      <c r="AC123" s="13"/>
      <c r="AD123" s="68"/>
    </row>
    <row r="124" spans="5:30" ht="15.75" customHeight="1">
      <c r="E124" s="16"/>
      <c r="G124" s="63"/>
      <c r="K124" s="95"/>
      <c r="L124" s="1"/>
      <c r="N124" s="5"/>
      <c r="S124" s="17" t="s">
        <v>466</v>
      </c>
      <c r="T124" s="18">
        <v>45134</v>
      </c>
      <c r="U124" s="17">
        <v>640</v>
      </c>
      <c r="V124" s="17">
        <v>300</v>
      </c>
      <c r="W124" s="102">
        <v>678</v>
      </c>
      <c r="X124" s="65">
        <f t="shared" si="34"/>
        <v>11400</v>
      </c>
      <c r="Y124" s="149" t="s">
        <v>218</v>
      </c>
      <c r="Z124" s="66">
        <f t="shared" si="35"/>
        <v>5.9375</v>
      </c>
      <c r="AA124" s="133">
        <f t="shared" si="36"/>
        <v>192000</v>
      </c>
      <c r="AB124" s="3" t="s">
        <v>467</v>
      </c>
      <c r="AC124" s="13"/>
      <c r="AD124" s="68"/>
    </row>
    <row r="125" spans="5:30" ht="15.75" customHeight="1">
      <c r="E125" s="16"/>
      <c r="G125" s="63"/>
      <c r="K125" s="95"/>
      <c r="L125" s="1"/>
      <c r="N125" s="5"/>
      <c r="S125" s="17" t="s">
        <v>141</v>
      </c>
      <c r="T125" s="18">
        <v>45168</v>
      </c>
      <c r="U125" s="17">
        <v>2769.5</v>
      </c>
      <c r="V125" s="17">
        <v>70</v>
      </c>
      <c r="W125" s="87">
        <v>2569</v>
      </c>
      <c r="X125" s="65">
        <f t="shared" si="34"/>
        <v>-14035</v>
      </c>
      <c r="Y125" s="149" t="s">
        <v>468</v>
      </c>
      <c r="Z125" s="66">
        <f t="shared" si="35"/>
        <v>-7.2395739303123303</v>
      </c>
      <c r="AA125" s="133">
        <f t="shared" si="36"/>
        <v>193865</v>
      </c>
      <c r="AC125" s="13"/>
      <c r="AD125" s="24"/>
    </row>
    <row r="126" spans="5:30" ht="15.75" customHeight="1">
      <c r="E126" s="16"/>
      <c r="G126" s="63"/>
      <c r="K126" s="95"/>
      <c r="L126" s="1"/>
      <c r="N126" s="5"/>
      <c r="AC126" s="13"/>
      <c r="AD126" s="68"/>
    </row>
    <row r="127" spans="5:30" ht="15.75" customHeight="1">
      <c r="E127" s="16"/>
      <c r="G127" s="63"/>
      <c r="K127" s="95"/>
      <c r="L127" s="1"/>
      <c r="N127" s="5"/>
      <c r="S127" s="31" t="s">
        <v>26</v>
      </c>
      <c r="T127" s="135">
        <v>45166</v>
      </c>
      <c r="U127" s="17">
        <v>71.2</v>
      </c>
      <c r="V127" s="17">
        <v>2000</v>
      </c>
      <c r="W127" s="102">
        <v>68</v>
      </c>
      <c r="X127" s="65">
        <f t="shared" ref="X127:X143" si="37">(W127-U127)*V127</f>
        <v>-6400.0000000000055</v>
      </c>
      <c r="Y127" s="149" t="s">
        <v>469</v>
      </c>
      <c r="Z127" s="66">
        <f t="shared" ref="Z127:Z143" si="38">(W127-U127)*100/U127</f>
        <v>-4.494382022471914</v>
      </c>
      <c r="AA127" s="133">
        <f t="shared" ref="AA127:AA143" si="39">U127*V127</f>
        <v>142400</v>
      </c>
    </row>
    <row r="128" spans="5:30" ht="15.75" customHeight="1">
      <c r="E128" s="16"/>
      <c r="G128" s="63"/>
      <c r="K128" s="95"/>
      <c r="L128" s="1"/>
      <c r="N128" s="5"/>
      <c r="S128" s="31" t="s">
        <v>470</v>
      </c>
      <c r="T128" s="135">
        <v>45162</v>
      </c>
      <c r="U128" s="17">
        <v>405</v>
      </c>
      <c r="V128" s="17">
        <v>800</v>
      </c>
      <c r="W128" s="102">
        <v>347</v>
      </c>
      <c r="X128" s="65">
        <f t="shared" si="37"/>
        <v>-46400</v>
      </c>
      <c r="Y128" s="149" t="s">
        <v>469</v>
      </c>
      <c r="Z128" s="66">
        <f t="shared" si="38"/>
        <v>-14.320987654320987</v>
      </c>
      <c r="AA128" s="133">
        <f t="shared" si="39"/>
        <v>324000</v>
      </c>
      <c r="AC128" s="13"/>
      <c r="AD128" s="68"/>
    </row>
    <row r="129" spans="5:32" ht="15.75" customHeight="1">
      <c r="E129" s="16"/>
      <c r="G129" s="63"/>
      <c r="K129" s="95"/>
      <c r="L129" s="1"/>
      <c r="N129" s="5"/>
      <c r="S129" s="31" t="s">
        <v>203</v>
      </c>
      <c r="T129" s="18">
        <v>45055</v>
      </c>
      <c r="U129" s="17">
        <v>112.55</v>
      </c>
      <c r="V129" s="17">
        <v>1700</v>
      </c>
      <c r="W129" s="102">
        <v>118</v>
      </c>
      <c r="X129" s="65">
        <f t="shared" si="37"/>
        <v>9265.0000000000055</v>
      </c>
      <c r="Y129" s="149" t="s">
        <v>469</v>
      </c>
      <c r="Z129" s="66">
        <f t="shared" si="38"/>
        <v>4.8422923145268788</v>
      </c>
      <c r="AA129" s="133">
        <f t="shared" si="39"/>
        <v>191335</v>
      </c>
      <c r="AC129" s="13"/>
      <c r="AD129" s="68"/>
    </row>
    <row r="130" spans="5:32" ht="15.75" customHeight="1">
      <c r="E130" s="16"/>
      <c r="G130" s="63"/>
      <c r="K130" s="95"/>
      <c r="L130" s="1"/>
      <c r="N130" s="5"/>
      <c r="S130" s="31" t="s">
        <v>471</v>
      </c>
      <c r="T130" s="18">
        <v>45054</v>
      </c>
      <c r="U130" s="17">
        <v>112</v>
      </c>
      <c r="V130" s="17">
        <v>1000</v>
      </c>
      <c r="W130" s="102">
        <v>137</v>
      </c>
      <c r="X130" s="65">
        <f t="shared" si="37"/>
        <v>25000</v>
      </c>
      <c r="Y130" s="149" t="s">
        <v>469</v>
      </c>
      <c r="Z130" s="66">
        <f t="shared" si="38"/>
        <v>22.321428571428573</v>
      </c>
      <c r="AA130" s="133">
        <f t="shared" si="39"/>
        <v>112000</v>
      </c>
      <c r="AB130" s="39"/>
      <c r="AC130" s="13"/>
      <c r="AD130" s="133"/>
    </row>
    <row r="131" spans="5:32" ht="15.75" customHeight="1">
      <c r="E131" s="16"/>
      <c r="G131" s="63"/>
      <c r="K131" s="95"/>
      <c r="L131" s="1"/>
      <c r="S131" s="31" t="s">
        <v>223</v>
      </c>
      <c r="T131" s="32">
        <v>45240</v>
      </c>
      <c r="U131" s="3">
        <v>204</v>
      </c>
      <c r="V131" s="3">
        <v>1900</v>
      </c>
      <c r="W131" s="16">
        <v>185</v>
      </c>
      <c r="X131" s="65">
        <f t="shared" si="37"/>
        <v>-36100</v>
      </c>
      <c r="Y131" s="149" t="s">
        <v>469</v>
      </c>
      <c r="Z131" s="66">
        <f t="shared" si="38"/>
        <v>-9.3137254901960791</v>
      </c>
      <c r="AA131" s="133">
        <f t="shared" si="39"/>
        <v>387600</v>
      </c>
      <c r="AB131" s="39"/>
      <c r="AC131" s="13"/>
      <c r="AD131" s="133"/>
    </row>
    <row r="132" spans="5:32" ht="15.75" customHeight="1">
      <c r="E132" s="16"/>
      <c r="G132" s="63"/>
      <c r="K132" s="95"/>
      <c r="L132" s="1"/>
      <c r="S132" s="31" t="s">
        <v>472</v>
      </c>
      <c r="T132" s="38">
        <v>45177</v>
      </c>
      <c r="U132" s="3">
        <v>342.9</v>
      </c>
      <c r="V132" s="3">
        <v>789</v>
      </c>
      <c r="W132" s="16">
        <v>288</v>
      </c>
      <c r="X132" s="65">
        <f t="shared" si="37"/>
        <v>-43316.099999999984</v>
      </c>
      <c r="Y132" s="149" t="s">
        <v>469</v>
      </c>
      <c r="Z132" s="66">
        <f t="shared" si="38"/>
        <v>-16.010498687664036</v>
      </c>
      <c r="AA132" s="133">
        <f t="shared" si="39"/>
        <v>270548.09999999998</v>
      </c>
      <c r="AB132" s="39"/>
      <c r="AC132" s="13"/>
      <c r="AD132" s="91"/>
    </row>
    <row r="133" spans="5:32" ht="15.75" customHeight="1">
      <c r="E133" s="16"/>
      <c r="G133" s="63"/>
      <c r="K133" s="95"/>
      <c r="L133" s="1"/>
      <c r="S133" s="31" t="s">
        <v>222</v>
      </c>
      <c r="T133" s="18">
        <v>45168</v>
      </c>
      <c r="U133" s="17">
        <v>585</v>
      </c>
      <c r="V133" s="17">
        <v>500</v>
      </c>
      <c r="W133" s="102">
        <v>550</v>
      </c>
      <c r="X133" s="65">
        <f t="shared" si="37"/>
        <v>-17500</v>
      </c>
      <c r="Y133" s="149" t="s">
        <v>469</v>
      </c>
      <c r="Z133" s="66">
        <f t="shared" si="38"/>
        <v>-5.982905982905983</v>
      </c>
      <c r="AA133" s="133">
        <f t="shared" si="39"/>
        <v>292500</v>
      </c>
      <c r="AB133" s="39"/>
      <c r="AC133" s="13"/>
      <c r="AD133" s="89"/>
    </row>
    <row r="134" spans="5:32" ht="15.75" customHeight="1">
      <c r="E134" s="16"/>
      <c r="G134" s="63"/>
      <c r="K134" s="95"/>
      <c r="L134" s="1"/>
      <c r="S134" s="31" t="s">
        <v>146</v>
      </c>
      <c r="T134" s="32">
        <v>45260</v>
      </c>
      <c r="U134" s="3">
        <v>366</v>
      </c>
      <c r="V134" s="3">
        <v>600</v>
      </c>
      <c r="W134" s="16">
        <v>365</v>
      </c>
      <c r="X134" s="65">
        <f t="shared" si="37"/>
        <v>-600</v>
      </c>
      <c r="Y134" s="149" t="s">
        <v>473</v>
      </c>
      <c r="Z134" s="66">
        <f t="shared" si="38"/>
        <v>-0.27322404371584702</v>
      </c>
      <c r="AA134" s="133">
        <f t="shared" si="39"/>
        <v>219600</v>
      </c>
      <c r="AB134" s="39"/>
      <c r="AC134" s="13"/>
      <c r="AD134" s="89"/>
    </row>
    <row r="135" spans="5:32" ht="15.75" customHeight="1">
      <c r="E135" s="16"/>
      <c r="G135" s="63"/>
      <c r="K135" s="95"/>
      <c r="L135" s="1"/>
      <c r="S135" s="151" t="s">
        <v>224</v>
      </c>
      <c r="T135" s="86">
        <v>45237</v>
      </c>
      <c r="U135" s="46">
        <v>98.45</v>
      </c>
      <c r="V135" s="46">
        <v>2500</v>
      </c>
      <c r="W135" s="102">
        <v>155</v>
      </c>
      <c r="X135" s="65">
        <f t="shared" si="37"/>
        <v>141375</v>
      </c>
      <c r="Y135" s="149" t="s">
        <v>473</v>
      </c>
      <c r="Z135" s="66">
        <f t="shared" si="38"/>
        <v>57.4403250380904</v>
      </c>
      <c r="AA135" s="133">
        <f t="shared" si="39"/>
        <v>246125</v>
      </c>
      <c r="AB135" s="39"/>
      <c r="AC135" s="13"/>
      <c r="AD135" s="91"/>
    </row>
    <row r="136" spans="5:32" ht="15.75" customHeight="1">
      <c r="E136" s="16"/>
      <c r="G136" s="63"/>
      <c r="K136" s="95"/>
      <c r="L136" s="1"/>
      <c r="S136" s="31" t="s">
        <v>226</v>
      </c>
      <c r="T136" s="32">
        <v>45218</v>
      </c>
      <c r="U136" s="3">
        <v>100.5</v>
      </c>
      <c r="V136" s="3">
        <v>1250</v>
      </c>
      <c r="W136" s="16">
        <v>103.1</v>
      </c>
      <c r="X136" s="65">
        <f t="shared" si="37"/>
        <v>3249.9999999999927</v>
      </c>
      <c r="Y136" s="63" t="s">
        <v>474</v>
      </c>
      <c r="Z136" s="66">
        <f t="shared" si="38"/>
        <v>2.5870646766169099</v>
      </c>
      <c r="AA136" s="133">
        <f t="shared" si="39"/>
        <v>125625</v>
      </c>
      <c r="AC136" s="13"/>
      <c r="AD136" s="1"/>
    </row>
    <row r="137" spans="5:32" ht="15.75" customHeight="1">
      <c r="E137" s="16"/>
      <c r="G137" s="63"/>
      <c r="K137" s="95"/>
      <c r="L137" s="1"/>
      <c r="S137" s="31" t="s">
        <v>149</v>
      </c>
      <c r="T137" s="38">
        <v>45187</v>
      </c>
      <c r="U137" s="3">
        <v>2375</v>
      </c>
      <c r="V137" s="3">
        <v>120</v>
      </c>
      <c r="W137" s="16">
        <v>2400</v>
      </c>
      <c r="X137" s="65">
        <f t="shared" si="37"/>
        <v>3000</v>
      </c>
      <c r="Y137" s="63" t="s">
        <v>474</v>
      </c>
      <c r="Z137" s="66">
        <f t="shared" si="38"/>
        <v>1.0526315789473684</v>
      </c>
      <c r="AA137" s="133">
        <f t="shared" si="39"/>
        <v>285000</v>
      </c>
      <c r="AC137" s="13"/>
      <c r="AD137" s="68"/>
    </row>
    <row r="138" spans="5:32" ht="15.75" customHeight="1">
      <c r="E138" s="16"/>
      <c r="G138" s="63"/>
      <c r="K138" s="95"/>
      <c r="L138" s="1"/>
      <c r="S138" s="31" t="s">
        <v>148</v>
      </c>
      <c r="T138" s="38">
        <v>45177</v>
      </c>
      <c r="U138" s="3">
        <v>225</v>
      </c>
      <c r="V138" s="3">
        <v>1500</v>
      </c>
      <c r="W138" s="16">
        <v>228.25</v>
      </c>
      <c r="X138" s="65">
        <f t="shared" si="37"/>
        <v>4875</v>
      </c>
      <c r="Y138" s="63" t="s">
        <v>474</v>
      </c>
      <c r="Z138" s="66">
        <f t="shared" si="38"/>
        <v>1.4444444444444444</v>
      </c>
      <c r="AA138" s="133">
        <f t="shared" si="39"/>
        <v>337500</v>
      </c>
      <c r="AC138" s="13"/>
      <c r="AD138" s="68"/>
    </row>
    <row r="139" spans="5:32" ht="15.75" customHeight="1">
      <c r="E139" s="16"/>
      <c r="G139" s="63"/>
      <c r="K139" s="95"/>
      <c r="L139" s="1"/>
      <c r="S139" s="31" t="s">
        <v>150</v>
      </c>
      <c r="T139" s="38">
        <v>45191</v>
      </c>
      <c r="U139" s="3">
        <v>1332</v>
      </c>
      <c r="V139" s="3">
        <v>350</v>
      </c>
      <c r="W139" s="16">
        <v>1412</v>
      </c>
      <c r="X139" s="65">
        <f t="shared" si="37"/>
        <v>28000</v>
      </c>
      <c r="Y139" s="149" t="s">
        <v>475</v>
      </c>
      <c r="Z139" s="66">
        <f t="shared" si="38"/>
        <v>6.0060060060060056</v>
      </c>
      <c r="AA139" s="133">
        <f t="shared" si="39"/>
        <v>466200</v>
      </c>
      <c r="AC139" s="13"/>
      <c r="AD139" s="68"/>
    </row>
    <row r="140" spans="5:32" ht="15.75" customHeight="1">
      <c r="E140" s="16"/>
      <c r="G140" s="63"/>
      <c r="K140" s="95"/>
      <c r="L140" s="1"/>
      <c r="S140" s="31" t="s">
        <v>476</v>
      </c>
      <c r="T140" s="18">
        <v>45044</v>
      </c>
      <c r="U140" s="17">
        <v>325</v>
      </c>
      <c r="V140" s="17">
        <v>150</v>
      </c>
      <c r="W140" s="102">
        <v>601.5</v>
      </c>
      <c r="X140" s="65">
        <f t="shared" si="37"/>
        <v>41475</v>
      </c>
      <c r="Y140" s="48" t="s">
        <v>477</v>
      </c>
      <c r="Z140" s="66">
        <f t="shared" si="38"/>
        <v>85.07692307692308</v>
      </c>
      <c r="AA140" s="133">
        <f t="shared" si="39"/>
        <v>48750</v>
      </c>
      <c r="AC140" s="13"/>
      <c r="AD140" s="24"/>
    </row>
    <row r="141" spans="5:32" ht="15.75" customHeight="1">
      <c r="E141" s="16"/>
      <c r="G141" s="63"/>
      <c r="K141" s="95"/>
      <c r="L141" s="1"/>
      <c r="S141" s="31" t="s">
        <v>228</v>
      </c>
      <c r="T141" s="32">
        <v>45217</v>
      </c>
      <c r="U141" s="3">
        <v>43.2</v>
      </c>
      <c r="V141" s="3">
        <v>5000</v>
      </c>
      <c r="W141" s="16">
        <v>43.4</v>
      </c>
      <c r="X141" s="65">
        <f t="shared" si="37"/>
        <v>999.99999999997863</v>
      </c>
      <c r="Y141" s="48" t="s">
        <v>477</v>
      </c>
      <c r="Z141" s="66">
        <f t="shared" si="38"/>
        <v>0.46296296296295308</v>
      </c>
      <c r="AA141" s="133">
        <f t="shared" si="39"/>
        <v>216000</v>
      </c>
      <c r="AC141" s="13"/>
      <c r="AD141" s="1"/>
    </row>
    <row r="142" spans="5:32" ht="15.75" customHeight="1">
      <c r="E142" s="16"/>
      <c r="G142" s="63"/>
      <c r="K142" s="95"/>
      <c r="L142" s="1"/>
      <c r="S142" s="31" t="s">
        <v>478</v>
      </c>
      <c r="T142" s="18">
        <v>45147</v>
      </c>
      <c r="U142" s="17">
        <v>544</v>
      </c>
      <c r="V142" s="17">
        <v>300</v>
      </c>
      <c r="W142" s="102">
        <v>619.5</v>
      </c>
      <c r="X142" s="65">
        <f t="shared" si="37"/>
        <v>22650</v>
      </c>
      <c r="Y142" s="48" t="s">
        <v>477</v>
      </c>
      <c r="Z142" s="66">
        <f t="shared" si="38"/>
        <v>13.878676470588236</v>
      </c>
      <c r="AA142" s="133">
        <f t="shared" si="39"/>
        <v>163200</v>
      </c>
      <c r="AC142" s="13"/>
      <c r="AD142" s="24"/>
    </row>
    <row r="143" spans="5:32" ht="15.75" customHeight="1">
      <c r="E143" s="16"/>
      <c r="G143" s="63"/>
      <c r="K143" s="95"/>
      <c r="L143" s="1"/>
      <c r="S143" s="31" t="s">
        <v>227</v>
      </c>
      <c r="T143" s="32">
        <v>45218</v>
      </c>
      <c r="U143" s="3">
        <v>42</v>
      </c>
      <c r="V143" s="3">
        <v>6000</v>
      </c>
      <c r="W143" s="16">
        <v>43.35</v>
      </c>
      <c r="X143" s="65">
        <f t="shared" si="37"/>
        <v>8100.0000000000082</v>
      </c>
      <c r="Y143" s="48" t="s">
        <v>477</v>
      </c>
      <c r="Z143" s="66">
        <f t="shared" si="38"/>
        <v>3.2142857142857175</v>
      </c>
      <c r="AA143" s="133">
        <f t="shared" si="39"/>
        <v>252000</v>
      </c>
      <c r="AC143" s="13"/>
      <c r="AD143" s="1"/>
    </row>
    <row r="144" spans="5:32" ht="15.75" customHeight="1">
      <c r="E144" s="16"/>
      <c r="G144" s="63"/>
      <c r="K144" s="95"/>
      <c r="L144" s="1"/>
      <c r="M144" s="39"/>
      <c r="N144" s="39"/>
      <c r="O144" s="39"/>
      <c r="P144" s="39"/>
      <c r="Q144" s="39"/>
      <c r="R144" s="39"/>
      <c r="S144" s="152"/>
      <c r="T144" s="153"/>
      <c r="U144" s="39"/>
      <c r="V144" s="39"/>
      <c r="W144" s="39"/>
      <c r="X144" s="127"/>
      <c r="Y144" s="91"/>
      <c r="Z144" s="128"/>
      <c r="AA144" s="133"/>
      <c r="AB144" s="39"/>
      <c r="AC144" s="13"/>
      <c r="AD144" s="91"/>
      <c r="AE144" s="39"/>
      <c r="AF144" s="39"/>
    </row>
    <row r="145" spans="5:30" ht="15.75" customHeight="1">
      <c r="E145" s="16"/>
      <c r="G145" s="63"/>
      <c r="K145" s="95"/>
      <c r="L145" s="1"/>
      <c r="S145" s="31" t="s">
        <v>225</v>
      </c>
      <c r="T145" s="32">
        <v>45242</v>
      </c>
      <c r="U145" s="3">
        <v>1648</v>
      </c>
      <c r="V145" s="3">
        <v>200</v>
      </c>
      <c r="W145" s="16">
        <v>1920</v>
      </c>
      <c r="X145" s="65">
        <f t="shared" ref="X145:X162" si="40">(W145-U145)*V145</f>
        <v>54400</v>
      </c>
      <c r="Y145" s="63" t="s">
        <v>479</v>
      </c>
      <c r="Z145" s="66">
        <f t="shared" ref="Z145:Z162" si="41">(W145-U145)*100/U145</f>
        <v>16.50485436893204</v>
      </c>
      <c r="AA145" s="133">
        <f t="shared" ref="AA145:AA162" si="42">U145*V145</f>
        <v>329600</v>
      </c>
      <c r="AC145" s="13"/>
      <c r="AD145" s="1"/>
    </row>
    <row r="146" spans="5:30" ht="15.75" customHeight="1">
      <c r="E146" s="16"/>
      <c r="G146" s="63"/>
      <c r="K146" s="95"/>
      <c r="L146" s="1"/>
      <c r="S146" s="31" t="s">
        <v>480</v>
      </c>
      <c r="T146" s="18">
        <v>45156</v>
      </c>
      <c r="U146" s="17">
        <v>154.5</v>
      </c>
      <c r="V146" s="17">
        <v>1650</v>
      </c>
      <c r="W146" s="102">
        <v>154.5</v>
      </c>
      <c r="X146" s="65">
        <f t="shared" si="40"/>
        <v>0</v>
      </c>
      <c r="Y146" s="63" t="s">
        <v>481</v>
      </c>
      <c r="Z146" s="66">
        <f t="shared" si="41"/>
        <v>0</v>
      </c>
      <c r="AA146" s="133">
        <f t="shared" si="42"/>
        <v>254925</v>
      </c>
      <c r="AC146" s="13"/>
      <c r="AD146" s="24"/>
    </row>
    <row r="147" spans="5:30" ht="15.75" customHeight="1">
      <c r="E147" s="16"/>
      <c r="G147" s="63"/>
      <c r="K147" s="95"/>
      <c r="L147" s="1"/>
      <c r="S147" s="31" t="s">
        <v>482</v>
      </c>
      <c r="T147" s="38">
        <v>45175</v>
      </c>
      <c r="U147" s="3">
        <v>632</v>
      </c>
      <c r="V147" s="3">
        <v>500</v>
      </c>
      <c r="W147" s="16">
        <v>671.55</v>
      </c>
      <c r="X147" s="65">
        <f t="shared" si="40"/>
        <v>19774.999999999978</v>
      </c>
      <c r="Y147" s="63" t="s">
        <v>481</v>
      </c>
      <c r="Z147" s="66">
        <f t="shared" si="41"/>
        <v>6.257911392405056</v>
      </c>
      <c r="AA147" s="133">
        <f t="shared" si="42"/>
        <v>316000</v>
      </c>
      <c r="AC147" s="13"/>
      <c r="AD147" s="68"/>
    </row>
    <row r="148" spans="5:30" ht="15.75" customHeight="1">
      <c r="E148" s="16"/>
      <c r="G148" s="63"/>
      <c r="K148" s="95"/>
      <c r="L148" s="1"/>
      <c r="S148" s="31" t="s">
        <v>229</v>
      </c>
      <c r="T148" s="32">
        <v>45219</v>
      </c>
      <c r="U148" s="3">
        <v>370</v>
      </c>
      <c r="V148" s="3">
        <v>1000</v>
      </c>
      <c r="W148" s="16">
        <v>363</v>
      </c>
      <c r="X148" s="65">
        <f t="shared" si="40"/>
        <v>-7000</v>
      </c>
      <c r="Y148" s="63" t="s">
        <v>483</v>
      </c>
      <c r="Z148" s="66">
        <f t="shared" si="41"/>
        <v>-1.8918918918918919</v>
      </c>
      <c r="AA148" s="133">
        <f t="shared" si="42"/>
        <v>370000</v>
      </c>
      <c r="AC148" s="13"/>
      <c r="AD148" s="1"/>
    </row>
    <row r="149" spans="5:30" ht="15.75" customHeight="1">
      <c r="E149" s="16"/>
      <c r="G149" s="63"/>
      <c r="K149" s="95"/>
      <c r="L149" s="1"/>
      <c r="S149" s="31" t="s">
        <v>230</v>
      </c>
      <c r="T149" s="38">
        <v>45231</v>
      </c>
      <c r="U149" s="3">
        <v>460</v>
      </c>
      <c r="V149" s="3">
        <v>800</v>
      </c>
      <c r="W149" s="16">
        <v>380</v>
      </c>
      <c r="X149" s="65">
        <f t="shared" si="40"/>
        <v>-64000</v>
      </c>
      <c r="Y149" s="63" t="s">
        <v>484</v>
      </c>
      <c r="Z149" s="66">
        <f t="shared" si="41"/>
        <v>-17.391304347826086</v>
      </c>
      <c r="AA149" s="133">
        <f t="shared" si="42"/>
        <v>368000</v>
      </c>
      <c r="AC149" s="13"/>
      <c r="AD149" s="1"/>
    </row>
    <row r="150" spans="5:30" ht="15.75" customHeight="1">
      <c r="E150" s="16"/>
      <c r="G150" s="63"/>
      <c r="K150" s="95"/>
      <c r="L150" s="1"/>
      <c r="S150" s="31" t="s">
        <v>151</v>
      </c>
      <c r="T150" s="18">
        <v>45135</v>
      </c>
      <c r="U150" s="17">
        <f>1074.5/5</f>
        <v>214.9</v>
      </c>
      <c r="V150" s="17">
        <f>250*5</f>
        <v>1250</v>
      </c>
      <c r="W150" s="102">
        <v>202</v>
      </c>
      <c r="X150" s="65">
        <f t="shared" si="40"/>
        <v>-16125.000000000007</v>
      </c>
      <c r="Y150" s="48" t="s">
        <v>485</v>
      </c>
      <c r="Z150" s="66">
        <f t="shared" si="41"/>
        <v>-6.0027919962773399</v>
      </c>
      <c r="AA150" s="133">
        <f t="shared" si="42"/>
        <v>268625</v>
      </c>
      <c r="AC150" s="13"/>
      <c r="AD150" s="24"/>
    </row>
    <row r="151" spans="5:30" ht="15.75" customHeight="1">
      <c r="E151" s="16"/>
      <c r="G151" s="63"/>
      <c r="K151" s="95"/>
      <c r="L151" s="1"/>
      <c r="S151" s="31" t="s">
        <v>224</v>
      </c>
      <c r="T151" s="38">
        <v>45237</v>
      </c>
      <c r="U151" s="3">
        <v>98.45</v>
      </c>
      <c r="V151" s="3">
        <v>1200</v>
      </c>
      <c r="W151" s="16">
        <v>170.35</v>
      </c>
      <c r="X151" s="65">
        <f t="shared" si="40"/>
        <v>86279.999999999985</v>
      </c>
      <c r="Y151" s="48" t="s">
        <v>486</v>
      </c>
      <c r="Z151" s="66">
        <f t="shared" si="41"/>
        <v>73.031995937023865</v>
      </c>
      <c r="AA151" s="133">
        <f t="shared" si="42"/>
        <v>118140</v>
      </c>
      <c r="AC151" s="13"/>
      <c r="AD151" s="1"/>
    </row>
    <row r="152" spans="5:30" ht="15.75" customHeight="1">
      <c r="E152" s="16"/>
      <c r="G152" s="63"/>
      <c r="K152" s="95"/>
      <c r="L152" s="1"/>
      <c r="S152" s="31" t="s">
        <v>231</v>
      </c>
      <c r="T152" s="32">
        <v>45218</v>
      </c>
      <c r="U152" s="3">
        <v>39.25</v>
      </c>
      <c r="V152" s="3">
        <v>6000</v>
      </c>
      <c r="W152" s="16">
        <v>40.049999999999997</v>
      </c>
      <c r="X152" s="65">
        <f t="shared" si="40"/>
        <v>4799.9999999999827</v>
      </c>
      <c r="Y152" s="48" t="s">
        <v>487</v>
      </c>
      <c r="Z152" s="66">
        <f t="shared" si="41"/>
        <v>2.038216560509547</v>
      </c>
      <c r="AA152" s="133">
        <f t="shared" si="42"/>
        <v>235500</v>
      </c>
      <c r="AC152" s="13"/>
      <c r="AD152" s="1"/>
    </row>
    <row r="153" spans="5:30" ht="15.75" customHeight="1">
      <c r="E153" s="16"/>
      <c r="G153" s="63"/>
      <c r="K153" s="95"/>
      <c r="L153" s="1"/>
      <c r="S153" s="3" t="s">
        <v>156</v>
      </c>
      <c r="T153" s="32">
        <v>45289</v>
      </c>
      <c r="U153" s="3">
        <v>232.65</v>
      </c>
      <c r="V153" s="3">
        <v>1200</v>
      </c>
      <c r="W153" s="16">
        <v>225.45</v>
      </c>
      <c r="X153" s="65">
        <f t="shared" si="40"/>
        <v>-8640.00000000002</v>
      </c>
      <c r="Y153" s="48" t="s">
        <v>487</v>
      </c>
      <c r="Z153" s="66">
        <f t="shared" si="41"/>
        <v>-3.0947775628626766</v>
      </c>
      <c r="AA153" s="133">
        <f t="shared" si="42"/>
        <v>279180</v>
      </c>
      <c r="AB153" s="17"/>
      <c r="AC153" s="154"/>
      <c r="AD153" s="68"/>
    </row>
    <row r="154" spans="5:30" ht="15.75" customHeight="1">
      <c r="E154" s="16"/>
      <c r="G154" s="63"/>
      <c r="K154" s="95"/>
      <c r="L154" s="1"/>
      <c r="S154" s="31" t="s">
        <v>152</v>
      </c>
      <c r="T154" s="18">
        <v>45168</v>
      </c>
      <c r="U154" s="17">
        <v>470</v>
      </c>
      <c r="V154" s="17">
        <v>300</v>
      </c>
      <c r="W154" s="102">
        <v>528</v>
      </c>
      <c r="X154" s="65">
        <f t="shared" si="40"/>
        <v>17400</v>
      </c>
      <c r="Y154" s="48" t="s">
        <v>487</v>
      </c>
      <c r="Z154" s="66">
        <f t="shared" si="41"/>
        <v>12.340425531914894</v>
      </c>
      <c r="AA154" s="133">
        <f t="shared" si="42"/>
        <v>141000</v>
      </c>
      <c r="AC154" s="13"/>
      <c r="AD154" s="68"/>
    </row>
    <row r="155" spans="5:30" ht="15.75" customHeight="1">
      <c r="E155" s="16"/>
      <c r="G155" s="63"/>
      <c r="K155" s="95"/>
      <c r="L155" s="1"/>
      <c r="S155" s="3" t="s">
        <v>65</v>
      </c>
      <c r="T155" s="35">
        <v>45309</v>
      </c>
      <c r="U155" s="3">
        <v>815</v>
      </c>
      <c r="V155" s="3">
        <v>300</v>
      </c>
      <c r="W155" s="16">
        <v>820</v>
      </c>
      <c r="X155" s="65">
        <f t="shared" si="40"/>
        <v>1500</v>
      </c>
      <c r="Y155" s="48" t="s">
        <v>487</v>
      </c>
      <c r="Z155" s="66">
        <f t="shared" si="41"/>
        <v>0.61349693251533743</v>
      </c>
      <c r="AA155" s="133">
        <f t="shared" si="42"/>
        <v>244500</v>
      </c>
      <c r="AB155" s="17"/>
      <c r="AC155" s="154"/>
      <c r="AD155" s="68"/>
    </row>
    <row r="156" spans="5:30" ht="15.75" customHeight="1">
      <c r="E156" s="16"/>
      <c r="G156" s="63"/>
      <c r="K156" s="95"/>
      <c r="L156" s="1"/>
      <c r="S156" s="3" t="s">
        <v>155</v>
      </c>
      <c r="T156" s="35">
        <v>45293</v>
      </c>
      <c r="U156" s="3">
        <v>903.2</v>
      </c>
      <c r="V156" s="3">
        <v>300</v>
      </c>
      <c r="W156" s="16">
        <v>851</v>
      </c>
      <c r="X156" s="65">
        <f t="shared" si="40"/>
        <v>-15660.000000000015</v>
      </c>
      <c r="Y156" s="48" t="s">
        <v>488</v>
      </c>
      <c r="Z156" s="66">
        <f t="shared" si="41"/>
        <v>-5.7794508414526176</v>
      </c>
      <c r="AA156" s="133">
        <f t="shared" si="42"/>
        <v>270960</v>
      </c>
      <c r="AB156" s="17"/>
      <c r="AC156" s="154"/>
      <c r="AD156" s="68"/>
    </row>
    <row r="157" spans="5:30" ht="15.75" customHeight="1">
      <c r="E157" s="16"/>
      <c r="G157" s="63"/>
      <c r="K157" s="95"/>
      <c r="L157" s="1"/>
      <c r="S157" s="31" t="s">
        <v>153</v>
      </c>
      <c r="T157" s="38">
        <v>45187</v>
      </c>
      <c r="U157" s="3">
        <f>275-15.25</f>
        <v>259.75</v>
      </c>
      <c r="V157" s="3">
        <v>2000</v>
      </c>
      <c r="W157" s="16">
        <v>382.75</v>
      </c>
      <c r="X157" s="65">
        <f t="shared" si="40"/>
        <v>246000</v>
      </c>
      <c r="Y157" s="48" t="s">
        <v>488</v>
      </c>
      <c r="Z157" s="66">
        <f t="shared" si="41"/>
        <v>47.35322425409047</v>
      </c>
      <c r="AA157" s="133">
        <f t="shared" si="42"/>
        <v>519500</v>
      </c>
      <c r="AB157" s="3" t="s">
        <v>489</v>
      </c>
      <c r="AC157" s="13"/>
      <c r="AD157" s="68"/>
    </row>
    <row r="158" spans="5:30" ht="15.75" customHeight="1">
      <c r="E158" s="16"/>
      <c r="G158" s="63"/>
      <c r="K158" s="95"/>
      <c r="L158" s="1"/>
      <c r="S158" s="3" t="s">
        <v>24</v>
      </c>
      <c r="T158" s="32">
        <v>45279</v>
      </c>
      <c r="U158" s="3">
        <v>462</v>
      </c>
      <c r="V158" s="3">
        <v>600</v>
      </c>
      <c r="W158" s="16">
        <v>645</v>
      </c>
      <c r="X158" s="65">
        <f t="shared" si="40"/>
        <v>109800</v>
      </c>
      <c r="Y158" s="48" t="s">
        <v>488</v>
      </c>
      <c r="Z158" s="66">
        <f t="shared" si="41"/>
        <v>39.61038961038961</v>
      </c>
      <c r="AA158" s="133">
        <f t="shared" si="42"/>
        <v>277200</v>
      </c>
      <c r="AB158" s="17"/>
      <c r="AC158" s="154"/>
      <c r="AD158" s="68"/>
    </row>
    <row r="159" spans="5:30" ht="15.75" customHeight="1">
      <c r="E159" s="16"/>
      <c r="G159" s="63"/>
      <c r="K159" s="95"/>
      <c r="L159" s="1"/>
      <c r="S159" s="31" t="s">
        <v>157</v>
      </c>
      <c r="T159" s="32">
        <v>45259</v>
      </c>
      <c r="U159" s="3">
        <v>2705</v>
      </c>
      <c r="V159" s="3">
        <v>100</v>
      </c>
      <c r="W159" s="16">
        <v>2440</v>
      </c>
      <c r="X159" s="65">
        <f t="shared" si="40"/>
        <v>-26500</v>
      </c>
      <c r="Y159" s="48" t="s">
        <v>490</v>
      </c>
      <c r="Z159" s="66">
        <f t="shared" si="41"/>
        <v>-9.7966728280961188</v>
      </c>
      <c r="AA159" s="133">
        <f t="shared" si="42"/>
        <v>270500</v>
      </c>
      <c r="AC159" s="13"/>
      <c r="AD159" s="1"/>
    </row>
    <row r="160" spans="5:30" ht="15.75" customHeight="1">
      <c r="E160" s="16"/>
      <c r="G160" s="63"/>
      <c r="K160" s="95"/>
      <c r="L160" s="1"/>
      <c r="S160" s="31" t="s">
        <v>220</v>
      </c>
      <c r="T160" s="38">
        <v>45202</v>
      </c>
      <c r="U160" s="3">
        <v>511.5</v>
      </c>
      <c r="V160" s="3">
        <v>600</v>
      </c>
      <c r="W160" s="16">
        <v>447</v>
      </c>
      <c r="X160" s="65">
        <f t="shared" si="40"/>
        <v>-38700</v>
      </c>
      <c r="Y160" s="48" t="s">
        <v>491</v>
      </c>
      <c r="Z160" s="66">
        <f t="shared" si="41"/>
        <v>-12.609970674486803</v>
      </c>
      <c r="AA160" s="133">
        <f t="shared" si="42"/>
        <v>306900</v>
      </c>
      <c r="AC160" s="13"/>
      <c r="AD160" s="1"/>
    </row>
    <row r="161" spans="5:30" ht="15.75" customHeight="1">
      <c r="E161" s="16"/>
      <c r="G161" s="63"/>
      <c r="K161" s="95"/>
      <c r="L161" s="1"/>
      <c r="S161" s="31" t="s">
        <v>492</v>
      </c>
      <c r="T161" s="18">
        <v>45156</v>
      </c>
      <c r="U161" s="17">
        <v>405</v>
      </c>
      <c r="V161" s="17">
        <v>550</v>
      </c>
      <c r="W161" s="102">
        <v>496</v>
      </c>
      <c r="X161" s="65">
        <f t="shared" si="40"/>
        <v>50050</v>
      </c>
      <c r="Y161" s="48" t="s">
        <v>491</v>
      </c>
      <c r="Z161" s="66">
        <f t="shared" si="41"/>
        <v>22.469135802469136</v>
      </c>
      <c r="AA161" s="133">
        <f t="shared" si="42"/>
        <v>222750</v>
      </c>
      <c r="AC161" s="13"/>
      <c r="AD161" s="24"/>
    </row>
    <row r="162" spans="5:30" ht="15.75" customHeight="1">
      <c r="E162" s="16"/>
      <c r="G162" s="63"/>
      <c r="K162" s="95"/>
      <c r="L162" s="1"/>
      <c r="S162" s="3" t="s">
        <v>158</v>
      </c>
      <c r="T162" s="38">
        <v>45264</v>
      </c>
      <c r="U162" s="3">
        <v>1594.25</v>
      </c>
      <c r="V162" s="3">
        <v>200</v>
      </c>
      <c r="W162" s="16">
        <v>1390</v>
      </c>
      <c r="X162" s="65">
        <f t="shared" si="40"/>
        <v>-40850</v>
      </c>
      <c r="Y162" s="48" t="s">
        <v>491</v>
      </c>
      <c r="Z162" s="66">
        <f t="shared" si="41"/>
        <v>-12.81166692802258</v>
      </c>
      <c r="AA162" s="133">
        <f t="shared" si="42"/>
        <v>318850</v>
      </c>
      <c r="AC162" s="13"/>
      <c r="AD162" s="1"/>
    </row>
    <row r="163" spans="5:30" ht="15.75" customHeight="1">
      <c r="E163" s="16"/>
      <c r="G163" s="63"/>
      <c r="K163" s="95"/>
      <c r="L163" s="1"/>
      <c r="X163" s="65"/>
      <c r="Z163" s="66"/>
      <c r="AA163" s="133"/>
    </row>
    <row r="164" spans="5:30" ht="15.75" customHeight="1">
      <c r="E164" s="16"/>
      <c r="G164" s="63"/>
      <c r="K164" s="95"/>
      <c r="L164" s="1"/>
      <c r="S164" s="31" t="s">
        <v>160</v>
      </c>
      <c r="T164" s="38">
        <v>45184</v>
      </c>
      <c r="U164" s="3">
        <v>272</v>
      </c>
      <c r="V164" s="3">
        <v>1000</v>
      </c>
      <c r="W164" s="16">
        <v>275.55</v>
      </c>
      <c r="X164" s="65">
        <f t="shared" ref="X164:X232" si="43">(W164-U164)*V164</f>
        <v>3550.0000000000114</v>
      </c>
      <c r="Y164" s="149" t="s">
        <v>493</v>
      </c>
      <c r="Z164" s="66">
        <f t="shared" ref="Z164:Z232" si="44">(W164-U164)*100/U164</f>
        <v>1.3051470588235337</v>
      </c>
      <c r="AA164" s="133">
        <f t="shared" ref="AA164:AA232" si="45">U164*V164</f>
        <v>272000</v>
      </c>
      <c r="AC164" s="13"/>
      <c r="AD164" s="68"/>
    </row>
    <row r="165" spans="5:30" ht="15.75" customHeight="1">
      <c r="E165" s="16"/>
      <c r="G165" s="63"/>
      <c r="K165" s="95"/>
      <c r="L165" s="1"/>
      <c r="S165" s="31" t="s">
        <v>494</v>
      </c>
      <c r="T165" s="18">
        <v>45169</v>
      </c>
      <c r="U165" s="17">
        <v>453.85</v>
      </c>
      <c r="V165" s="17">
        <v>400</v>
      </c>
      <c r="W165" s="102">
        <v>493.75</v>
      </c>
      <c r="X165" s="65">
        <f t="shared" si="43"/>
        <v>15959.999999999991</v>
      </c>
      <c r="Y165" s="149" t="s">
        <v>493</v>
      </c>
      <c r="Z165" s="66">
        <f t="shared" si="44"/>
        <v>8.7914509199074526</v>
      </c>
      <c r="AA165" s="133">
        <f t="shared" si="45"/>
        <v>181540</v>
      </c>
      <c r="AC165" s="13"/>
      <c r="AD165" s="68"/>
    </row>
    <row r="166" spans="5:30" ht="15.75" customHeight="1">
      <c r="E166" s="16"/>
      <c r="G166" s="63"/>
      <c r="K166" s="95"/>
      <c r="L166" s="1"/>
      <c r="S166" s="3" t="s">
        <v>159</v>
      </c>
      <c r="T166" s="32">
        <v>45289</v>
      </c>
      <c r="U166" s="3">
        <v>170.4</v>
      </c>
      <c r="V166" s="3">
        <v>1500</v>
      </c>
      <c r="W166" s="16">
        <v>251.5</v>
      </c>
      <c r="X166" s="65">
        <f t="shared" si="43"/>
        <v>121649.99999999999</v>
      </c>
      <c r="Y166" s="149" t="s">
        <v>493</v>
      </c>
      <c r="Z166" s="66">
        <f t="shared" si="44"/>
        <v>47.593896713615017</v>
      </c>
      <c r="AA166" s="133">
        <f t="shared" si="45"/>
        <v>255600</v>
      </c>
      <c r="AB166" s="17"/>
      <c r="AC166" s="154"/>
      <c r="AD166" s="68"/>
    </row>
    <row r="167" spans="5:30" ht="15.75" customHeight="1">
      <c r="E167" s="16"/>
      <c r="G167" s="63"/>
      <c r="K167" s="95"/>
      <c r="L167" s="1"/>
      <c r="S167" s="31" t="s">
        <v>147</v>
      </c>
      <c r="T167" s="38">
        <v>45177</v>
      </c>
      <c r="U167" s="3">
        <v>313</v>
      </c>
      <c r="V167" s="3">
        <v>830</v>
      </c>
      <c r="W167" s="16">
        <v>310</v>
      </c>
      <c r="X167" s="65">
        <f t="shared" si="43"/>
        <v>-2490</v>
      </c>
      <c r="Y167" s="149" t="s">
        <v>495</v>
      </c>
      <c r="Z167" s="66">
        <f t="shared" si="44"/>
        <v>-0.95846645367412142</v>
      </c>
      <c r="AA167" s="133">
        <f t="shared" si="45"/>
        <v>259790</v>
      </c>
      <c r="AC167" s="13"/>
      <c r="AD167" s="68"/>
    </row>
    <row r="168" spans="5:30" ht="15.75" customHeight="1">
      <c r="E168" s="16"/>
      <c r="G168" s="63"/>
      <c r="K168" s="95"/>
      <c r="L168" s="1"/>
      <c r="S168" s="3" t="s">
        <v>167</v>
      </c>
      <c r="T168" s="32">
        <v>45275</v>
      </c>
      <c r="U168" s="3">
        <v>214</v>
      </c>
      <c r="V168" s="3">
        <v>500</v>
      </c>
      <c r="W168" s="16">
        <v>213.6</v>
      </c>
      <c r="X168" s="65">
        <f t="shared" si="43"/>
        <v>-200.00000000000284</v>
      </c>
      <c r="Y168" s="149" t="s">
        <v>495</v>
      </c>
      <c r="Z168" s="66">
        <f t="shared" si="44"/>
        <v>-0.18691588785046995</v>
      </c>
      <c r="AA168" s="133">
        <f t="shared" si="45"/>
        <v>107000</v>
      </c>
      <c r="AC168" s="13"/>
      <c r="AD168" s="1"/>
    </row>
    <row r="169" spans="5:30" ht="15.75" customHeight="1">
      <c r="E169" s="16"/>
      <c r="G169" s="63"/>
      <c r="K169" s="95"/>
      <c r="L169" s="1"/>
      <c r="S169" s="3" t="s">
        <v>38</v>
      </c>
      <c r="T169" s="38">
        <v>45265</v>
      </c>
      <c r="U169" s="3">
        <v>478</v>
      </c>
      <c r="V169" s="3">
        <v>600</v>
      </c>
      <c r="W169" s="16">
        <v>377.45</v>
      </c>
      <c r="X169" s="65">
        <f t="shared" si="43"/>
        <v>-60330.000000000007</v>
      </c>
      <c r="Y169" s="149" t="s">
        <v>496</v>
      </c>
      <c r="Z169" s="66">
        <f t="shared" si="44"/>
        <v>-21.03556485355649</v>
      </c>
      <c r="AA169" s="133">
        <f t="shared" si="45"/>
        <v>286800</v>
      </c>
      <c r="AC169" s="13"/>
      <c r="AD169" s="1"/>
    </row>
    <row r="170" spans="5:30" ht="15.75" customHeight="1">
      <c r="E170" s="16"/>
      <c r="G170" s="63"/>
      <c r="K170" s="95"/>
      <c r="L170" s="1"/>
      <c r="S170" s="31" t="s">
        <v>161</v>
      </c>
      <c r="T170" s="38">
        <v>45204</v>
      </c>
      <c r="U170" s="3">
        <f>948/2</f>
        <v>474</v>
      </c>
      <c r="V170" s="3">
        <f>400*2</f>
        <v>800</v>
      </c>
      <c r="W170" s="16">
        <v>631</v>
      </c>
      <c r="X170" s="65">
        <f t="shared" si="43"/>
        <v>125600</v>
      </c>
      <c r="Y170" s="149" t="s">
        <v>496</v>
      </c>
      <c r="Z170" s="66">
        <f t="shared" si="44"/>
        <v>33.122362869198312</v>
      </c>
      <c r="AA170" s="133">
        <f t="shared" si="45"/>
        <v>379200</v>
      </c>
      <c r="AC170" s="13"/>
      <c r="AD170" s="1"/>
    </row>
    <row r="171" spans="5:30" ht="15.75" customHeight="1">
      <c r="E171" s="16"/>
      <c r="G171" s="63"/>
      <c r="K171" s="95"/>
      <c r="L171" s="1"/>
      <c r="S171" s="31" t="s">
        <v>162</v>
      </c>
      <c r="T171" s="38">
        <v>45237</v>
      </c>
      <c r="U171" s="3">
        <v>401.76</v>
      </c>
      <c r="V171" s="3">
        <v>400</v>
      </c>
      <c r="W171" s="16">
        <v>413</v>
      </c>
      <c r="X171" s="65">
        <f t="shared" si="43"/>
        <v>4496.0000000000036</v>
      </c>
      <c r="Y171" s="149" t="s">
        <v>496</v>
      </c>
      <c r="Z171" s="66">
        <f t="shared" si="44"/>
        <v>2.7976901632815636</v>
      </c>
      <c r="AA171" s="133">
        <f t="shared" si="45"/>
        <v>160704</v>
      </c>
      <c r="AC171" s="13"/>
      <c r="AD171" s="1"/>
    </row>
    <row r="172" spans="5:30" ht="15.75" customHeight="1">
      <c r="E172" s="16"/>
      <c r="G172" s="63"/>
      <c r="K172" s="95"/>
      <c r="L172" s="1"/>
      <c r="S172" s="31" t="s">
        <v>170</v>
      </c>
      <c r="T172" s="32">
        <v>45240</v>
      </c>
      <c r="U172" s="3">
        <v>1225</v>
      </c>
      <c r="V172" s="3">
        <v>250</v>
      </c>
      <c r="W172" s="16">
        <v>1143</v>
      </c>
      <c r="X172" s="65">
        <f t="shared" si="43"/>
        <v>-20500</v>
      </c>
      <c r="Y172" s="149" t="s">
        <v>497</v>
      </c>
      <c r="Z172" s="66">
        <f t="shared" si="44"/>
        <v>-6.6938775510204085</v>
      </c>
      <c r="AA172" s="133">
        <f t="shared" si="45"/>
        <v>306250</v>
      </c>
      <c r="AC172" s="13"/>
      <c r="AD172" s="1"/>
    </row>
    <row r="173" spans="5:30" ht="15.75" customHeight="1">
      <c r="E173" s="16"/>
      <c r="G173" s="63"/>
      <c r="K173" s="95"/>
      <c r="L173" s="1"/>
      <c r="S173" s="3" t="s">
        <v>163</v>
      </c>
      <c r="T173" s="32">
        <v>45275</v>
      </c>
      <c r="U173" s="3">
        <v>668</v>
      </c>
      <c r="V173" s="3">
        <v>460</v>
      </c>
      <c r="W173" s="16">
        <v>534</v>
      </c>
      <c r="X173" s="65">
        <f t="shared" si="43"/>
        <v>-61640</v>
      </c>
      <c r="Y173" s="149" t="s">
        <v>498</v>
      </c>
      <c r="Z173" s="66">
        <f t="shared" si="44"/>
        <v>-20.059880239520957</v>
      </c>
      <c r="AA173" s="133">
        <f t="shared" si="45"/>
        <v>307280</v>
      </c>
      <c r="AC173" s="13"/>
      <c r="AD173" s="1"/>
    </row>
    <row r="174" spans="5:30" ht="15.75" customHeight="1">
      <c r="E174" s="16"/>
      <c r="G174" s="63"/>
      <c r="K174" s="95"/>
      <c r="L174" s="1"/>
      <c r="S174" s="31" t="s">
        <v>233</v>
      </c>
      <c r="T174" s="32">
        <v>45258</v>
      </c>
      <c r="U174" s="3">
        <v>159</v>
      </c>
      <c r="V174" s="3">
        <v>2000</v>
      </c>
      <c r="W174" s="16">
        <v>132</v>
      </c>
      <c r="X174" s="65">
        <f t="shared" si="43"/>
        <v>-54000</v>
      </c>
      <c r="Y174" s="149" t="s">
        <v>498</v>
      </c>
      <c r="Z174" s="66">
        <f t="shared" si="44"/>
        <v>-16.981132075471699</v>
      </c>
      <c r="AA174" s="133">
        <f t="shared" si="45"/>
        <v>318000</v>
      </c>
      <c r="AC174" s="13"/>
      <c r="AD174" s="1"/>
    </row>
    <row r="175" spans="5:30" ht="15.75" customHeight="1">
      <c r="E175" s="16"/>
      <c r="G175" s="63"/>
      <c r="K175" s="95"/>
      <c r="L175" s="1"/>
      <c r="S175" s="31" t="s">
        <v>164</v>
      </c>
      <c r="T175" s="38">
        <v>45202</v>
      </c>
      <c r="U175" s="3">
        <v>469.8</v>
      </c>
      <c r="V175" s="3">
        <v>600</v>
      </c>
      <c r="W175" s="16">
        <v>785</v>
      </c>
      <c r="X175" s="65">
        <f t="shared" si="43"/>
        <v>189120</v>
      </c>
      <c r="Y175" s="63" t="s">
        <v>499</v>
      </c>
      <c r="Z175" s="66">
        <f t="shared" si="44"/>
        <v>67.092379736057893</v>
      </c>
      <c r="AA175" s="133">
        <f t="shared" si="45"/>
        <v>281880</v>
      </c>
      <c r="AC175" s="13"/>
      <c r="AD175" s="1"/>
    </row>
    <row r="176" spans="5:30" ht="15.75" customHeight="1">
      <c r="E176" s="16"/>
      <c r="G176" s="63"/>
      <c r="K176" s="95"/>
      <c r="L176" s="1"/>
      <c r="S176" s="31" t="s">
        <v>165</v>
      </c>
      <c r="T176" s="32">
        <v>45219</v>
      </c>
      <c r="U176" s="3">
        <v>35</v>
      </c>
      <c r="V176" s="3">
        <v>2000</v>
      </c>
      <c r="W176" s="16">
        <v>39.700000000000003</v>
      </c>
      <c r="X176" s="65">
        <f t="shared" si="43"/>
        <v>9400.0000000000055</v>
      </c>
      <c r="Y176" s="63" t="s">
        <v>499</v>
      </c>
      <c r="Z176" s="66">
        <f t="shared" si="44"/>
        <v>13.428571428571436</v>
      </c>
      <c r="AA176" s="133">
        <f t="shared" si="45"/>
        <v>70000</v>
      </c>
      <c r="AC176" s="13"/>
      <c r="AD176" s="1"/>
    </row>
    <row r="177" spans="5:30" ht="15.75" customHeight="1">
      <c r="E177" s="16"/>
      <c r="G177" s="63"/>
      <c r="K177" s="95"/>
      <c r="L177" s="1"/>
      <c r="S177" s="31" t="s">
        <v>165</v>
      </c>
      <c r="T177" s="38">
        <v>45207</v>
      </c>
      <c r="U177" s="3">
        <v>35</v>
      </c>
      <c r="V177" s="3">
        <v>6000</v>
      </c>
      <c r="W177" s="16">
        <v>39.700000000000003</v>
      </c>
      <c r="X177" s="65">
        <f t="shared" si="43"/>
        <v>28200.000000000018</v>
      </c>
      <c r="Y177" s="63" t="s">
        <v>499</v>
      </c>
      <c r="Z177" s="66">
        <f t="shared" si="44"/>
        <v>13.428571428571436</v>
      </c>
      <c r="AA177" s="133">
        <f t="shared" si="45"/>
        <v>210000</v>
      </c>
      <c r="AC177" s="13"/>
      <c r="AD177" s="1"/>
    </row>
    <row r="178" spans="5:30" ht="15.75" customHeight="1">
      <c r="E178" s="16"/>
      <c r="G178" s="63"/>
      <c r="K178" s="95"/>
      <c r="L178" s="1"/>
      <c r="S178" s="31" t="s">
        <v>171</v>
      </c>
      <c r="T178" s="38">
        <v>45231</v>
      </c>
      <c r="U178" s="3">
        <v>214.5</v>
      </c>
      <c r="V178" s="3">
        <v>2000</v>
      </c>
      <c r="W178" s="16">
        <v>226.8</v>
      </c>
      <c r="X178" s="65">
        <f t="shared" si="43"/>
        <v>24600.000000000022</v>
      </c>
      <c r="Y178" s="63" t="s">
        <v>499</v>
      </c>
      <c r="Z178" s="66">
        <f t="shared" si="44"/>
        <v>5.7342657342657395</v>
      </c>
      <c r="AA178" s="133">
        <f t="shared" si="45"/>
        <v>429000</v>
      </c>
      <c r="AC178" s="13"/>
      <c r="AD178" s="1"/>
    </row>
    <row r="179" spans="5:30" ht="15.75" customHeight="1">
      <c r="E179" s="16"/>
      <c r="G179" s="63"/>
      <c r="K179" s="95"/>
      <c r="L179" s="1"/>
      <c r="S179" s="31" t="s">
        <v>500</v>
      </c>
      <c r="T179" s="18">
        <v>45140</v>
      </c>
      <c r="U179" s="17">
        <v>93</v>
      </c>
      <c r="V179" s="17">
        <v>2000</v>
      </c>
      <c r="W179" s="102">
        <v>124.5</v>
      </c>
      <c r="X179" s="65">
        <f t="shared" si="43"/>
        <v>63000</v>
      </c>
      <c r="Y179" s="63" t="s">
        <v>499</v>
      </c>
      <c r="Z179" s="66">
        <f t="shared" si="44"/>
        <v>33.87096774193548</v>
      </c>
      <c r="AA179" s="133">
        <f t="shared" si="45"/>
        <v>186000</v>
      </c>
      <c r="AC179" s="13"/>
      <c r="AD179" s="24"/>
    </row>
    <row r="180" spans="5:30" ht="15.75" customHeight="1">
      <c r="E180" s="16"/>
      <c r="G180" s="63"/>
      <c r="K180" s="95"/>
      <c r="L180" s="1"/>
      <c r="S180" s="31" t="s">
        <v>168</v>
      </c>
      <c r="T180" s="18">
        <v>45079</v>
      </c>
      <c r="U180" s="17">
        <v>83</v>
      </c>
      <c r="V180" s="17">
        <v>1500</v>
      </c>
      <c r="W180" s="102">
        <v>233.8</v>
      </c>
      <c r="X180" s="65">
        <f t="shared" si="43"/>
        <v>226200.00000000003</v>
      </c>
      <c r="Y180" s="63" t="s">
        <v>499</v>
      </c>
      <c r="Z180" s="66">
        <f t="shared" si="44"/>
        <v>181.68674698795184</v>
      </c>
      <c r="AA180" s="133">
        <f t="shared" si="45"/>
        <v>124500</v>
      </c>
      <c r="AC180" s="13"/>
      <c r="AD180" s="24"/>
    </row>
    <row r="181" spans="5:30" ht="15.75" customHeight="1">
      <c r="E181" s="16"/>
      <c r="G181" s="63"/>
      <c r="K181" s="95"/>
      <c r="L181" s="1"/>
      <c r="S181" s="3" t="s">
        <v>168</v>
      </c>
      <c r="T181" s="38">
        <v>45264</v>
      </c>
      <c r="U181" s="3">
        <v>175</v>
      </c>
      <c r="V181" s="3">
        <v>1500</v>
      </c>
      <c r="W181" s="16">
        <v>233.8</v>
      </c>
      <c r="X181" s="65">
        <f t="shared" si="43"/>
        <v>88200.000000000015</v>
      </c>
      <c r="Y181" s="63" t="s">
        <v>499</v>
      </c>
      <c r="Z181" s="66">
        <f t="shared" si="44"/>
        <v>33.600000000000009</v>
      </c>
      <c r="AA181" s="133">
        <f t="shared" si="45"/>
        <v>262500</v>
      </c>
      <c r="AC181" s="13"/>
      <c r="AD181" s="1"/>
    </row>
    <row r="182" spans="5:30" ht="15.75" customHeight="1">
      <c r="E182" s="16"/>
      <c r="G182" s="63"/>
      <c r="K182" s="95"/>
      <c r="L182" s="1"/>
      <c r="S182" s="3" t="s">
        <v>239</v>
      </c>
      <c r="T182" s="38">
        <v>45268</v>
      </c>
      <c r="U182" s="3">
        <v>149.5</v>
      </c>
      <c r="V182" s="3">
        <v>1800</v>
      </c>
      <c r="W182" s="16">
        <v>150.80000000000001</v>
      </c>
      <c r="X182" s="65">
        <f t="shared" si="43"/>
        <v>2340.0000000000205</v>
      </c>
      <c r="Y182" s="63" t="s">
        <v>499</v>
      </c>
      <c r="Z182" s="66">
        <f t="shared" si="44"/>
        <v>0.86956521739131198</v>
      </c>
      <c r="AA182" s="133">
        <f t="shared" si="45"/>
        <v>269100</v>
      </c>
      <c r="AC182" s="13"/>
      <c r="AD182" s="1"/>
    </row>
    <row r="183" spans="5:30" ht="15.75" customHeight="1">
      <c r="E183" s="16"/>
      <c r="G183" s="63"/>
      <c r="K183" s="95"/>
      <c r="L183" s="1"/>
      <c r="S183" s="3" t="s">
        <v>501</v>
      </c>
      <c r="T183" s="38">
        <v>45267</v>
      </c>
      <c r="U183" s="3">
        <v>411.85</v>
      </c>
      <c r="V183" s="3">
        <v>525</v>
      </c>
      <c r="W183" s="16">
        <v>436</v>
      </c>
      <c r="X183" s="65">
        <f t="shared" si="43"/>
        <v>12678.749999999987</v>
      </c>
      <c r="Y183" s="63" t="s">
        <v>499</v>
      </c>
      <c r="Z183" s="66">
        <f t="shared" si="44"/>
        <v>5.8637853587471112</v>
      </c>
      <c r="AA183" s="133">
        <f t="shared" si="45"/>
        <v>216221.25</v>
      </c>
      <c r="AC183" s="13"/>
      <c r="AD183" s="1"/>
    </row>
    <row r="184" spans="5:30" ht="15.75" customHeight="1">
      <c r="E184" s="16"/>
      <c r="G184" s="63"/>
      <c r="K184" s="95"/>
      <c r="L184" s="1"/>
      <c r="S184" s="31" t="s">
        <v>236</v>
      </c>
      <c r="T184" s="32">
        <v>45242</v>
      </c>
      <c r="U184" s="3">
        <v>988.5</v>
      </c>
      <c r="V184" s="3">
        <v>125</v>
      </c>
      <c r="W184" s="16">
        <v>992</v>
      </c>
      <c r="X184" s="65">
        <f t="shared" si="43"/>
        <v>437.5</v>
      </c>
      <c r="Y184" s="63" t="s">
        <v>499</v>
      </c>
      <c r="Z184" s="66">
        <f t="shared" si="44"/>
        <v>0.35407182599898834</v>
      </c>
      <c r="AA184" s="133">
        <f t="shared" si="45"/>
        <v>123562.5</v>
      </c>
      <c r="AC184" s="13"/>
      <c r="AD184" s="1"/>
    </row>
    <row r="185" spans="5:30" ht="15.75" customHeight="1">
      <c r="E185" s="16"/>
      <c r="G185" s="63"/>
      <c r="K185" s="95"/>
      <c r="L185" s="1"/>
      <c r="S185" s="3" t="s">
        <v>169</v>
      </c>
      <c r="T185" s="35">
        <v>45306</v>
      </c>
      <c r="U185" s="3">
        <v>915</v>
      </c>
      <c r="V185" s="3">
        <v>250</v>
      </c>
      <c r="W185" s="16">
        <v>810</v>
      </c>
      <c r="X185" s="65">
        <f t="shared" si="43"/>
        <v>-26250</v>
      </c>
      <c r="Y185" s="63" t="s">
        <v>499</v>
      </c>
      <c r="Z185" s="66">
        <f t="shared" si="44"/>
        <v>-11.475409836065573</v>
      </c>
      <c r="AA185" s="133">
        <f t="shared" si="45"/>
        <v>228750</v>
      </c>
      <c r="AB185" s="17"/>
      <c r="AC185" s="154"/>
      <c r="AD185" s="68"/>
    </row>
    <row r="186" spans="5:30" ht="15.75" customHeight="1">
      <c r="E186" s="16"/>
      <c r="G186" s="63"/>
      <c r="K186" s="95"/>
      <c r="L186" s="1"/>
      <c r="S186" s="31" t="s">
        <v>184</v>
      </c>
      <c r="T186" s="32">
        <v>45215</v>
      </c>
      <c r="U186" s="3">
        <v>272.5</v>
      </c>
      <c r="V186" s="3">
        <v>1500</v>
      </c>
      <c r="W186" s="16">
        <v>270</v>
      </c>
      <c r="X186" s="65">
        <f t="shared" si="43"/>
        <v>-3750</v>
      </c>
      <c r="Y186" s="63" t="s">
        <v>502</v>
      </c>
      <c r="Z186" s="66">
        <f t="shared" si="44"/>
        <v>-0.91743119266055051</v>
      </c>
      <c r="AA186" s="133">
        <f t="shared" si="45"/>
        <v>408750</v>
      </c>
      <c r="AB186" s="17"/>
      <c r="AC186" s="13"/>
      <c r="AD186" s="1"/>
    </row>
    <row r="187" spans="5:30" ht="15.75" customHeight="1">
      <c r="E187" s="16"/>
      <c r="G187" s="63"/>
      <c r="K187" s="95"/>
      <c r="L187" s="1"/>
      <c r="S187" s="31" t="s">
        <v>503</v>
      </c>
      <c r="T187" s="18">
        <v>45159</v>
      </c>
      <c r="U187" s="17">
        <v>425</v>
      </c>
      <c r="V187" s="17">
        <v>700</v>
      </c>
      <c r="W187" s="102">
        <v>815</v>
      </c>
      <c r="X187" s="65">
        <f t="shared" si="43"/>
        <v>273000</v>
      </c>
      <c r="Y187" s="48" t="s">
        <v>504</v>
      </c>
      <c r="Z187" s="66">
        <f t="shared" si="44"/>
        <v>91.764705882352942</v>
      </c>
      <c r="AA187" s="133">
        <f t="shared" si="45"/>
        <v>297500</v>
      </c>
      <c r="AC187" s="13"/>
      <c r="AD187" s="24"/>
    </row>
    <row r="188" spans="5:30" ht="15.75" customHeight="1">
      <c r="E188" s="16"/>
      <c r="G188" s="63"/>
      <c r="K188" s="95"/>
      <c r="L188" s="1"/>
      <c r="S188" s="31" t="s">
        <v>240</v>
      </c>
      <c r="T188" s="32">
        <v>45212</v>
      </c>
      <c r="U188" s="3">
        <v>4415</v>
      </c>
      <c r="V188" s="3">
        <v>50</v>
      </c>
      <c r="W188" s="16">
        <v>7375</v>
      </c>
      <c r="X188" s="65">
        <f t="shared" si="43"/>
        <v>148000</v>
      </c>
      <c r="Y188" s="48" t="s">
        <v>504</v>
      </c>
      <c r="Z188" s="66">
        <f t="shared" si="44"/>
        <v>67.044167610419024</v>
      </c>
      <c r="AA188" s="133">
        <f t="shared" si="45"/>
        <v>220750</v>
      </c>
      <c r="AC188" s="13"/>
      <c r="AD188" s="1"/>
    </row>
    <row r="189" spans="5:30" ht="15.75" customHeight="1">
      <c r="E189" s="16"/>
      <c r="G189" s="63"/>
      <c r="K189" s="95"/>
      <c r="L189" s="1"/>
      <c r="S189" s="31" t="s">
        <v>240</v>
      </c>
      <c r="T189" s="32">
        <v>45209</v>
      </c>
      <c r="U189" s="3">
        <v>4620</v>
      </c>
      <c r="V189" s="3">
        <v>20</v>
      </c>
      <c r="W189" s="16">
        <v>7375</v>
      </c>
      <c r="X189" s="65">
        <f t="shared" si="43"/>
        <v>55100</v>
      </c>
      <c r="Y189" s="48" t="s">
        <v>504</v>
      </c>
      <c r="Z189" s="66">
        <f t="shared" si="44"/>
        <v>59.632034632034632</v>
      </c>
      <c r="AA189" s="133">
        <f t="shared" si="45"/>
        <v>92400</v>
      </c>
      <c r="AC189" s="13"/>
      <c r="AD189" s="1"/>
    </row>
    <row r="190" spans="5:30" ht="15.75" customHeight="1">
      <c r="E190" s="16"/>
      <c r="G190" s="63"/>
      <c r="K190" s="95"/>
      <c r="L190" s="1"/>
      <c r="S190" s="3" t="s">
        <v>180</v>
      </c>
      <c r="T190" s="38">
        <v>45267</v>
      </c>
      <c r="U190" s="3">
        <v>276</v>
      </c>
      <c r="V190" s="3">
        <v>1000</v>
      </c>
      <c r="W190" s="16">
        <v>396</v>
      </c>
      <c r="X190" s="65">
        <f t="shared" si="43"/>
        <v>120000</v>
      </c>
      <c r="Y190" s="48" t="s">
        <v>504</v>
      </c>
      <c r="Z190" s="66">
        <f t="shared" si="44"/>
        <v>43.478260869565219</v>
      </c>
      <c r="AA190" s="133">
        <f t="shared" si="45"/>
        <v>276000</v>
      </c>
      <c r="AC190" s="13"/>
      <c r="AD190" s="1"/>
    </row>
    <row r="191" spans="5:30" ht="15.75" customHeight="1">
      <c r="E191" s="16"/>
      <c r="G191" s="63"/>
      <c r="K191" s="95"/>
      <c r="L191" s="1"/>
      <c r="S191" s="31" t="s">
        <v>175</v>
      </c>
      <c r="T191" s="32">
        <v>45217</v>
      </c>
      <c r="U191" s="3">
        <v>960</v>
      </c>
      <c r="V191" s="3">
        <v>250</v>
      </c>
      <c r="W191" s="16">
        <v>1386.5</v>
      </c>
      <c r="X191" s="65">
        <f t="shared" si="43"/>
        <v>106625</v>
      </c>
      <c r="Y191" s="48" t="s">
        <v>504</v>
      </c>
      <c r="Z191" s="66">
        <f t="shared" si="44"/>
        <v>44.427083333333336</v>
      </c>
      <c r="AA191" s="133">
        <f t="shared" si="45"/>
        <v>240000</v>
      </c>
      <c r="AC191" s="13"/>
      <c r="AD191" s="1"/>
    </row>
    <row r="192" spans="5:30" ht="15.75" customHeight="1">
      <c r="E192" s="16"/>
      <c r="G192" s="63"/>
      <c r="K192" s="95"/>
      <c r="L192" s="1"/>
      <c r="S192" s="31" t="s">
        <v>175</v>
      </c>
      <c r="T192" s="38">
        <v>45177</v>
      </c>
      <c r="U192" s="3">
        <v>1085</v>
      </c>
      <c r="V192" s="3">
        <v>350</v>
      </c>
      <c r="W192" s="16">
        <v>1386.5</v>
      </c>
      <c r="X192" s="65">
        <f t="shared" si="43"/>
        <v>105525</v>
      </c>
      <c r="Y192" s="48" t="s">
        <v>504</v>
      </c>
      <c r="Z192" s="66">
        <f t="shared" si="44"/>
        <v>27.788018433179722</v>
      </c>
      <c r="AA192" s="133">
        <f t="shared" si="45"/>
        <v>379750</v>
      </c>
      <c r="AC192" s="13"/>
      <c r="AD192" s="68"/>
    </row>
    <row r="193" spans="5:30" ht="15.75" customHeight="1">
      <c r="E193" s="16"/>
      <c r="G193" s="63"/>
      <c r="K193" s="95"/>
      <c r="L193" s="1"/>
      <c r="S193" s="31" t="s">
        <v>238</v>
      </c>
      <c r="T193" s="18">
        <v>45048</v>
      </c>
      <c r="U193" s="17">
        <v>245.5</v>
      </c>
      <c r="V193" s="17">
        <v>700</v>
      </c>
      <c r="W193" s="102">
        <v>423</v>
      </c>
      <c r="X193" s="65">
        <f t="shared" si="43"/>
        <v>124250</v>
      </c>
      <c r="Y193" s="48" t="s">
        <v>504</v>
      </c>
      <c r="Z193" s="66">
        <f t="shared" si="44"/>
        <v>72.301425661914465</v>
      </c>
      <c r="AA193" s="133">
        <f t="shared" si="45"/>
        <v>171850</v>
      </c>
      <c r="AC193" s="13"/>
      <c r="AD193" s="24"/>
    </row>
    <row r="194" spans="5:30" ht="15.75" customHeight="1">
      <c r="E194" s="16"/>
      <c r="G194" s="63"/>
      <c r="K194" s="95"/>
      <c r="L194" s="1"/>
      <c r="S194" s="31" t="s">
        <v>238</v>
      </c>
      <c r="T194" s="32">
        <v>45258</v>
      </c>
      <c r="U194" s="3">
        <v>353.5</v>
      </c>
      <c r="V194" s="3">
        <v>800</v>
      </c>
      <c r="W194" s="16">
        <v>423</v>
      </c>
      <c r="X194" s="65">
        <f t="shared" si="43"/>
        <v>55600</v>
      </c>
      <c r="Y194" s="48" t="s">
        <v>504</v>
      </c>
      <c r="Z194" s="66">
        <f t="shared" si="44"/>
        <v>19.660537482319661</v>
      </c>
      <c r="AA194" s="133">
        <f t="shared" si="45"/>
        <v>282800</v>
      </c>
      <c r="AC194" s="13"/>
      <c r="AD194" s="1"/>
    </row>
    <row r="195" spans="5:30" ht="15.75" customHeight="1">
      <c r="E195" s="16"/>
      <c r="G195" s="63"/>
      <c r="K195" s="95"/>
      <c r="L195" s="1"/>
      <c r="S195" s="31" t="s">
        <v>234</v>
      </c>
      <c r="T195" s="32">
        <v>45222</v>
      </c>
      <c r="U195" s="3">
        <v>233</v>
      </c>
      <c r="V195" s="3">
        <v>1200</v>
      </c>
      <c r="W195" s="16">
        <v>232.7</v>
      </c>
      <c r="X195" s="65">
        <f t="shared" si="43"/>
        <v>-360.00000000001364</v>
      </c>
      <c r="Y195" s="63" t="s">
        <v>505</v>
      </c>
      <c r="Z195" s="66">
        <f t="shared" si="44"/>
        <v>-0.12875536480687183</v>
      </c>
      <c r="AA195" s="133">
        <f t="shared" si="45"/>
        <v>279600</v>
      </c>
      <c r="AC195" s="13"/>
      <c r="AD195" s="1"/>
    </row>
    <row r="196" spans="5:30" ht="15.75" customHeight="1">
      <c r="E196" s="16"/>
      <c r="G196" s="63"/>
      <c r="K196" s="95"/>
      <c r="L196" s="1"/>
      <c r="S196" s="3" t="s">
        <v>182</v>
      </c>
      <c r="T196" s="38">
        <v>45264</v>
      </c>
      <c r="U196" s="3">
        <v>963.55</v>
      </c>
      <c r="V196" s="3">
        <v>200</v>
      </c>
      <c r="W196" s="16">
        <v>1028</v>
      </c>
      <c r="X196" s="65">
        <f t="shared" si="43"/>
        <v>12890.000000000009</v>
      </c>
      <c r="Y196" s="63" t="s">
        <v>506</v>
      </c>
      <c r="Z196" s="66">
        <f t="shared" si="44"/>
        <v>6.6888070157231123</v>
      </c>
      <c r="AA196" s="133">
        <f t="shared" si="45"/>
        <v>192710</v>
      </c>
      <c r="AC196" s="13"/>
      <c r="AD196" s="1"/>
    </row>
    <row r="197" spans="5:30" ht="15.75" customHeight="1">
      <c r="E197" s="16"/>
      <c r="G197" s="63"/>
      <c r="K197" s="95"/>
      <c r="L197" s="1"/>
      <c r="S197" s="3" t="s">
        <v>178</v>
      </c>
      <c r="T197" s="32">
        <v>45271</v>
      </c>
      <c r="U197" s="3">
        <v>64</v>
      </c>
      <c r="V197" s="3">
        <v>4500</v>
      </c>
      <c r="W197" s="16">
        <v>63</v>
      </c>
      <c r="X197" s="65">
        <f t="shared" si="43"/>
        <v>-4500</v>
      </c>
      <c r="Y197" s="63" t="s">
        <v>507</v>
      </c>
      <c r="Z197" s="66">
        <f t="shared" si="44"/>
        <v>-1.5625</v>
      </c>
      <c r="AA197" s="133">
        <f t="shared" si="45"/>
        <v>288000</v>
      </c>
      <c r="AC197" s="13"/>
      <c r="AD197" s="1"/>
    </row>
    <row r="198" spans="5:30" ht="15.75" customHeight="1">
      <c r="E198" s="16"/>
      <c r="G198" s="63"/>
      <c r="K198" s="95"/>
      <c r="L198" s="1"/>
      <c r="S198" s="3" t="s">
        <v>178</v>
      </c>
      <c r="T198" s="32">
        <v>45281</v>
      </c>
      <c r="U198" s="3">
        <v>58.9</v>
      </c>
      <c r="V198" s="3">
        <v>2000</v>
      </c>
      <c r="W198" s="16">
        <v>63</v>
      </c>
      <c r="X198" s="65">
        <f t="shared" si="43"/>
        <v>8200.0000000000036</v>
      </c>
      <c r="Y198" s="63" t="s">
        <v>507</v>
      </c>
      <c r="Z198" s="66">
        <f t="shared" si="44"/>
        <v>6.9609507640067934</v>
      </c>
      <c r="AA198" s="133">
        <f t="shared" si="45"/>
        <v>117800</v>
      </c>
      <c r="AB198" s="17"/>
      <c r="AC198" s="154"/>
      <c r="AD198" s="68"/>
    </row>
    <row r="199" spans="5:30" ht="15.75" customHeight="1">
      <c r="E199" s="16"/>
      <c r="G199" s="63"/>
      <c r="K199" s="95"/>
      <c r="L199" s="1"/>
      <c r="S199" s="31" t="s">
        <v>176</v>
      </c>
      <c r="T199" s="18">
        <v>45140</v>
      </c>
      <c r="U199" s="17">
        <v>158.44999999999999</v>
      </c>
      <c r="V199" s="17">
        <v>1000</v>
      </c>
      <c r="W199" s="102">
        <v>265</v>
      </c>
      <c r="X199" s="65">
        <f t="shared" si="43"/>
        <v>106550.00000000001</v>
      </c>
      <c r="Y199" s="63" t="s">
        <v>507</v>
      </c>
      <c r="Z199" s="66">
        <f t="shared" si="44"/>
        <v>67.245187756390038</v>
      </c>
      <c r="AA199" s="133">
        <f t="shared" si="45"/>
        <v>158450</v>
      </c>
      <c r="AC199" s="13"/>
      <c r="AD199" s="24"/>
    </row>
    <row r="200" spans="5:30" ht="15.75" customHeight="1">
      <c r="E200" s="16"/>
      <c r="G200" s="63"/>
      <c r="K200" s="95"/>
      <c r="L200" s="1"/>
      <c r="S200" s="31" t="s">
        <v>508</v>
      </c>
      <c r="T200" s="18">
        <v>45051</v>
      </c>
      <c r="U200" s="17">
        <v>71</v>
      </c>
      <c r="V200" s="17">
        <v>1500</v>
      </c>
      <c r="W200" s="102">
        <v>127</v>
      </c>
      <c r="X200" s="65">
        <f t="shared" si="43"/>
        <v>84000</v>
      </c>
      <c r="Y200" s="63" t="s">
        <v>507</v>
      </c>
      <c r="Z200" s="66">
        <f t="shared" si="44"/>
        <v>78.873239436619713</v>
      </c>
      <c r="AA200" s="133">
        <f t="shared" si="45"/>
        <v>106500</v>
      </c>
      <c r="AC200" s="13"/>
      <c r="AD200" s="24"/>
    </row>
    <row r="201" spans="5:30" ht="15.75" customHeight="1">
      <c r="E201" s="16"/>
      <c r="G201" s="63"/>
      <c r="K201" s="95"/>
      <c r="L201" s="1"/>
      <c r="S201" s="31" t="s">
        <v>179</v>
      </c>
      <c r="T201" s="31" t="s">
        <v>509</v>
      </c>
      <c r="U201" s="126">
        <v>1975.81</v>
      </c>
      <c r="V201" s="126">
        <v>160</v>
      </c>
      <c r="W201" s="16">
        <v>1673</v>
      </c>
      <c r="X201" s="65">
        <f t="shared" si="43"/>
        <v>-48449.599999999991</v>
      </c>
      <c r="Y201" s="118" t="s">
        <v>510</v>
      </c>
      <c r="Z201" s="66">
        <f t="shared" si="44"/>
        <v>-15.325866353546138</v>
      </c>
      <c r="AA201" s="133">
        <f t="shared" si="45"/>
        <v>316129.59999999998</v>
      </c>
      <c r="AB201" s="3" t="s">
        <v>295</v>
      </c>
      <c r="AC201" s="154"/>
      <c r="AD201" s="68"/>
    </row>
    <row r="202" spans="5:30" ht="15.75" customHeight="1">
      <c r="E202" s="16"/>
      <c r="G202" s="63"/>
      <c r="K202" s="95"/>
      <c r="L202" s="1"/>
      <c r="S202" s="3" t="s">
        <v>202</v>
      </c>
      <c r="U202" s="3">
        <v>1078</v>
      </c>
      <c r="V202" s="3">
        <v>250</v>
      </c>
      <c r="W202" s="16">
        <v>1032.5</v>
      </c>
      <c r="X202" s="65">
        <f t="shared" si="43"/>
        <v>-11375</v>
      </c>
      <c r="Y202" s="118" t="s">
        <v>510</v>
      </c>
      <c r="Z202" s="66">
        <f t="shared" si="44"/>
        <v>-4.220779220779221</v>
      </c>
      <c r="AA202" s="133">
        <f t="shared" si="45"/>
        <v>269500</v>
      </c>
      <c r="AB202" s="3" t="s">
        <v>295</v>
      </c>
      <c r="AC202" s="154"/>
      <c r="AD202" s="68"/>
    </row>
    <row r="203" spans="5:30" ht="15.75" customHeight="1">
      <c r="E203" s="16"/>
      <c r="G203" s="63"/>
      <c r="K203" s="95"/>
      <c r="L203" s="1"/>
      <c r="S203" s="3" t="s">
        <v>204</v>
      </c>
      <c r="T203" s="31" t="s">
        <v>511</v>
      </c>
      <c r="U203" s="126">
        <v>914.4</v>
      </c>
      <c r="V203" s="126">
        <v>440</v>
      </c>
      <c r="W203" s="16">
        <v>796.4</v>
      </c>
      <c r="X203" s="65">
        <f t="shared" si="43"/>
        <v>-51920</v>
      </c>
      <c r="Y203" s="118" t="s">
        <v>510</v>
      </c>
      <c r="Z203" s="66">
        <f t="shared" si="44"/>
        <v>-12.904636920384952</v>
      </c>
      <c r="AA203" s="133">
        <f t="shared" si="45"/>
        <v>402336</v>
      </c>
      <c r="AB203" s="3" t="s">
        <v>295</v>
      </c>
      <c r="AC203" s="154"/>
      <c r="AD203" s="68"/>
    </row>
    <row r="204" spans="5:30" ht="15.75" customHeight="1">
      <c r="E204" s="16"/>
      <c r="G204" s="63"/>
      <c r="K204" s="95"/>
      <c r="L204" s="1"/>
      <c r="S204" s="3" t="s">
        <v>63</v>
      </c>
      <c r="T204" s="31" t="s">
        <v>512</v>
      </c>
      <c r="U204" s="126">
        <v>63.47</v>
      </c>
      <c r="V204" s="126">
        <v>2500</v>
      </c>
      <c r="W204" s="16">
        <v>47.6</v>
      </c>
      <c r="X204" s="65">
        <f t="shared" si="43"/>
        <v>-39674.999999999993</v>
      </c>
      <c r="Y204" s="118" t="s">
        <v>510</v>
      </c>
      <c r="Z204" s="66">
        <f t="shared" si="44"/>
        <v>-25.00393886875689</v>
      </c>
      <c r="AA204" s="133">
        <f t="shared" si="45"/>
        <v>158675</v>
      </c>
      <c r="AB204" s="3" t="s">
        <v>295</v>
      </c>
      <c r="AC204" s="154"/>
      <c r="AD204" s="68"/>
    </row>
    <row r="205" spans="5:30" ht="15.75" customHeight="1">
      <c r="E205" s="16"/>
      <c r="G205" s="63"/>
      <c r="K205" s="95"/>
      <c r="L205" s="1"/>
      <c r="S205" s="3" t="s">
        <v>200</v>
      </c>
      <c r="T205" s="31" t="s">
        <v>513</v>
      </c>
      <c r="U205" s="126">
        <v>304.10000000000002</v>
      </c>
      <c r="V205" s="126">
        <v>1100</v>
      </c>
      <c r="W205" s="16">
        <v>238</v>
      </c>
      <c r="X205" s="65">
        <f t="shared" si="43"/>
        <v>-72710.000000000029</v>
      </c>
      <c r="Y205" s="118" t="s">
        <v>510</v>
      </c>
      <c r="Z205" s="66">
        <f t="shared" si="44"/>
        <v>-21.736270963498853</v>
      </c>
      <c r="AA205" s="133">
        <f t="shared" si="45"/>
        <v>334510</v>
      </c>
      <c r="AB205" s="3" t="s">
        <v>295</v>
      </c>
      <c r="AC205" s="154"/>
      <c r="AD205" s="68"/>
    </row>
    <row r="206" spans="5:30" ht="15.75" customHeight="1">
      <c r="E206" s="16"/>
      <c r="G206" s="63"/>
      <c r="K206" s="95"/>
      <c r="L206" s="1"/>
      <c r="S206" s="31" t="s">
        <v>185</v>
      </c>
      <c r="T206" s="38">
        <v>45210</v>
      </c>
      <c r="U206" s="3">
        <v>67</v>
      </c>
      <c r="V206" s="3">
        <v>3500</v>
      </c>
      <c r="W206" s="16">
        <v>67.55</v>
      </c>
      <c r="X206" s="65">
        <f t="shared" si="43"/>
        <v>1924.99999999999</v>
      </c>
      <c r="Y206" s="63" t="s">
        <v>514</v>
      </c>
      <c r="Z206" s="66">
        <f t="shared" si="44"/>
        <v>0.82089552238805541</v>
      </c>
      <c r="AA206" s="133">
        <f t="shared" si="45"/>
        <v>234500</v>
      </c>
      <c r="AC206" s="13"/>
      <c r="AD206" s="1"/>
    </row>
    <row r="207" spans="5:30" ht="15.75" customHeight="1">
      <c r="E207" s="16"/>
      <c r="G207" s="63"/>
      <c r="K207" s="95"/>
      <c r="L207" s="1"/>
      <c r="S207" s="31" t="s">
        <v>174</v>
      </c>
      <c r="T207" s="32">
        <v>45254</v>
      </c>
      <c r="U207" s="3">
        <v>1000</v>
      </c>
      <c r="V207" s="3">
        <v>400</v>
      </c>
      <c r="W207" s="16">
        <v>975</v>
      </c>
      <c r="X207" s="65">
        <f t="shared" si="43"/>
        <v>-10000</v>
      </c>
      <c r="Y207" s="63" t="s">
        <v>514</v>
      </c>
      <c r="Z207" s="66">
        <f t="shared" si="44"/>
        <v>-2.5</v>
      </c>
      <c r="AA207" s="133">
        <f t="shared" si="45"/>
        <v>400000</v>
      </c>
      <c r="AC207" s="13"/>
      <c r="AD207" s="1"/>
    </row>
    <row r="208" spans="5:30" ht="15.75" customHeight="1">
      <c r="E208" s="16"/>
      <c r="G208" s="63"/>
      <c r="K208" s="95"/>
      <c r="L208" s="1"/>
      <c r="S208" s="31" t="s">
        <v>515</v>
      </c>
      <c r="T208" s="18">
        <v>45084</v>
      </c>
      <c r="U208" s="17">
        <v>350.85</v>
      </c>
      <c r="V208" s="17">
        <v>300</v>
      </c>
      <c r="W208" s="102">
        <v>414.4</v>
      </c>
      <c r="X208" s="65">
        <f t="shared" si="43"/>
        <v>19064.999999999985</v>
      </c>
      <c r="Y208" s="48" t="s">
        <v>516</v>
      </c>
      <c r="Z208" s="66">
        <f t="shared" si="44"/>
        <v>18.113153769417117</v>
      </c>
      <c r="AA208" s="133">
        <f t="shared" si="45"/>
        <v>105255</v>
      </c>
      <c r="AC208" s="13"/>
      <c r="AD208" s="24"/>
    </row>
    <row r="209" spans="5:30" ht="15.75" customHeight="1">
      <c r="E209" s="16"/>
      <c r="G209" s="63"/>
      <c r="K209" s="95"/>
      <c r="L209" s="1"/>
      <c r="S209" s="31" t="s">
        <v>515</v>
      </c>
      <c r="T209" s="18">
        <v>45121</v>
      </c>
      <c r="U209" s="17">
        <v>339.9</v>
      </c>
      <c r="V209" s="17">
        <v>300</v>
      </c>
      <c r="W209" s="102">
        <v>414.4</v>
      </c>
      <c r="X209" s="65">
        <f t="shared" si="43"/>
        <v>22350</v>
      </c>
      <c r="Y209" s="48" t="s">
        <v>516</v>
      </c>
      <c r="Z209" s="66">
        <f t="shared" si="44"/>
        <v>21.918211238599589</v>
      </c>
      <c r="AA209" s="133">
        <f t="shared" si="45"/>
        <v>101970</v>
      </c>
      <c r="AC209" s="13"/>
      <c r="AD209" s="24"/>
    </row>
    <row r="210" spans="5:30" ht="15.75" customHeight="1">
      <c r="E210" s="16"/>
      <c r="G210" s="63"/>
      <c r="K210" s="95"/>
      <c r="L210" s="1"/>
      <c r="S210" s="31" t="s">
        <v>241</v>
      </c>
      <c r="T210" s="32">
        <v>45251</v>
      </c>
      <c r="U210" s="3">
        <v>307.39999999999998</v>
      </c>
      <c r="V210" s="3">
        <v>1300</v>
      </c>
      <c r="W210" s="16">
        <v>413</v>
      </c>
      <c r="X210" s="65">
        <f t="shared" si="43"/>
        <v>137280.00000000003</v>
      </c>
      <c r="Y210" s="48" t="s">
        <v>516</v>
      </c>
      <c r="Z210" s="66">
        <f t="shared" si="44"/>
        <v>34.352635003253098</v>
      </c>
      <c r="AA210" s="133">
        <f t="shared" si="45"/>
        <v>399619.99999999994</v>
      </c>
      <c r="AC210" s="13"/>
      <c r="AD210" s="1"/>
    </row>
    <row r="211" spans="5:30" ht="15.75" customHeight="1">
      <c r="E211" s="16"/>
      <c r="G211" s="63"/>
      <c r="K211" s="95"/>
      <c r="L211" s="1"/>
      <c r="S211" s="31" t="s">
        <v>217</v>
      </c>
      <c r="T211" s="32">
        <v>45217</v>
      </c>
      <c r="U211" s="3">
        <v>137</v>
      </c>
      <c r="V211" s="3">
        <v>750</v>
      </c>
      <c r="W211" s="16">
        <v>195</v>
      </c>
      <c r="X211" s="65">
        <f t="shared" si="43"/>
        <v>43500</v>
      </c>
      <c r="Y211" s="48" t="s">
        <v>516</v>
      </c>
      <c r="Z211" s="66">
        <f t="shared" si="44"/>
        <v>42.335766423357661</v>
      </c>
      <c r="AA211" s="133">
        <f t="shared" si="45"/>
        <v>102750</v>
      </c>
      <c r="AC211" s="13"/>
      <c r="AD211" s="1"/>
    </row>
    <row r="212" spans="5:30" ht="15.75" customHeight="1">
      <c r="E212" s="16"/>
      <c r="G212" s="63"/>
      <c r="K212" s="95"/>
      <c r="L212" s="1"/>
      <c r="S212" s="3" t="s">
        <v>181</v>
      </c>
      <c r="T212" s="38">
        <v>45267</v>
      </c>
      <c r="U212" s="3">
        <v>52.45</v>
      </c>
      <c r="V212" s="3">
        <v>2000</v>
      </c>
      <c r="W212" s="16">
        <v>48</v>
      </c>
      <c r="X212" s="65">
        <f t="shared" si="43"/>
        <v>-8900.0000000000055</v>
      </c>
      <c r="Y212" s="48" t="s">
        <v>516</v>
      </c>
      <c r="Z212" s="66">
        <f t="shared" si="44"/>
        <v>-8.4842707340324175</v>
      </c>
      <c r="AA212" s="133">
        <f t="shared" si="45"/>
        <v>104900</v>
      </c>
      <c r="AC212" s="13"/>
      <c r="AD212" s="1"/>
    </row>
    <row r="213" spans="5:30" ht="15.75" customHeight="1">
      <c r="E213" s="16"/>
      <c r="G213" s="63"/>
      <c r="K213" s="95"/>
      <c r="L213" s="1"/>
      <c r="S213" s="31" t="s">
        <v>181</v>
      </c>
      <c r="T213" s="32">
        <v>45240</v>
      </c>
      <c r="U213" s="3">
        <v>44</v>
      </c>
      <c r="V213" s="3">
        <v>1000</v>
      </c>
      <c r="W213" s="16">
        <v>48</v>
      </c>
      <c r="X213" s="65">
        <f t="shared" si="43"/>
        <v>4000</v>
      </c>
      <c r="Y213" s="48" t="s">
        <v>516</v>
      </c>
      <c r="Z213" s="66">
        <f t="shared" si="44"/>
        <v>9.0909090909090917</v>
      </c>
      <c r="AA213" s="133">
        <f t="shared" si="45"/>
        <v>44000</v>
      </c>
      <c r="AC213" s="13"/>
      <c r="AD213" s="1"/>
    </row>
    <row r="214" spans="5:30" ht="15.75" customHeight="1">
      <c r="E214" s="16"/>
      <c r="G214" s="63"/>
      <c r="K214" s="95"/>
      <c r="L214" s="1"/>
      <c r="S214" s="31" t="s">
        <v>181</v>
      </c>
      <c r="T214" s="32">
        <v>45247</v>
      </c>
      <c r="U214" s="3">
        <v>42.3</v>
      </c>
      <c r="V214" s="3">
        <v>800</v>
      </c>
      <c r="W214" s="16">
        <v>48</v>
      </c>
      <c r="X214" s="65">
        <f t="shared" si="43"/>
        <v>4560.0000000000018</v>
      </c>
      <c r="Y214" s="48" t="s">
        <v>516</v>
      </c>
      <c r="Z214" s="66">
        <f t="shared" si="44"/>
        <v>13.475177304964545</v>
      </c>
      <c r="AA214" s="133">
        <f t="shared" si="45"/>
        <v>33840</v>
      </c>
      <c r="AC214" s="13"/>
      <c r="AD214" s="1"/>
    </row>
    <row r="215" spans="5:30" ht="15.75" customHeight="1">
      <c r="E215" s="16"/>
      <c r="G215" s="63"/>
      <c r="K215" s="95"/>
      <c r="L215" s="1"/>
      <c r="S215" s="3" t="s">
        <v>29</v>
      </c>
      <c r="T215" s="38">
        <v>45267</v>
      </c>
      <c r="U215" s="3">
        <v>277.7</v>
      </c>
      <c r="V215" s="3">
        <v>700</v>
      </c>
      <c r="W215" s="16">
        <v>250</v>
      </c>
      <c r="X215" s="65">
        <f t="shared" si="43"/>
        <v>-19389.999999999993</v>
      </c>
      <c r="Y215" s="48" t="s">
        <v>516</v>
      </c>
      <c r="Z215" s="66">
        <f t="shared" si="44"/>
        <v>-9.9747929420237647</v>
      </c>
      <c r="AA215" s="133">
        <f t="shared" si="45"/>
        <v>194390</v>
      </c>
      <c r="AC215" s="13"/>
      <c r="AD215" s="1"/>
    </row>
    <row r="216" spans="5:30" ht="15.75" customHeight="1">
      <c r="E216" s="16"/>
      <c r="G216" s="63"/>
      <c r="K216" s="95"/>
      <c r="L216" s="1"/>
      <c r="S216" s="31" t="s">
        <v>166</v>
      </c>
      <c r="T216" s="18">
        <v>45132</v>
      </c>
      <c r="U216" s="17">
        <v>835</v>
      </c>
      <c r="V216" s="17">
        <v>200</v>
      </c>
      <c r="W216" s="102">
        <v>858</v>
      </c>
      <c r="X216" s="65">
        <f t="shared" si="43"/>
        <v>4600</v>
      </c>
      <c r="Y216" s="48" t="s">
        <v>516</v>
      </c>
      <c r="Z216" s="66">
        <f t="shared" si="44"/>
        <v>2.7544910179640718</v>
      </c>
      <c r="AA216" s="133">
        <f t="shared" si="45"/>
        <v>167000</v>
      </c>
      <c r="AC216" s="13"/>
      <c r="AD216" s="24"/>
    </row>
    <row r="217" spans="5:30" ht="15.75" customHeight="1">
      <c r="E217" s="16"/>
      <c r="G217" s="63"/>
      <c r="K217" s="95"/>
      <c r="L217" s="1"/>
      <c r="S217" s="31" t="s">
        <v>166</v>
      </c>
      <c r="T217" s="32">
        <v>45211</v>
      </c>
      <c r="U217" s="3">
        <v>926</v>
      </c>
      <c r="V217" s="3">
        <v>400</v>
      </c>
      <c r="W217" s="16">
        <v>858</v>
      </c>
      <c r="X217" s="65">
        <f t="shared" si="43"/>
        <v>-27200</v>
      </c>
      <c r="Y217" s="48" t="s">
        <v>516</v>
      </c>
      <c r="Z217" s="66">
        <f t="shared" si="44"/>
        <v>-7.3434125269978399</v>
      </c>
      <c r="AA217" s="133">
        <f t="shared" si="45"/>
        <v>370400</v>
      </c>
      <c r="AC217" s="13"/>
      <c r="AD217" s="1"/>
    </row>
    <row r="218" spans="5:30" ht="15.75" customHeight="1">
      <c r="E218" s="16"/>
      <c r="G218" s="63"/>
      <c r="K218" s="95"/>
      <c r="L218" s="1"/>
      <c r="S218" s="31" t="s">
        <v>243</v>
      </c>
      <c r="T218" s="32">
        <v>45216</v>
      </c>
      <c r="U218" s="3">
        <v>2179</v>
      </c>
      <c r="V218" s="3">
        <v>80</v>
      </c>
      <c r="W218" s="16">
        <v>3260</v>
      </c>
      <c r="X218" s="65">
        <f t="shared" si="43"/>
        <v>86480</v>
      </c>
      <c r="Y218" s="48" t="s">
        <v>517</v>
      </c>
      <c r="Z218" s="66">
        <f t="shared" si="44"/>
        <v>49.609912804038551</v>
      </c>
      <c r="AA218" s="133">
        <f t="shared" si="45"/>
        <v>174320</v>
      </c>
      <c r="AC218" s="13"/>
      <c r="AD218" s="1"/>
    </row>
    <row r="219" spans="5:30" ht="15.75" customHeight="1">
      <c r="E219" s="16"/>
      <c r="G219" s="63"/>
      <c r="K219" s="95"/>
      <c r="L219" s="1"/>
      <c r="S219" s="3" t="s">
        <v>201</v>
      </c>
      <c r="T219" s="35">
        <v>45320</v>
      </c>
      <c r="U219" s="3">
        <v>149</v>
      </c>
      <c r="V219" s="3">
        <v>2000</v>
      </c>
      <c r="W219" s="16">
        <v>121.2</v>
      </c>
      <c r="X219" s="65">
        <f t="shared" si="43"/>
        <v>-55599.999999999993</v>
      </c>
      <c r="Y219" s="48" t="s">
        <v>517</v>
      </c>
      <c r="Z219" s="66">
        <f t="shared" si="44"/>
        <v>-18.657718120805367</v>
      </c>
      <c r="AA219" s="133">
        <f t="shared" si="45"/>
        <v>298000</v>
      </c>
      <c r="AC219" s="154"/>
      <c r="AD219" s="68"/>
    </row>
    <row r="220" spans="5:30" ht="15.75" customHeight="1">
      <c r="E220" s="16"/>
      <c r="G220" s="63"/>
      <c r="K220" s="95"/>
      <c r="L220" s="1"/>
      <c r="S220" s="3" t="s">
        <v>518</v>
      </c>
      <c r="T220" s="35">
        <v>45310</v>
      </c>
      <c r="U220" s="3">
        <v>321</v>
      </c>
      <c r="V220" s="3">
        <v>650</v>
      </c>
      <c r="W220" s="16">
        <v>255</v>
      </c>
      <c r="X220" s="65">
        <f t="shared" si="43"/>
        <v>-42900</v>
      </c>
      <c r="Y220" s="48" t="s">
        <v>517</v>
      </c>
      <c r="Z220" s="66">
        <f t="shared" si="44"/>
        <v>-20.560747663551403</v>
      </c>
      <c r="AA220" s="133">
        <f t="shared" si="45"/>
        <v>208650</v>
      </c>
      <c r="AB220" s="17"/>
      <c r="AC220" s="154"/>
      <c r="AD220" s="68"/>
    </row>
    <row r="221" spans="5:30" ht="15.75" customHeight="1">
      <c r="E221" s="16"/>
      <c r="G221" s="63"/>
      <c r="K221" s="95"/>
      <c r="L221" s="1"/>
      <c r="S221" s="31" t="s">
        <v>519</v>
      </c>
      <c r="T221" s="18">
        <v>45057</v>
      </c>
      <c r="U221" s="17">
        <v>96</v>
      </c>
      <c r="V221" s="17">
        <v>2500</v>
      </c>
      <c r="W221" s="102">
        <v>117.65</v>
      </c>
      <c r="X221" s="65">
        <f t="shared" si="43"/>
        <v>54125.000000000015</v>
      </c>
      <c r="Y221" s="48" t="s">
        <v>517</v>
      </c>
      <c r="Z221" s="66">
        <f t="shared" si="44"/>
        <v>22.552083333333339</v>
      </c>
      <c r="AA221" s="133">
        <f t="shared" si="45"/>
        <v>240000</v>
      </c>
      <c r="AC221" s="13"/>
      <c r="AD221" s="24"/>
    </row>
    <row r="222" spans="5:30" ht="15.75" customHeight="1">
      <c r="E222" s="16"/>
      <c r="G222" s="63"/>
      <c r="K222" s="95"/>
      <c r="L222" s="1"/>
      <c r="S222" s="3" t="s">
        <v>520</v>
      </c>
      <c r="T222" s="31" t="s">
        <v>521</v>
      </c>
      <c r="U222" s="3">
        <v>35.299999999999997</v>
      </c>
      <c r="V222" s="3">
        <v>6000</v>
      </c>
      <c r="W222" s="16">
        <v>32</v>
      </c>
      <c r="X222" s="65">
        <f t="shared" si="43"/>
        <v>-19799.999999999982</v>
      </c>
      <c r="Y222" s="48" t="s">
        <v>517</v>
      </c>
      <c r="Z222" s="66">
        <f t="shared" si="44"/>
        <v>-9.3484419263456022</v>
      </c>
      <c r="AA222" s="133">
        <f t="shared" si="45"/>
        <v>211799.99999999997</v>
      </c>
      <c r="AC222" s="154"/>
      <c r="AD222" s="68"/>
    </row>
    <row r="223" spans="5:30" ht="15.75" customHeight="1">
      <c r="E223" s="16"/>
      <c r="G223" s="63"/>
      <c r="K223" s="95"/>
      <c r="L223" s="1"/>
      <c r="S223" s="31" t="s">
        <v>245</v>
      </c>
      <c r="T223" s="32">
        <v>45219</v>
      </c>
      <c r="U223" s="3">
        <v>34.65</v>
      </c>
      <c r="V223" s="3">
        <v>8000</v>
      </c>
      <c r="W223" s="16">
        <v>58.75</v>
      </c>
      <c r="X223" s="65">
        <f t="shared" si="43"/>
        <v>192800</v>
      </c>
      <c r="Y223" s="48" t="s">
        <v>522</v>
      </c>
      <c r="Z223" s="66">
        <f t="shared" si="44"/>
        <v>69.552669552669556</v>
      </c>
      <c r="AA223" s="133">
        <f t="shared" si="45"/>
        <v>277200</v>
      </c>
      <c r="AC223" s="13"/>
      <c r="AD223" s="1"/>
    </row>
    <row r="224" spans="5:30" ht="15.75" customHeight="1">
      <c r="E224" s="16"/>
      <c r="G224" s="63"/>
      <c r="K224" s="95"/>
      <c r="L224" s="1"/>
      <c r="S224" s="3" t="s">
        <v>74</v>
      </c>
      <c r="T224" s="35">
        <v>45310</v>
      </c>
      <c r="U224" s="3">
        <v>556</v>
      </c>
      <c r="V224" s="3">
        <v>500</v>
      </c>
      <c r="W224" s="16">
        <v>526.59</v>
      </c>
      <c r="X224" s="65">
        <f t="shared" si="43"/>
        <v>-14704.999999999984</v>
      </c>
      <c r="Y224" s="48" t="s">
        <v>523</v>
      </c>
      <c r="Z224" s="66">
        <f t="shared" si="44"/>
        <v>-5.289568345323735</v>
      </c>
      <c r="AA224" s="133">
        <f t="shared" si="45"/>
        <v>278000</v>
      </c>
      <c r="AB224" s="17"/>
      <c r="AC224" s="67"/>
      <c r="AD224" s="68"/>
    </row>
    <row r="225" spans="5:30" ht="15.75" customHeight="1">
      <c r="E225" s="16"/>
      <c r="G225" s="63"/>
      <c r="K225" s="95"/>
      <c r="L225" s="1"/>
      <c r="S225" s="3" t="s">
        <v>25</v>
      </c>
      <c r="T225" s="35">
        <v>45322</v>
      </c>
      <c r="U225" s="3">
        <v>139.5</v>
      </c>
      <c r="V225" s="3">
        <v>3500</v>
      </c>
      <c r="W225" s="16">
        <v>99.81</v>
      </c>
      <c r="X225" s="65">
        <f t="shared" si="43"/>
        <v>-138915</v>
      </c>
      <c r="Y225" s="48" t="s">
        <v>523</v>
      </c>
      <c r="Z225" s="66">
        <f t="shared" si="44"/>
        <v>-28.451612903225808</v>
      </c>
      <c r="AA225" s="133">
        <f t="shared" si="45"/>
        <v>488250</v>
      </c>
      <c r="AC225" s="67"/>
      <c r="AD225" s="68"/>
    </row>
    <row r="226" spans="5:30" ht="15.75" customHeight="1">
      <c r="E226" s="16"/>
      <c r="G226" s="63"/>
      <c r="K226" s="95"/>
      <c r="L226" s="1"/>
      <c r="S226" s="3" t="s">
        <v>10</v>
      </c>
      <c r="T226" s="35">
        <v>45342</v>
      </c>
      <c r="U226" s="3">
        <v>453.35</v>
      </c>
      <c r="V226" s="3">
        <v>900</v>
      </c>
      <c r="W226" s="16">
        <v>389.9</v>
      </c>
      <c r="X226" s="65">
        <f t="shared" si="43"/>
        <v>-57105.000000000044</v>
      </c>
      <c r="Y226" s="48" t="s">
        <v>523</v>
      </c>
      <c r="Z226" s="66">
        <f t="shared" si="44"/>
        <v>-13.995808977611127</v>
      </c>
      <c r="AA226" s="133">
        <f t="shared" si="45"/>
        <v>408015</v>
      </c>
      <c r="AC226" s="67"/>
      <c r="AD226" s="68"/>
    </row>
    <row r="227" spans="5:30" ht="15.75" customHeight="1">
      <c r="E227" s="16"/>
      <c r="G227" s="63"/>
      <c r="K227" s="95"/>
      <c r="L227" s="1"/>
      <c r="S227" s="9" t="s">
        <v>68</v>
      </c>
      <c r="T227" s="35">
        <v>45294</v>
      </c>
      <c r="U227" s="3">
        <v>34</v>
      </c>
      <c r="V227" s="3">
        <v>6000</v>
      </c>
      <c r="W227" s="16">
        <v>27.1</v>
      </c>
      <c r="X227" s="65">
        <f t="shared" si="43"/>
        <v>-41399.999999999993</v>
      </c>
      <c r="Y227" s="48" t="s">
        <v>523</v>
      </c>
      <c r="Z227" s="66">
        <f t="shared" si="44"/>
        <v>-20.294117647058819</v>
      </c>
      <c r="AA227" s="133">
        <f t="shared" si="45"/>
        <v>204000</v>
      </c>
      <c r="AB227" s="17"/>
      <c r="AC227" s="67"/>
      <c r="AD227" s="68"/>
    </row>
    <row r="228" spans="5:30" ht="15.75" customHeight="1">
      <c r="E228" s="16"/>
      <c r="G228" s="63"/>
      <c r="K228" s="95"/>
      <c r="L228" s="1"/>
      <c r="S228" s="3" t="s">
        <v>55</v>
      </c>
      <c r="T228" s="38">
        <v>45264</v>
      </c>
      <c r="U228" s="3">
        <v>171.45</v>
      </c>
      <c r="V228" s="3">
        <v>800</v>
      </c>
      <c r="W228" s="16">
        <v>145.30000000000001</v>
      </c>
      <c r="X228" s="65">
        <f t="shared" si="43"/>
        <v>-20919.999999999982</v>
      </c>
      <c r="Y228" s="48" t="s">
        <v>523</v>
      </c>
      <c r="Z228" s="66">
        <f t="shared" si="44"/>
        <v>-15.252260134149886</v>
      </c>
      <c r="AA228" s="133">
        <f t="shared" si="45"/>
        <v>137160</v>
      </c>
      <c r="AC228" s="93"/>
      <c r="AD228" s="1"/>
    </row>
    <row r="229" spans="5:30" ht="15.75" customHeight="1">
      <c r="E229" s="16"/>
      <c r="G229" s="63"/>
      <c r="K229" s="95"/>
      <c r="L229" s="1"/>
      <c r="S229" s="3" t="s">
        <v>22</v>
      </c>
      <c r="T229" s="35">
        <v>45314</v>
      </c>
      <c r="U229" s="3">
        <v>140</v>
      </c>
      <c r="V229" s="3">
        <v>2469</v>
      </c>
      <c r="W229" s="16">
        <v>115.9</v>
      </c>
      <c r="X229" s="65">
        <f t="shared" si="43"/>
        <v>-59502.899999999987</v>
      </c>
      <c r="Y229" s="48" t="s">
        <v>523</v>
      </c>
      <c r="Z229" s="66">
        <f t="shared" si="44"/>
        <v>-17.214285714285712</v>
      </c>
      <c r="AA229" s="133">
        <f t="shared" si="45"/>
        <v>345660</v>
      </c>
      <c r="AB229" s="17"/>
      <c r="AC229" s="67"/>
      <c r="AD229" s="68"/>
    </row>
    <row r="230" spans="5:30" ht="15.75" customHeight="1">
      <c r="E230" s="16"/>
      <c r="G230" s="63"/>
      <c r="K230" s="95"/>
      <c r="L230" s="1"/>
      <c r="S230" s="3" t="s">
        <v>13</v>
      </c>
      <c r="T230" s="35">
        <v>45294</v>
      </c>
      <c r="U230" s="3">
        <v>73</v>
      </c>
      <c r="V230" s="3">
        <v>3500</v>
      </c>
      <c r="W230" s="16">
        <v>66</v>
      </c>
      <c r="X230" s="65">
        <f t="shared" si="43"/>
        <v>-24500</v>
      </c>
      <c r="Y230" s="48" t="s">
        <v>524</v>
      </c>
      <c r="Z230" s="66">
        <f t="shared" si="44"/>
        <v>-9.5890410958904102</v>
      </c>
      <c r="AA230" s="133">
        <f t="shared" si="45"/>
        <v>255500</v>
      </c>
      <c r="AB230" s="17"/>
      <c r="AC230" s="67"/>
      <c r="AD230" s="68"/>
    </row>
    <row r="231" spans="5:30" ht="15.75" customHeight="1">
      <c r="E231" s="16"/>
      <c r="G231" s="63"/>
      <c r="K231" s="95"/>
      <c r="L231" s="1"/>
      <c r="S231" s="31" t="s">
        <v>147</v>
      </c>
      <c r="T231" s="38">
        <v>45177</v>
      </c>
      <c r="U231" s="3">
        <v>313</v>
      </c>
      <c r="V231" s="3">
        <v>170</v>
      </c>
      <c r="W231" s="16">
        <v>336</v>
      </c>
      <c r="X231" s="65">
        <f t="shared" si="43"/>
        <v>3910</v>
      </c>
      <c r="Y231" s="155">
        <v>45326</v>
      </c>
      <c r="Z231" s="66">
        <f t="shared" si="44"/>
        <v>7.3482428115015974</v>
      </c>
      <c r="AA231" s="133">
        <f t="shared" si="45"/>
        <v>53210</v>
      </c>
    </row>
    <row r="232" spans="5:30" ht="15.75" customHeight="1">
      <c r="E232" s="16"/>
      <c r="G232" s="63"/>
      <c r="K232" s="95"/>
      <c r="L232" s="1"/>
      <c r="S232" s="3" t="s">
        <v>525</v>
      </c>
      <c r="U232" s="3">
        <v>2356</v>
      </c>
      <c r="V232" s="3">
        <v>100</v>
      </c>
      <c r="W232" s="3">
        <v>2634</v>
      </c>
      <c r="X232" s="65">
        <f t="shared" si="43"/>
        <v>27800</v>
      </c>
      <c r="Y232" s="155">
        <v>45326</v>
      </c>
      <c r="Z232" s="66">
        <f t="shared" si="44"/>
        <v>11.799660441426147</v>
      </c>
      <c r="AA232" s="133">
        <f t="shared" si="45"/>
        <v>235600</v>
      </c>
    </row>
    <row r="233" spans="5:30" ht="15.75" customHeight="1">
      <c r="E233" s="16"/>
      <c r="G233" s="63"/>
      <c r="K233" s="95"/>
      <c r="L233" s="1"/>
      <c r="X233" s="65"/>
      <c r="Z233" s="66"/>
      <c r="AA233" s="133"/>
    </row>
    <row r="234" spans="5:30" ht="15.75" customHeight="1">
      <c r="E234" s="16"/>
      <c r="G234" s="63"/>
      <c r="K234" s="95"/>
      <c r="L234" s="1"/>
      <c r="S234" s="31" t="s">
        <v>48</v>
      </c>
      <c r="T234" s="32">
        <v>45245</v>
      </c>
      <c r="U234" s="3">
        <v>253</v>
      </c>
      <c r="V234" s="3">
        <v>1000</v>
      </c>
      <c r="W234" s="3">
        <v>329.5</v>
      </c>
      <c r="X234" s="65">
        <f t="shared" ref="X234:X242" si="46">(W234-U234)*V234</f>
        <v>76500</v>
      </c>
      <c r="Y234" s="156">
        <v>45508</v>
      </c>
      <c r="Z234" s="66">
        <f t="shared" ref="Z234:Z242" si="47">(W234-U234)*100/U234</f>
        <v>30.237154150197629</v>
      </c>
      <c r="AA234" s="133">
        <f t="shared" ref="AA234:AA242" si="48">U234*V234</f>
        <v>253000</v>
      </c>
      <c r="AC234" s="93"/>
      <c r="AD234" s="1"/>
    </row>
    <row r="235" spans="5:30" ht="15.75" customHeight="1">
      <c r="E235" s="16"/>
      <c r="G235" s="63"/>
      <c r="K235" s="95"/>
      <c r="L235" s="1"/>
      <c r="S235" s="31" t="s">
        <v>246</v>
      </c>
      <c r="T235" s="32">
        <v>45210</v>
      </c>
      <c r="U235" s="3">
        <v>429</v>
      </c>
      <c r="V235" s="3">
        <v>500</v>
      </c>
      <c r="W235" s="16">
        <v>625.70000000000005</v>
      </c>
      <c r="X235" s="65">
        <f t="shared" si="46"/>
        <v>98350.000000000029</v>
      </c>
      <c r="Y235" s="156">
        <v>45508</v>
      </c>
      <c r="Z235" s="66">
        <f t="shared" si="47"/>
        <v>45.850815850815856</v>
      </c>
      <c r="AA235" s="133">
        <f t="shared" si="48"/>
        <v>214500</v>
      </c>
      <c r="AC235" s="93"/>
      <c r="AD235" s="1"/>
    </row>
    <row r="236" spans="5:30" ht="15.75" customHeight="1">
      <c r="E236" s="16"/>
      <c r="G236" s="63"/>
      <c r="K236" s="95"/>
      <c r="L236" s="1"/>
      <c r="S236" s="31" t="s">
        <v>173</v>
      </c>
      <c r="T236" s="32">
        <v>45260</v>
      </c>
      <c r="U236" s="3">
        <v>454</v>
      </c>
      <c r="V236" s="3">
        <v>500</v>
      </c>
      <c r="W236" s="16">
        <v>501.85</v>
      </c>
      <c r="X236" s="65">
        <f t="shared" si="46"/>
        <v>23925.000000000011</v>
      </c>
      <c r="Y236" s="156">
        <v>45539</v>
      </c>
      <c r="Z236" s="66">
        <f t="shared" si="47"/>
        <v>10.539647577092515</v>
      </c>
      <c r="AA236" s="133">
        <f t="shared" si="48"/>
        <v>227000</v>
      </c>
      <c r="AC236" s="93"/>
      <c r="AD236" s="1"/>
    </row>
    <row r="237" spans="5:30" ht="15.75" customHeight="1">
      <c r="E237" s="16"/>
      <c r="G237" s="63"/>
      <c r="K237" s="95"/>
      <c r="L237" s="1"/>
      <c r="S237" s="3" t="s">
        <v>46</v>
      </c>
      <c r="T237" s="38">
        <v>45267</v>
      </c>
      <c r="U237" s="3">
        <v>178.95</v>
      </c>
      <c r="V237" s="3">
        <v>1200</v>
      </c>
      <c r="W237" s="16">
        <v>188</v>
      </c>
      <c r="X237" s="65">
        <f t="shared" si="46"/>
        <v>10860.000000000015</v>
      </c>
      <c r="Y237" s="156">
        <v>45539</v>
      </c>
      <c r="Z237" s="66">
        <f t="shared" si="47"/>
        <v>5.0572785694328095</v>
      </c>
      <c r="AA237" s="133">
        <f t="shared" si="48"/>
        <v>214740</v>
      </c>
      <c r="AC237" s="93"/>
      <c r="AD237" s="1"/>
    </row>
    <row r="238" spans="5:30" ht="15.75" customHeight="1">
      <c r="E238" s="16"/>
      <c r="G238" s="63"/>
      <c r="K238" s="95"/>
      <c r="L238" s="1"/>
      <c r="S238" s="31" t="s">
        <v>18</v>
      </c>
      <c r="T238" s="32">
        <v>45260</v>
      </c>
      <c r="U238" s="3">
        <v>99</v>
      </c>
      <c r="V238" s="3">
        <v>330</v>
      </c>
      <c r="W238" s="16">
        <v>94.5</v>
      </c>
      <c r="X238" s="65">
        <f t="shared" si="46"/>
        <v>-1485</v>
      </c>
      <c r="Y238" s="156">
        <v>45539</v>
      </c>
      <c r="Z238" s="66">
        <f t="shared" si="47"/>
        <v>-4.5454545454545459</v>
      </c>
      <c r="AA238" s="133">
        <f t="shared" si="48"/>
        <v>32670</v>
      </c>
      <c r="AC238" s="93"/>
      <c r="AD238" s="1"/>
    </row>
    <row r="239" spans="5:30" ht="15.75" customHeight="1">
      <c r="E239" s="16"/>
      <c r="G239" s="63"/>
      <c r="K239" s="95"/>
      <c r="L239" s="1"/>
      <c r="S239" s="3" t="s">
        <v>42</v>
      </c>
      <c r="T239" s="32">
        <v>45286</v>
      </c>
      <c r="U239" s="3">
        <v>293.8</v>
      </c>
      <c r="V239" s="3">
        <v>1000</v>
      </c>
      <c r="W239" s="16">
        <v>312</v>
      </c>
      <c r="X239" s="65">
        <f t="shared" si="46"/>
        <v>18199.999999999989</v>
      </c>
      <c r="Y239" s="156">
        <v>45539</v>
      </c>
      <c r="Z239" s="66">
        <f t="shared" si="47"/>
        <v>6.194690265486722</v>
      </c>
      <c r="AA239" s="133">
        <f t="shared" si="48"/>
        <v>293800</v>
      </c>
      <c r="AC239" s="93"/>
      <c r="AD239" s="1"/>
    </row>
    <row r="240" spans="5:30" ht="15.75" customHeight="1">
      <c r="E240" s="16"/>
      <c r="G240" s="63"/>
      <c r="K240" s="95"/>
      <c r="L240" s="1"/>
      <c r="S240" s="31" t="s">
        <v>526</v>
      </c>
      <c r="T240" s="18">
        <v>45071</v>
      </c>
      <c r="U240" s="17">
        <v>380</v>
      </c>
      <c r="V240" s="17">
        <v>400</v>
      </c>
      <c r="W240" s="102">
        <v>631</v>
      </c>
      <c r="X240" s="65">
        <f t="shared" si="46"/>
        <v>100400</v>
      </c>
      <c r="Y240" s="156">
        <v>45539</v>
      </c>
      <c r="Z240" s="66">
        <f t="shared" si="47"/>
        <v>66.05263157894737</v>
      </c>
      <c r="AA240" s="133">
        <f t="shared" si="48"/>
        <v>152000</v>
      </c>
      <c r="AC240" s="93"/>
      <c r="AD240" s="1"/>
    </row>
    <row r="241" spans="5:30" ht="15.75" customHeight="1">
      <c r="E241" s="16"/>
      <c r="G241" s="63"/>
      <c r="K241" s="95"/>
      <c r="L241" s="1"/>
      <c r="S241" s="157" t="s">
        <v>208</v>
      </c>
      <c r="T241" s="35">
        <v>45307</v>
      </c>
      <c r="U241" s="3">
        <v>259</v>
      </c>
      <c r="V241" s="3">
        <v>1000</v>
      </c>
      <c r="W241" s="16">
        <v>312.60000000000002</v>
      </c>
      <c r="X241" s="65">
        <f t="shared" si="46"/>
        <v>53600.000000000022</v>
      </c>
      <c r="Y241" s="156">
        <v>45630</v>
      </c>
      <c r="Z241" s="66">
        <f t="shared" si="47"/>
        <v>20.694980694980703</v>
      </c>
      <c r="AA241" s="133">
        <f t="shared" si="48"/>
        <v>259000</v>
      </c>
      <c r="AB241" s="17"/>
      <c r="AC241" s="67"/>
      <c r="AD241" s="68"/>
    </row>
    <row r="242" spans="5:30" ht="15.75" customHeight="1">
      <c r="E242" s="16"/>
      <c r="G242" s="63"/>
      <c r="K242" s="95"/>
      <c r="L242" s="1"/>
      <c r="S242" s="31" t="s">
        <v>75</v>
      </c>
      <c r="T242" s="32">
        <v>45243</v>
      </c>
      <c r="U242" s="3">
        <v>412</v>
      </c>
      <c r="V242" s="3">
        <v>500</v>
      </c>
      <c r="W242" s="16">
        <v>534.5</v>
      </c>
      <c r="X242" s="65">
        <f t="shared" si="46"/>
        <v>61250</v>
      </c>
      <c r="Y242" s="156">
        <v>45630</v>
      </c>
      <c r="Z242" s="66">
        <f t="shared" si="47"/>
        <v>29.733009708737864</v>
      </c>
      <c r="AA242" s="133">
        <f t="shared" si="48"/>
        <v>206000</v>
      </c>
      <c r="AC242" s="93"/>
      <c r="AD242" s="1"/>
    </row>
    <row r="243" spans="5:30" ht="15.75" customHeight="1">
      <c r="E243" s="16"/>
      <c r="G243" s="63"/>
      <c r="K243" s="95"/>
      <c r="L243" s="1"/>
    </row>
    <row r="244" spans="5:30" ht="15.75" customHeight="1">
      <c r="E244" s="16"/>
      <c r="G244" s="63"/>
      <c r="K244" s="95"/>
      <c r="L244" s="1"/>
    </row>
    <row r="245" spans="5:30" ht="15.75" customHeight="1">
      <c r="E245" s="16"/>
      <c r="G245" s="63"/>
      <c r="K245" s="95"/>
      <c r="L245" s="1"/>
    </row>
    <row r="246" spans="5:30" ht="15.75" customHeight="1">
      <c r="E246" s="16"/>
      <c r="G246" s="63"/>
      <c r="K246" s="95"/>
      <c r="L246" s="1"/>
    </row>
    <row r="247" spans="5:30" ht="15.75" customHeight="1">
      <c r="E247" s="16"/>
      <c r="G247" s="63"/>
      <c r="K247" s="95"/>
      <c r="L247" s="1"/>
    </row>
    <row r="248" spans="5:30" ht="15.75" customHeight="1">
      <c r="E248" s="16"/>
      <c r="G248" s="63"/>
      <c r="K248" s="95"/>
      <c r="L248" s="1"/>
    </row>
    <row r="249" spans="5:30" ht="15.75" customHeight="1">
      <c r="E249" s="16"/>
      <c r="G249" s="63"/>
      <c r="K249" s="95"/>
      <c r="L249" s="1"/>
    </row>
    <row r="250" spans="5:30" ht="15.75" customHeight="1">
      <c r="E250" s="16"/>
      <c r="G250" s="63"/>
      <c r="K250" s="95"/>
      <c r="L250" s="1"/>
    </row>
    <row r="251" spans="5:30" ht="15.75" customHeight="1">
      <c r="E251" s="16"/>
      <c r="G251" s="63"/>
      <c r="K251" s="95"/>
      <c r="L251" s="1"/>
    </row>
    <row r="252" spans="5:30" ht="15.75" customHeight="1">
      <c r="E252" s="16"/>
      <c r="G252" s="63"/>
      <c r="K252" s="95"/>
      <c r="L252" s="1"/>
    </row>
    <row r="253" spans="5:30" ht="15.75" customHeight="1">
      <c r="E253" s="16"/>
      <c r="G253" s="63"/>
      <c r="K253" s="95"/>
      <c r="L253" s="1"/>
    </row>
    <row r="254" spans="5:30" ht="15.75" customHeight="1">
      <c r="E254" s="16"/>
      <c r="G254" s="63"/>
      <c r="K254" s="95"/>
      <c r="L254" s="1"/>
    </row>
    <row r="255" spans="5:30" ht="15.75" customHeight="1">
      <c r="E255" s="16"/>
      <c r="G255" s="63"/>
      <c r="K255" s="95"/>
      <c r="L255" s="1"/>
    </row>
    <row r="256" spans="5:30" ht="15.75" customHeight="1">
      <c r="E256" s="16"/>
      <c r="G256" s="63"/>
      <c r="K256" s="95"/>
      <c r="L256" s="1"/>
    </row>
    <row r="257" spans="5:12" ht="15.75" customHeight="1">
      <c r="E257" s="16"/>
      <c r="G257" s="63"/>
      <c r="K257" s="95"/>
      <c r="L257" s="1"/>
    </row>
    <row r="258" spans="5:12" ht="15.75" customHeight="1">
      <c r="E258" s="16"/>
      <c r="G258" s="63"/>
      <c r="K258" s="95"/>
      <c r="L258" s="1"/>
    </row>
    <row r="259" spans="5:12" ht="15.75" customHeight="1">
      <c r="E259" s="16"/>
      <c r="G259" s="63"/>
      <c r="K259" s="95"/>
      <c r="L259" s="1"/>
    </row>
    <row r="260" spans="5:12" ht="15.75" customHeight="1">
      <c r="E260" s="16"/>
      <c r="G260" s="63"/>
      <c r="K260" s="95"/>
      <c r="L260" s="1"/>
    </row>
    <row r="261" spans="5:12" ht="15.75" customHeight="1">
      <c r="E261" s="16"/>
      <c r="G261" s="63"/>
      <c r="K261" s="95"/>
      <c r="L261" s="1"/>
    </row>
    <row r="262" spans="5:12" ht="15.75" customHeight="1">
      <c r="E262" s="16"/>
      <c r="G262" s="63"/>
      <c r="K262" s="95"/>
      <c r="L262" s="1"/>
    </row>
    <row r="263" spans="5:12" ht="15.75" customHeight="1">
      <c r="E263" s="16"/>
      <c r="G263" s="63"/>
      <c r="K263" s="95"/>
      <c r="L263" s="1"/>
    </row>
    <row r="264" spans="5:12" ht="15.75" customHeight="1">
      <c r="E264" s="16"/>
      <c r="G264" s="63"/>
      <c r="K264" s="95"/>
      <c r="L264" s="1"/>
    </row>
    <row r="265" spans="5:12" ht="15.75" customHeight="1">
      <c r="E265" s="16"/>
      <c r="G265" s="63"/>
      <c r="K265" s="95"/>
      <c r="L265" s="1"/>
    </row>
    <row r="266" spans="5:12" ht="15.75" customHeight="1">
      <c r="E266" s="16"/>
      <c r="G266" s="63"/>
      <c r="K266" s="95"/>
      <c r="L266" s="1"/>
    </row>
    <row r="267" spans="5:12" ht="15.75" customHeight="1">
      <c r="E267" s="16"/>
      <c r="G267" s="63"/>
      <c r="K267" s="95"/>
      <c r="L267" s="1"/>
    </row>
    <row r="268" spans="5:12" ht="15.75" customHeight="1">
      <c r="E268" s="16"/>
      <c r="G268" s="63"/>
      <c r="K268" s="95"/>
      <c r="L268" s="1"/>
    </row>
    <row r="269" spans="5:12" ht="15.75" customHeight="1">
      <c r="E269" s="16"/>
      <c r="G269" s="63"/>
      <c r="K269" s="95"/>
      <c r="L269" s="1"/>
    </row>
    <row r="270" spans="5:12" ht="15.75" customHeight="1">
      <c r="E270" s="16"/>
      <c r="G270" s="63"/>
      <c r="K270" s="95"/>
      <c r="L270" s="1"/>
    </row>
    <row r="271" spans="5:12" ht="15.75" customHeight="1">
      <c r="E271" s="16"/>
      <c r="G271" s="63"/>
      <c r="K271" s="95"/>
      <c r="L271" s="1"/>
    </row>
    <row r="272" spans="5:12" ht="15.75" customHeight="1">
      <c r="E272" s="16"/>
      <c r="G272" s="63"/>
      <c r="K272" s="95"/>
      <c r="L272" s="1"/>
    </row>
    <row r="273" spans="5:12" ht="15.75" customHeight="1">
      <c r="E273" s="16"/>
      <c r="G273" s="63"/>
      <c r="K273" s="95"/>
      <c r="L273" s="1"/>
    </row>
    <row r="274" spans="5:12" ht="15.75" customHeight="1">
      <c r="E274" s="16"/>
      <c r="G274" s="63"/>
      <c r="K274" s="95"/>
      <c r="L274" s="1"/>
    </row>
    <row r="275" spans="5:12" ht="15.75" customHeight="1">
      <c r="E275" s="16"/>
      <c r="G275" s="63"/>
      <c r="K275" s="95"/>
      <c r="L275" s="1"/>
    </row>
    <row r="276" spans="5:12" ht="15.75" customHeight="1">
      <c r="E276" s="16"/>
      <c r="G276" s="63"/>
      <c r="K276" s="95"/>
      <c r="L276" s="1"/>
    </row>
    <row r="277" spans="5:12" ht="15.75" customHeight="1">
      <c r="E277" s="16"/>
      <c r="G277" s="63"/>
      <c r="K277" s="95"/>
      <c r="L277" s="1"/>
    </row>
    <row r="278" spans="5:12" ht="15.75" customHeight="1">
      <c r="E278" s="16"/>
      <c r="G278" s="63"/>
      <c r="K278" s="95"/>
      <c r="L278" s="1"/>
    </row>
    <row r="279" spans="5:12" ht="15.75" customHeight="1">
      <c r="E279" s="16"/>
      <c r="G279" s="63"/>
      <c r="K279" s="95"/>
      <c r="L279" s="1"/>
    </row>
    <row r="280" spans="5:12" ht="15.75" customHeight="1">
      <c r="E280" s="16"/>
      <c r="G280" s="63"/>
      <c r="K280" s="95"/>
      <c r="L280" s="1"/>
    </row>
    <row r="281" spans="5:12" ht="15.75" customHeight="1">
      <c r="E281" s="16"/>
      <c r="G281" s="63"/>
      <c r="K281" s="95"/>
      <c r="L281" s="1"/>
    </row>
    <row r="282" spans="5:12" ht="15.75" customHeight="1">
      <c r="E282" s="16"/>
      <c r="G282" s="63"/>
      <c r="K282" s="95"/>
      <c r="L282" s="1"/>
    </row>
    <row r="283" spans="5:12" ht="15.75" customHeight="1">
      <c r="E283" s="16"/>
      <c r="G283" s="63"/>
      <c r="K283" s="95"/>
      <c r="L283" s="1"/>
    </row>
    <row r="284" spans="5:12" ht="15.75" customHeight="1">
      <c r="E284" s="16"/>
      <c r="G284" s="63"/>
      <c r="K284" s="95"/>
      <c r="L284" s="1"/>
    </row>
    <row r="285" spans="5:12" ht="15.75" customHeight="1">
      <c r="E285" s="16"/>
      <c r="G285" s="63"/>
      <c r="K285" s="95"/>
      <c r="L285" s="1"/>
    </row>
    <row r="286" spans="5:12" ht="15.75" customHeight="1">
      <c r="E286" s="16"/>
      <c r="G286" s="63"/>
      <c r="K286" s="95"/>
      <c r="L286" s="1"/>
    </row>
    <row r="287" spans="5:12" ht="15.75" customHeight="1">
      <c r="E287" s="16"/>
      <c r="G287" s="63"/>
      <c r="K287" s="95"/>
      <c r="L287" s="1"/>
    </row>
    <row r="288" spans="5:12" ht="15.75" customHeight="1">
      <c r="E288" s="16"/>
      <c r="G288" s="63"/>
      <c r="K288" s="95"/>
      <c r="L288" s="1"/>
    </row>
    <row r="289" spans="5:12" ht="15.75" customHeight="1">
      <c r="E289" s="16"/>
      <c r="G289" s="63"/>
      <c r="K289" s="95"/>
      <c r="L289" s="1"/>
    </row>
    <row r="290" spans="5:12" ht="15.75" customHeight="1">
      <c r="E290" s="16"/>
      <c r="G290" s="63"/>
      <c r="K290" s="95"/>
      <c r="L290" s="1"/>
    </row>
    <row r="291" spans="5:12" ht="15.75" customHeight="1">
      <c r="E291" s="16"/>
      <c r="G291" s="63"/>
      <c r="K291" s="95"/>
      <c r="L291" s="1"/>
    </row>
    <row r="292" spans="5:12" ht="15.75" customHeight="1">
      <c r="E292" s="16"/>
      <c r="G292" s="63"/>
      <c r="K292" s="95"/>
      <c r="L292" s="1"/>
    </row>
    <row r="293" spans="5:12" ht="15.75" customHeight="1">
      <c r="E293" s="16"/>
      <c r="G293" s="63"/>
      <c r="K293" s="95"/>
      <c r="L293" s="1"/>
    </row>
    <row r="294" spans="5:12" ht="15.75" customHeight="1">
      <c r="E294" s="16"/>
      <c r="G294" s="63"/>
      <c r="K294" s="95"/>
      <c r="L294" s="1"/>
    </row>
    <row r="295" spans="5:12" ht="15.75" customHeight="1">
      <c r="E295" s="16"/>
      <c r="G295" s="63"/>
      <c r="K295" s="95"/>
      <c r="L295" s="1"/>
    </row>
    <row r="296" spans="5:12" ht="15.75" customHeight="1">
      <c r="E296" s="16"/>
      <c r="G296" s="63"/>
      <c r="K296" s="95"/>
      <c r="L296" s="1"/>
    </row>
    <row r="297" spans="5:12" ht="15.75" customHeight="1">
      <c r="E297" s="16"/>
      <c r="G297" s="63"/>
      <c r="K297" s="95"/>
      <c r="L297" s="1"/>
    </row>
    <row r="298" spans="5:12" ht="15.75" customHeight="1">
      <c r="E298" s="16"/>
      <c r="G298" s="63"/>
      <c r="K298" s="95"/>
      <c r="L298" s="1"/>
    </row>
    <row r="299" spans="5:12" ht="15.75" customHeight="1">
      <c r="E299" s="16"/>
      <c r="G299" s="63"/>
      <c r="K299" s="95"/>
      <c r="L299" s="1"/>
    </row>
    <row r="300" spans="5:12" ht="15.75" customHeight="1">
      <c r="E300" s="16"/>
      <c r="G300" s="63"/>
      <c r="K300" s="95"/>
      <c r="L300" s="1"/>
    </row>
    <row r="301" spans="5:12" ht="15.75" customHeight="1">
      <c r="E301" s="16"/>
      <c r="G301" s="63"/>
      <c r="K301" s="95"/>
      <c r="L301" s="1"/>
    </row>
    <row r="302" spans="5:12" ht="15.75" customHeight="1">
      <c r="E302" s="16"/>
      <c r="G302" s="63"/>
      <c r="K302" s="95"/>
      <c r="L302" s="1"/>
    </row>
    <row r="303" spans="5:12" ht="15.75" customHeight="1">
      <c r="E303" s="16"/>
      <c r="G303" s="63"/>
      <c r="K303" s="95"/>
      <c r="L303" s="1"/>
    </row>
    <row r="304" spans="5:12" ht="15.75" customHeight="1">
      <c r="E304" s="16"/>
      <c r="G304" s="63"/>
      <c r="K304" s="95"/>
      <c r="L304" s="1"/>
    </row>
    <row r="305" spans="5:12" ht="15.75" customHeight="1">
      <c r="E305" s="16"/>
      <c r="G305" s="63"/>
      <c r="K305" s="95"/>
      <c r="L305" s="1"/>
    </row>
    <row r="306" spans="5:12" ht="15.75" customHeight="1">
      <c r="E306" s="16"/>
      <c r="G306" s="63"/>
      <c r="K306" s="95"/>
      <c r="L306" s="1"/>
    </row>
    <row r="307" spans="5:12" ht="15.75" customHeight="1">
      <c r="E307" s="16"/>
      <c r="G307" s="63"/>
      <c r="K307" s="95"/>
      <c r="L307" s="1"/>
    </row>
    <row r="308" spans="5:12" ht="15.75" customHeight="1">
      <c r="E308" s="16"/>
      <c r="G308" s="63"/>
      <c r="K308" s="95"/>
      <c r="L308" s="1"/>
    </row>
    <row r="309" spans="5:12" ht="15.75" customHeight="1">
      <c r="E309" s="16"/>
      <c r="G309" s="63"/>
      <c r="K309" s="95"/>
      <c r="L309" s="1"/>
    </row>
    <row r="310" spans="5:12" ht="15.75" customHeight="1">
      <c r="E310" s="16"/>
      <c r="G310" s="63"/>
      <c r="K310" s="95"/>
      <c r="L310" s="1"/>
    </row>
    <row r="311" spans="5:12" ht="15.75" customHeight="1">
      <c r="E311" s="16"/>
      <c r="G311" s="63"/>
      <c r="K311" s="95"/>
      <c r="L311" s="1"/>
    </row>
    <row r="312" spans="5:12" ht="15.75" customHeight="1">
      <c r="E312" s="16"/>
      <c r="G312" s="63"/>
      <c r="K312" s="95"/>
      <c r="L312" s="1"/>
    </row>
    <row r="313" spans="5:12" ht="15.75" customHeight="1">
      <c r="E313" s="16"/>
      <c r="G313" s="63"/>
      <c r="K313" s="95"/>
      <c r="L313" s="1"/>
    </row>
    <row r="314" spans="5:12" ht="15.75" customHeight="1">
      <c r="E314" s="16"/>
      <c r="G314" s="63"/>
      <c r="K314" s="95"/>
      <c r="L314" s="1"/>
    </row>
    <row r="315" spans="5:12" ht="15.75" customHeight="1">
      <c r="E315" s="16"/>
      <c r="G315" s="63"/>
      <c r="K315" s="95"/>
      <c r="L315" s="1"/>
    </row>
    <row r="316" spans="5:12" ht="15.75" customHeight="1">
      <c r="E316" s="16"/>
      <c r="G316" s="63"/>
      <c r="K316" s="95"/>
      <c r="L316" s="1"/>
    </row>
    <row r="317" spans="5:12" ht="15.75" customHeight="1">
      <c r="E317" s="16"/>
      <c r="G317" s="63"/>
      <c r="K317" s="95"/>
      <c r="L317" s="1"/>
    </row>
    <row r="318" spans="5:12" ht="15.75" customHeight="1">
      <c r="E318" s="16"/>
      <c r="G318" s="63"/>
      <c r="K318" s="95"/>
      <c r="L318" s="1"/>
    </row>
    <row r="319" spans="5:12" ht="15.75" customHeight="1">
      <c r="E319" s="16"/>
      <c r="G319" s="63"/>
      <c r="K319" s="95"/>
      <c r="L319" s="1"/>
    </row>
    <row r="320" spans="5:12" ht="15.75" customHeight="1">
      <c r="E320" s="16"/>
      <c r="G320" s="63"/>
      <c r="K320" s="95"/>
      <c r="L320" s="1"/>
    </row>
    <row r="321" spans="5:12" ht="15.75" customHeight="1">
      <c r="E321" s="16"/>
      <c r="G321" s="63"/>
      <c r="K321" s="95"/>
      <c r="L321" s="1"/>
    </row>
    <row r="322" spans="5:12" ht="15.75" customHeight="1">
      <c r="E322" s="16"/>
      <c r="G322" s="63"/>
      <c r="K322" s="95"/>
      <c r="L322" s="1"/>
    </row>
    <row r="323" spans="5:12" ht="15.75" customHeight="1">
      <c r="E323" s="16"/>
      <c r="G323" s="63"/>
      <c r="K323" s="95"/>
      <c r="L323" s="1"/>
    </row>
    <row r="324" spans="5:12" ht="15.75" customHeight="1">
      <c r="E324" s="16"/>
      <c r="G324" s="63"/>
      <c r="K324" s="95"/>
      <c r="L324" s="1"/>
    </row>
    <row r="325" spans="5:12" ht="15.75" customHeight="1">
      <c r="E325" s="16"/>
      <c r="G325" s="63"/>
      <c r="K325" s="95"/>
      <c r="L325" s="1"/>
    </row>
    <row r="326" spans="5:12" ht="15.75" customHeight="1">
      <c r="E326" s="16"/>
      <c r="G326" s="63"/>
      <c r="K326" s="95"/>
      <c r="L326" s="1"/>
    </row>
    <row r="327" spans="5:12" ht="15.75" customHeight="1">
      <c r="E327" s="16"/>
      <c r="G327" s="63"/>
      <c r="K327" s="95"/>
      <c r="L327" s="1"/>
    </row>
    <row r="328" spans="5:12" ht="15.75" customHeight="1">
      <c r="E328" s="16"/>
      <c r="G328" s="63"/>
      <c r="K328" s="95"/>
      <c r="L328" s="1"/>
    </row>
    <row r="329" spans="5:12" ht="15.75" customHeight="1">
      <c r="E329" s="16"/>
      <c r="G329" s="63"/>
      <c r="K329" s="95"/>
      <c r="L329" s="1"/>
    </row>
    <row r="330" spans="5:12" ht="15.75" customHeight="1">
      <c r="E330" s="16"/>
      <c r="G330" s="63"/>
      <c r="K330" s="95"/>
      <c r="L330" s="1"/>
    </row>
    <row r="331" spans="5:12" ht="15.75" customHeight="1">
      <c r="E331" s="16"/>
      <c r="G331" s="63"/>
      <c r="K331" s="95"/>
      <c r="L331" s="1"/>
    </row>
    <row r="332" spans="5:12" ht="15.75" customHeight="1">
      <c r="E332" s="16"/>
      <c r="G332" s="63"/>
      <c r="K332" s="95"/>
      <c r="L332" s="1"/>
    </row>
    <row r="333" spans="5:12" ht="15.75" customHeight="1">
      <c r="E333" s="16"/>
      <c r="G333" s="63"/>
      <c r="K333" s="95"/>
      <c r="L333" s="1"/>
    </row>
    <row r="334" spans="5:12" ht="15.75" customHeight="1">
      <c r="E334" s="16"/>
      <c r="G334" s="63"/>
      <c r="K334" s="95"/>
      <c r="L334" s="1"/>
    </row>
    <row r="335" spans="5:12" ht="15.75" customHeight="1">
      <c r="E335" s="16"/>
      <c r="G335" s="63"/>
      <c r="K335" s="95"/>
      <c r="L335" s="1"/>
    </row>
    <row r="336" spans="5:12" ht="15.75" customHeight="1">
      <c r="E336" s="16"/>
      <c r="G336" s="63"/>
      <c r="K336" s="95"/>
      <c r="L336" s="1"/>
    </row>
    <row r="337" spans="5:12" ht="15.75" customHeight="1">
      <c r="E337" s="16"/>
      <c r="G337" s="63"/>
      <c r="K337" s="95"/>
      <c r="L337" s="1"/>
    </row>
    <row r="338" spans="5:12" ht="15.75" customHeight="1">
      <c r="E338" s="16"/>
      <c r="G338" s="63"/>
      <c r="K338" s="95"/>
      <c r="L338" s="1"/>
    </row>
    <row r="339" spans="5:12" ht="15.75" customHeight="1">
      <c r="E339" s="16"/>
      <c r="G339" s="63"/>
      <c r="K339" s="95"/>
      <c r="L339" s="1"/>
    </row>
    <row r="340" spans="5:12" ht="15.75" customHeight="1">
      <c r="E340" s="16"/>
      <c r="G340" s="63"/>
      <c r="K340" s="95"/>
      <c r="L340" s="1"/>
    </row>
    <row r="341" spans="5:12" ht="15.75" customHeight="1">
      <c r="E341" s="16"/>
      <c r="G341" s="63"/>
      <c r="K341" s="95"/>
      <c r="L341" s="1"/>
    </row>
    <row r="342" spans="5:12" ht="15.75" customHeight="1">
      <c r="E342" s="16"/>
      <c r="G342" s="63"/>
      <c r="K342" s="95"/>
      <c r="L342" s="1"/>
    </row>
    <row r="343" spans="5:12" ht="15.75" customHeight="1">
      <c r="E343" s="16"/>
      <c r="G343" s="63"/>
      <c r="K343" s="95"/>
      <c r="L343" s="1"/>
    </row>
    <row r="344" spans="5:12" ht="15.75" customHeight="1">
      <c r="E344" s="16"/>
      <c r="G344" s="63"/>
      <c r="K344" s="95"/>
      <c r="L344" s="1"/>
    </row>
    <row r="345" spans="5:12" ht="15.75" customHeight="1">
      <c r="E345" s="16"/>
      <c r="G345" s="63"/>
      <c r="K345" s="95"/>
      <c r="L345" s="1"/>
    </row>
    <row r="346" spans="5:12" ht="15.75" customHeight="1">
      <c r="E346" s="16"/>
      <c r="G346" s="63"/>
      <c r="K346" s="95"/>
      <c r="L346" s="1"/>
    </row>
    <row r="347" spans="5:12" ht="15.75" customHeight="1">
      <c r="E347" s="16"/>
      <c r="G347" s="63"/>
      <c r="K347" s="95"/>
      <c r="L347" s="1"/>
    </row>
    <row r="348" spans="5:12" ht="15.75" customHeight="1">
      <c r="E348" s="16"/>
      <c r="G348" s="63"/>
      <c r="K348" s="95"/>
      <c r="L348" s="1"/>
    </row>
    <row r="349" spans="5:12" ht="15.75" customHeight="1">
      <c r="E349" s="16"/>
      <c r="G349" s="63"/>
      <c r="K349" s="95"/>
      <c r="L349" s="1"/>
    </row>
    <row r="350" spans="5:12" ht="15.75" customHeight="1">
      <c r="E350" s="16"/>
      <c r="G350" s="63"/>
      <c r="K350" s="95"/>
      <c r="L350" s="1"/>
    </row>
    <row r="351" spans="5:12" ht="15.75" customHeight="1">
      <c r="E351" s="16"/>
      <c r="G351" s="63"/>
      <c r="K351" s="95"/>
      <c r="L351" s="1"/>
    </row>
    <row r="352" spans="5:12" ht="15.75" customHeight="1">
      <c r="E352" s="16"/>
      <c r="G352" s="63"/>
      <c r="K352" s="95"/>
      <c r="L352" s="1"/>
    </row>
    <row r="353" spans="5:12" ht="15.75" customHeight="1">
      <c r="E353" s="16"/>
      <c r="G353" s="63"/>
      <c r="K353" s="95"/>
      <c r="L353" s="1"/>
    </row>
    <row r="354" spans="5:12" ht="15.75" customHeight="1">
      <c r="E354" s="16"/>
      <c r="G354" s="63"/>
      <c r="K354" s="95"/>
      <c r="L354" s="1"/>
    </row>
    <row r="355" spans="5:12" ht="15.75" customHeight="1">
      <c r="E355" s="16"/>
      <c r="G355" s="63"/>
      <c r="K355" s="95"/>
      <c r="L355" s="1"/>
    </row>
    <row r="356" spans="5:12" ht="15.75" customHeight="1">
      <c r="E356" s="16"/>
      <c r="G356" s="63"/>
      <c r="K356" s="95"/>
      <c r="L356" s="1"/>
    </row>
    <row r="357" spans="5:12" ht="15.75" customHeight="1">
      <c r="E357" s="16"/>
      <c r="G357" s="63"/>
      <c r="K357" s="95"/>
      <c r="L357" s="1"/>
    </row>
    <row r="358" spans="5:12" ht="15.75" customHeight="1">
      <c r="E358" s="16"/>
      <c r="G358" s="63"/>
      <c r="K358" s="95"/>
      <c r="L358" s="1"/>
    </row>
    <row r="359" spans="5:12" ht="15.75" customHeight="1">
      <c r="E359" s="16"/>
      <c r="G359" s="63"/>
      <c r="K359" s="95"/>
      <c r="L359" s="1"/>
    </row>
    <row r="360" spans="5:12" ht="15.75" customHeight="1">
      <c r="E360" s="16"/>
      <c r="G360" s="63"/>
      <c r="K360" s="95"/>
      <c r="L360" s="1"/>
    </row>
    <row r="361" spans="5:12" ht="15.75" customHeight="1">
      <c r="E361" s="16"/>
      <c r="G361" s="63"/>
      <c r="K361" s="95"/>
      <c r="L361" s="1"/>
    </row>
    <row r="362" spans="5:12" ht="15.75" customHeight="1">
      <c r="E362" s="16"/>
      <c r="G362" s="63"/>
      <c r="K362" s="95"/>
      <c r="L362" s="1"/>
    </row>
    <row r="363" spans="5:12" ht="15.75" customHeight="1">
      <c r="E363" s="16"/>
      <c r="G363" s="63"/>
      <c r="K363" s="95"/>
      <c r="L363" s="1"/>
    </row>
    <row r="364" spans="5:12" ht="15.75" customHeight="1">
      <c r="E364" s="16"/>
      <c r="G364" s="63"/>
      <c r="K364" s="95"/>
      <c r="L364" s="1"/>
    </row>
    <row r="365" spans="5:12" ht="15.75" customHeight="1">
      <c r="E365" s="16"/>
      <c r="G365" s="63"/>
      <c r="K365" s="95"/>
      <c r="L365" s="1"/>
    </row>
    <row r="366" spans="5:12" ht="15.75" customHeight="1">
      <c r="E366" s="16"/>
      <c r="G366" s="63"/>
      <c r="K366" s="95"/>
      <c r="L366" s="1"/>
    </row>
    <row r="367" spans="5:12" ht="15.75" customHeight="1">
      <c r="E367" s="16"/>
      <c r="G367" s="63"/>
      <c r="K367" s="95"/>
      <c r="L367" s="1"/>
    </row>
    <row r="368" spans="5:12" ht="15.75" customHeight="1">
      <c r="E368" s="16"/>
      <c r="G368" s="63"/>
      <c r="K368" s="95"/>
      <c r="L368" s="1"/>
    </row>
    <row r="369" spans="5:12" ht="15.75" customHeight="1">
      <c r="E369" s="16"/>
      <c r="G369" s="63"/>
      <c r="K369" s="95"/>
      <c r="L369" s="1"/>
    </row>
    <row r="370" spans="5:12" ht="15.75" customHeight="1">
      <c r="E370" s="16"/>
      <c r="G370" s="63"/>
      <c r="K370" s="95"/>
      <c r="L370" s="1"/>
    </row>
    <row r="371" spans="5:12" ht="15.75" customHeight="1">
      <c r="E371" s="16"/>
      <c r="G371" s="63"/>
      <c r="K371" s="95"/>
      <c r="L371" s="1"/>
    </row>
    <row r="372" spans="5:12" ht="15.75" customHeight="1">
      <c r="E372" s="16"/>
      <c r="G372" s="63"/>
      <c r="K372" s="95"/>
      <c r="L372" s="1"/>
    </row>
    <row r="373" spans="5:12" ht="15.75" customHeight="1">
      <c r="E373" s="16"/>
      <c r="G373" s="63"/>
      <c r="K373" s="95"/>
      <c r="L373" s="1"/>
    </row>
    <row r="374" spans="5:12" ht="15.75" customHeight="1">
      <c r="E374" s="16"/>
      <c r="G374" s="63"/>
      <c r="K374" s="95"/>
      <c r="L374" s="1"/>
    </row>
    <row r="375" spans="5:12" ht="15.75" customHeight="1">
      <c r="E375" s="16"/>
      <c r="G375" s="63"/>
      <c r="K375" s="95"/>
      <c r="L375" s="1"/>
    </row>
    <row r="376" spans="5:12" ht="15.75" customHeight="1">
      <c r="E376" s="16"/>
      <c r="G376" s="63"/>
      <c r="K376" s="95"/>
      <c r="L376" s="1"/>
    </row>
    <row r="377" spans="5:12" ht="15.75" customHeight="1">
      <c r="E377" s="16"/>
      <c r="G377" s="63"/>
      <c r="K377" s="95"/>
      <c r="L377" s="1"/>
    </row>
    <row r="378" spans="5:12" ht="15.75" customHeight="1">
      <c r="E378" s="16"/>
      <c r="G378" s="63"/>
      <c r="K378" s="95"/>
      <c r="L378" s="1"/>
    </row>
    <row r="379" spans="5:12" ht="15.75" customHeight="1">
      <c r="E379" s="16"/>
      <c r="G379" s="63"/>
      <c r="K379" s="95"/>
      <c r="L379" s="1"/>
    </row>
    <row r="380" spans="5:12" ht="15.75" customHeight="1">
      <c r="E380" s="16"/>
      <c r="G380" s="63"/>
      <c r="K380" s="95"/>
      <c r="L380" s="1"/>
    </row>
    <row r="381" spans="5:12" ht="15.75" customHeight="1">
      <c r="E381" s="16"/>
      <c r="G381" s="63"/>
      <c r="K381" s="95"/>
      <c r="L381" s="1"/>
    </row>
    <row r="382" spans="5:12" ht="15.75" customHeight="1">
      <c r="E382" s="16"/>
      <c r="G382" s="63"/>
      <c r="K382" s="95"/>
      <c r="L382" s="1"/>
    </row>
    <row r="383" spans="5:12" ht="15.75" customHeight="1">
      <c r="E383" s="16"/>
      <c r="G383" s="63"/>
      <c r="K383" s="95"/>
      <c r="L383" s="1"/>
    </row>
    <row r="384" spans="5:12" ht="15.75" customHeight="1">
      <c r="E384" s="16"/>
      <c r="G384" s="63"/>
      <c r="K384" s="95"/>
      <c r="L384" s="1"/>
    </row>
    <row r="385" spans="5:12" ht="15.75" customHeight="1">
      <c r="E385" s="16"/>
      <c r="G385" s="63"/>
      <c r="K385" s="95"/>
      <c r="L385" s="1"/>
    </row>
    <row r="386" spans="5:12" ht="15.75" customHeight="1">
      <c r="E386" s="16"/>
      <c r="G386" s="63"/>
      <c r="K386" s="95"/>
      <c r="L386" s="1"/>
    </row>
    <row r="387" spans="5:12" ht="15.75" customHeight="1">
      <c r="E387" s="16"/>
      <c r="G387" s="63"/>
      <c r="K387" s="95"/>
      <c r="L387" s="1"/>
    </row>
    <row r="388" spans="5:12" ht="15.75" customHeight="1">
      <c r="E388" s="16"/>
      <c r="G388" s="63"/>
      <c r="K388" s="95"/>
      <c r="L388" s="1"/>
    </row>
    <row r="389" spans="5:12" ht="15.75" customHeight="1">
      <c r="E389" s="16"/>
      <c r="G389" s="63"/>
      <c r="K389" s="95"/>
      <c r="L389" s="1"/>
    </row>
    <row r="390" spans="5:12" ht="15.75" customHeight="1">
      <c r="E390" s="16"/>
      <c r="G390" s="63"/>
      <c r="K390" s="95"/>
      <c r="L390" s="1"/>
    </row>
    <row r="391" spans="5:12" ht="15.75" customHeight="1">
      <c r="E391" s="16"/>
      <c r="G391" s="63"/>
      <c r="K391" s="95"/>
      <c r="L391" s="1"/>
    </row>
    <row r="392" spans="5:12" ht="15.75" customHeight="1">
      <c r="E392" s="16"/>
      <c r="G392" s="63"/>
      <c r="K392" s="95"/>
      <c r="L392" s="1"/>
    </row>
    <row r="393" spans="5:12" ht="15.75" customHeight="1">
      <c r="E393" s="16"/>
      <c r="G393" s="63"/>
      <c r="K393" s="95"/>
      <c r="L393" s="1"/>
    </row>
    <row r="394" spans="5:12" ht="15.75" customHeight="1">
      <c r="E394" s="16"/>
      <c r="G394" s="63"/>
      <c r="K394" s="95"/>
      <c r="L394" s="1"/>
    </row>
    <row r="395" spans="5:12" ht="15.75" customHeight="1">
      <c r="E395" s="16"/>
      <c r="G395" s="63"/>
      <c r="K395" s="95"/>
      <c r="L395" s="1"/>
    </row>
    <row r="396" spans="5:12" ht="15.75" customHeight="1">
      <c r="E396" s="16"/>
      <c r="G396" s="63"/>
      <c r="K396" s="95"/>
      <c r="L396" s="1"/>
    </row>
    <row r="397" spans="5:12" ht="15.75" customHeight="1">
      <c r="E397" s="16"/>
      <c r="G397" s="63"/>
      <c r="K397" s="95"/>
      <c r="L397" s="1"/>
    </row>
    <row r="398" spans="5:12" ht="15.75" customHeight="1">
      <c r="E398" s="16"/>
      <c r="G398" s="63"/>
      <c r="K398" s="95"/>
      <c r="L398" s="1"/>
    </row>
    <row r="399" spans="5:12" ht="15.75" customHeight="1">
      <c r="E399" s="16"/>
      <c r="G399" s="63"/>
      <c r="K399" s="95"/>
      <c r="L399" s="1"/>
    </row>
    <row r="400" spans="5:12" ht="15.75" customHeight="1">
      <c r="E400" s="16"/>
      <c r="G400" s="63"/>
      <c r="K400" s="95"/>
      <c r="L400" s="1"/>
    </row>
    <row r="401" spans="5:12" ht="15.75" customHeight="1">
      <c r="E401" s="16"/>
      <c r="G401" s="63"/>
      <c r="K401" s="95"/>
      <c r="L401" s="1"/>
    </row>
    <row r="402" spans="5:12" ht="15.75" customHeight="1">
      <c r="E402" s="16"/>
      <c r="G402" s="63"/>
      <c r="K402" s="95"/>
      <c r="L402" s="1"/>
    </row>
    <row r="403" spans="5:12" ht="15.75" customHeight="1">
      <c r="E403" s="16"/>
      <c r="G403" s="63"/>
      <c r="K403" s="95"/>
      <c r="L403" s="1"/>
    </row>
    <row r="404" spans="5:12" ht="15.75" customHeight="1">
      <c r="E404" s="16"/>
      <c r="G404" s="63"/>
      <c r="K404" s="95"/>
      <c r="L404" s="1"/>
    </row>
    <row r="405" spans="5:12" ht="15.75" customHeight="1">
      <c r="E405" s="16"/>
      <c r="G405" s="63"/>
      <c r="K405" s="95"/>
      <c r="L405" s="1"/>
    </row>
    <row r="406" spans="5:12" ht="15.75" customHeight="1">
      <c r="E406" s="16"/>
      <c r="G406" s="63"/>
      <c r="K406" s="95"/>
      <c r="L406" s="1"/>
    </row>
    <row r="407" spans="5:12" ht="15.75" customHeight="1">
      <c r="E407" s="16"/>
      <c r="G407" s="63"/>
      <c r="K407" s="95"/>
      <c r="L407" s="1"/>
    </row>
    <row r="408" spans="5:12" ht="15.75" customHeight="1">
      <c r="E408" s="16"/>
      <c r="G408" s="63"/>
      <c r="K408" s="95"/>
      <c r="L408" s="1"/>
    </row>
    <row r="409" spans="5:12" ht="15.75" customHeight="1">
      <c r="E409" s="16"/>
      <c r="G409" s="63"/>
      <c r="K409" s="95"/>
      <c r="L409" s="1"/>
    </row>
    <row r="410" spans="5:12" ht="15.75" customHeight="1">
      <c r="E410" s="16"/>
      <c r="G410" s="63"/>
      <c r="K410" s="95"/>
      <c r="L410" s="1"/>
    </row>
    <row r="411" spans="5:12" ht="15.75" customHeight="1">
      <c r="E411" s="16"/>
      <c r="G411" s="63"/>
      <c r="K411" s="95"/>
      <c r="L411" s="1"/>
    </row>
    <row r="412" spans="5:12" ht="15.75" customHeight="1">
      <c r="E412" s="16"/>
      <c r="G412" s="63"/>
      <c r="K412" s="95"/>
      <c r="L412" s="1"/>
    </row>
    <row r="413" spans="5:12" ht="15.75" customHeight="1">
      <c r="E413" s="16"/>
      <c r="G413" s="63"/>
      <c r="K413" s="95"/>
      <c r="L413" s="1"/>
    </row>
    <row r="414" spans="5:12" ht="15.75" customHeight="1">
      <c r="E414" s="16"/>
      <c r="G414" s="63"/>
      <c r="K414" s="95"/>
      <c r="L414" s="1"/>
    </row>
    <row r="415" spans="5:12" ht="15.75" customHeight="1">
      <c r="E415" s="16"/>
      <c r="G415" s="63"/>
      <c r="K415" s="95"/>
      <c r="L415" s="1"/>
    </row>
    <row r="416" spans="5:12" ht="15.75" customHeight="1">
      <c r="E416" s="16"/>
      <c r="G416" s="63"/>
      <c r="K416" s="95"/>
      <c r="L416" s="1"/>
    </row>
    <row r="417" spans="5:12" ht="15.75" customHeight="1">
      <c r="E417" s="16"/>
      <c r="G417" s="63"/>
      <c r="K417" s="95"/>
      <c r="L417" s="1"/>
    </row>
    <row r="418" spans="5:12" ht="15.75" customHeight="1">
      <c r="E418" s="16"/>
      <c r="G418" s="63"/>
      <c r="K418" s="95"/>
      <c r="L418" s="1"/>
    </row>
    <row r="419" spans="5:12" ht="15.75" customHeight="1">
      <c r="E419" s="16"/>
      <c r="G419" s="63"/>
      <c r="K419" s="95"/>
      <c r="L419" s="1"/>
    </row>
    <row r="420" spans="5:12" ht="15.75" customHeight="1">
      <c r="E420" s="16"/>
      <c r="G420" s="63"/>
      <c r="K420" s="95"/>
      <c r="L420" s="1"/>
    </row>
    <row r="421" spans="5:12" ht="15.75" customHeight="1">
      <c r="E421" s="16"/>
      <c r="G421" s="63"/>
      <c r="K421" s="95"/>
      <c r="L421" s="1"/>
    </row>
    <row r="422" spans="5:12" ht="15.75" customHeight="1">
      <c r="E422" s="16"/>
      <c r="G422" s="63"/>
      <c r="K422" s="95"/>
      <c r="L422" s="1"/>
    </row>
    <row r="423" spans="5:12" ht="15.75" customHeight="1">
      <c r="E423" s="16"/>
      <c r="G423" s="63"/>
      <c r="K423" s="95"/>
      <c r="L423" s="1"/>
    </row>
    <row r="424" spans="5:12" ht="15.75" customHeight="1">
      <c r="E424" s="16"/>
      <c r="G424" s="63"/>
      <c r="K424" s="95"/>
      <c r="L424" s="1"/>
    </row>
    <row r="425" spans="5:12" ht="15.75" customHeight="1">
      <c r="E425" s="16"/>
      <c r="G425" s="63"/>
      <c r="K425" s="95"/>
      <c r="L425" s="1"/>
    </row>
    <row r="426" spans="5:12" ht="15.75" customHeight="1">
      <c r="E426" s="16"/>
      <c r="G426" s="63"/>
      <c r="K426" s="95"/>
      <c r="L426" s="1"/>
    </row>
    <row r="427" spans="5:12" ht="15.75" customHeight="1">
      <c r="E427" s="16"/>
      <c r="G427" s="63"/>
      <c r="K427" s="95"/>
      <c r="L427" s="1"/>
    </row>
    <row r="428" spans="5:12" ht="15.75" customHeight="1">
      <c r="E428" s="16"/>
      <c r="G428" s="63"/>
      <c r="K428" s="95"/>
      <c r="L428" s="1"/>
    </row>
    <row r="429" spans="5:12" ht="15.75" customHeight="1">
      <c r="E429" s="16"/>
      <c r="G429" s="63"/>
      <c r="K429" s="95"/>
      <c r="L429" s="1"/>
    </row>
    <row r="430" spans="5:12" ht="15.75" customHeight="1">
      <c r="E430" s="16"/>
      <c r="G430" s="63"/>
      <c r="K430" s="95"/>
      <c r="L430" s="1"/>
    </row>
    <row r="431" spans="5:12" ht="15.75" customHeight="1">
      <c r="E431" s="16"/>
      <c r="G431" s="63"/>
      <c r="K431" s="95"/>
      <c r="L431" s="1"/>
    </row>
    <row r="432" spans="5:12" ht="15.75" customHeight="1">
      <c r="E432" s="16"/>
      <c r="G432" s="63"/>
      <c r="K432" s="95"/>
      <c r="L432" s="1"/>
    </row>
    <row r="433" spans="5:12" ht="15.75" customHeight="1">
      <c r="E433" s="16"/>
      <c r="G433" s="63"/>
      <c r="K433" s="95"/>
      <c r="L433" s="1"/>
    </row>
    <row r="434" spans="5:12" ht="15.75" customHeight="1">
      <c r="E434" s="16"/>
      <c r="G434" s="63"/>
      <c r="K434" s="95"/>
      <c r="L434" s="1"/>
    </row>
    <row r="435" spans="5:12" ht="15.75" customHeight="1">
      <c r="E435" s="16"/>
      <c r="G435" s="63"/>
      <c r="K435" s="95"/>
      <c r="L435" s="1"/>
    </row>
    <row r="436" spans="5:12" ht="15.75" customHeight="1">
      <c r="E436" s="16"/>
      <c r="G436" s="63"/>
      <c r="K436" s="95"/>
      <c r="L436" s="1"/>
    </row>
    <row r="437" spans="5:12" ht="15.75" customHeight="1">
      <c r="E437" s="16"/>
      <c r="G437" s="63"/>
      <c r="K437" s="95"/>
      <c r="L437" s="1"/>
    </row>
    <row r="438" spans="5:12" ht="15.75" customHeight="1">
      <c r="E438" s="16"/>
      <c r="G438" s="63"/>
      <c r="K438" s="95"/>
      <c r="L438" s="1"/>
    </row>
    <row r="439" spans="5:12" ht="15.75" customHeight="1">
      <c r="E439" s="16"/>
      <c r="G439" s="63"/>
      <c r="K439" s="95"/>
      <c r="L439" s="1"/>
    </row>
    <row r="440" spans="5:12" ht="15.75" customHeight="1">
      <c r="E440" s="16"/>
      <c r="G440" s="63"/>
      <c r="K440" s="95"/>
      <c r="L440" s="1"/>
    </row>
    <row r="441" spans="5:12" ht="15.75" customHeight="1">
      <c r="E441" s="16"/>
      <c r="G441" s="63"/>
      <c r="K441" s="95"/>
      <c r="L441" s="1"/>
    </row>
    <row r="442" spans="5:12" ht="15.75" customHeight="1">
      <c r="E442" s="16"/>
      <c r="G442" s="63"/>
      <c r="K442" s="95"/>
      <c r="L442" s="1"/>
    </row>
    <row r="443" spans="5:12" ht="15.75" customHeight="1">
      <c r="E443" s="16"/>
      <c r="G443" s="63"/>
      <c r="K443" s="95"/>
      <c r="L443" s="1"/>
    </row>
    <row r="444" spans="5:12" ht="15.75" customHeight="1">
      <c r="E444" s="16"/>
      <c r="G444" s="63"/>
      <c r="K444" s="95"/>
      <c r="L444" s="1"/>
    </row>
    <row r="445" spans="5:12" ht="15.75" customHeight="1">
      <c r="E445" s="16"/>
      <c r="G445" s="63"/>
      <c r="K445" s="95"/>
      <c r="L445" s="1"/>
    </row>
    <row r="446" spans="5:12" ht="15.75" customHeight="1">
      <c r="E446" s="16"/>
      <c r="G446" s="63"/>
      <c r="K446" s="95"/>
      <c r="L446" s="1"/>
    </row>
    <row r="447" spans="5:12" ht="15.75" customHeight="1">
      <c r="E447" s="16"/>
      <c r="G447" s="63"/>
      <c r="K447" s="95"/>
      <c r="L447" s="1"/>
    </row>
    <row r="448" spans="5:12" ht="15.75" customHeight="1">
      <c r="E448" s="16"/>
      <c r="G448" s="63"/>
      <c r="K448" s="95"/>
      <c r="L448" s="1"/>
    </row>
    <row r="449" spans="5:12" ht="15.75" customHeight="1">
      <c r="E449" s="16"/>
      <c r="G449" s="63"/>
      <c r="K449" s="95"/>
      <c r="L449" s="1"/>
    </row>
    <row r="450" spans="5:12" ht="15.75" customHeight="1">
      <c r="E450" s="16"/>
      <c r="G450" s="63"/>
      <c r="K450" s="95"/>
      <c r="L450" s="1"/>
    </row>
    <row r="451" spans="5:12" ht="15.75" customHeight="1">
      <c r="E451" s="16"/>
      <c r="G451" s="63"/>
      <c r="K451" s="95"/>
      <c r="L451" s="1"/>
    </row>
    <row r="452" spans="5:12" ht="15.75" customHeight="1">
      <c r="E452" s="16"/>
      <c r="G452" s="63"/>
      <c r="K452" s="95"/>
      <c r="L452" s="1"/>
    </row>
    <row r="453" spans="5:12" ht="15.75" customHeight="1">
      <c r="E453" s="16"/>
      <c r="G453" s="63"/>
      <c r="K453" s="95"/>
      <c r="L453" s="1"/>
    </row>
    <row r="454" spans="5:12" ht="15.75" customHeight="1">
      <c r="E454" s="16"/>
      <c r="G454" s="63"/>
      <c r="K454" s="95"/>
      <c r="L454" s="1"/>
    </row>
    <row r="455" spans="5:12" ht="15.75" customHeight="1">
      <c r="E455" s="16"/>
      <c r="G455" s="63"/>
      <c r="K455" s="95"/>
      <c r="L455" s="1"/>
    </row>
    <row r="456" spans="5:12" ht="15.75" customHeight="1">
      <c r="E456" s="16"/>
      <c r="G456" s="63"/>
      <c r="K456" s="95"/>
      <c r="L456" s="1"/>
    </row>
    <row r="457" spans="5:12" ht="15.75" customHeight="1">
      <c r="E457" s="16"/>
      <c r="G457" s="63"/>
      <c r="K457" s="95"/>
      <c r="L457" s="1"/>
    </row>
    <row r="458" spans="5:12" ht="15.75" customHeight="1">
      <c r="E458" s="16"/>
      <c r="G458" s="63"/>
      <c r="K458" s="95"/>
      <c r="L458" s="1"/>
    </row>
    <row r="459" spans="5:12" ht="15.75" customHeight="1">
      <c r="E459" s="16"/>
      <c r="G459" s="63"/>
      <c r="K459" s="95"/>
      <c r="L459" s="1"/>
    </row>
    <row r="460" spans="5:12" ht="15.75" customHeight="1">
      <c r="E460" s="16"/>
      <c r="G460" s="63"/>
      <c r="K460" s="95"/>
      <c r="L460" s="1"/>
    </row>
    <row r="461" spans="5:12" ht="15.75" customHeight="1">
      <c r="E461" s="16"/>
      <c r="G461" s="63"/>
      <c r="K461" s="95"/>
      <c r="L461" s="1"/>
    </row>
    <row r="462" spans="5:12" ht="15.75" customHeight="1">
      <c r="E462" s="16"/>
      <c r="G462" s="63"/>
      <c r="K462" s="95"/>
      <c r="L462" s="1"/>
    </row>
    <row r="463" spans="5:12" ht="15.75" customHeight="1">
      <c r="E463" s="16"/>
      <c r="G463" s="63"/>
      <c r="K463" s="95"/>
      <c r="L463" s="1"/>
    </row>
    <row r="464" spans="5:12" ht="15.75" customHeight="1">
      <c r="E464" s="16"/>
      <c r="G464" s="63"/>
      <c r="K464" s="95"/>
      <c r="L464" s="1"/>
    </row>
    <row r="465" spans="5:12" ht="15.75" customHeight="1">
      <c r="E465" s="16"/>
      <c r="G465" s="63"/>
      <c r="K465" s="95"/>
      <c r="L465" s="1"/>
    </row>
    <row r="466" spans="5:12" ht="15.75" customHeight="1">
      <c r="E466" s="16"/>
      <c r="G466" s="63"/>
      <c r="K466" s="95"/>
      <c r="L466" s="1"/>
    </row>
    <row r="467" spans="5:12" ht="15.75" customHeight="1">
      <c r="E467" s="16"/>
      <c r="G467" s="63"/>
      <c r="K467" s="95"/>
      <c r="L467" s="1"/>
    </row>
    <row r="468" spans="5:12" ht="15.75" customHeight="1">
      <c r="E468" s="16"/>
      <c r="G468" s="63"/>
      <c r="K468" s="95"/>
      <c r="L468" s="1"/>
    </row>
    <row r="469" spans="5:12" ht="15.75" customHeight="1">
      <c r="E469" s="16"/>
      <c r="G469" s="63"/>
      <c r="K469" s="95"/>
      <c r="L469" s="1"/>
    </row>
    <row r="470" spans="5:12" ht="15.75" customHeight="1">
      <c r="E470" s="16"/>
      <c r="G470" s="63"/>
      <c r="K470" s="95"/>
      <c r="L470" s="1"/>
    </row>
    <row r="471" spans="5:12" ht="15.75" customHeight="1">
      <c r="E471" s="16"/>
      <c r="G471" s="63"/>
      <c r="K471" s="95"/>
      <c r="L471" s="1"/>
    </row>
    <row r="472" spans="5:12" ht="15.75" customHeight="1">
      <c r="E472" s="16"/>
      <c r="G472" s="63"/>
      <c r="K472" s="95"/>
      <c r="L472" s="1"/>
    </row>
    <row r="473" spans="5:12" ht="15.75" customHeight="1">
      <c r="E473" s="16"/>
      <c r="G473" s="63"/>
      <c r="K473" s="95"/>
      <c r="L473" s="1"/>
    </row>
    <row r="474" spans="5:12" ht="15.75" customHeight="1">
      <c r="E474" s="16"/>
      <c r="G474" s="63"/>
      <c r="K474" s="95"/>
      <c r="L474" s="1"/>
    </row>
    <row r="475" spans="5:12" ht="15.75" customHeight="1">
      <c r="E475" s="16"/>
      <c r="G475" s="63"/>
      <c r="K475" s="95"/>
      <c r="L475" s="1"/>
    </row>
    <row r="476" spans="5:12" ht="15.75" customHeight="1">
      <c r="E476" s="16"/>
      <c r="G476" s="63"/>
      <c r="K476" s="95"/>
      <c r="L476" s="1"/>
    </row>
    <row r="477" spans="5:12" ht="15.75" customHeight="1">
      <c r="E477" s="16"/>
      <c r="G477" s="63"/>
      <c r="K477" s="95"/>
      <c r="L477" s="1"/>
    </row>
    <row r="478" spans="5:12" ht="15.75" customHeight="1">
      <c r="E478" s="16"/>
      <c r="G478" s="63"/>
      <c r="K478" s="95"/>
      <c r="L478" s="1"/>
    </row>
    <row r="479" spans="5:12" ht="15.75" customHeight="1">
      <c r="E479" s="16"/>
      <c r="G479" s="63"/>
      <c r="K479" s="95"/>
      <c r="L479" s="1"/>
    </row>
    <row r="480" spans="5:12" ht="15.75" customHeight="1">
      <c r="E480" s="16"/>
      <c r="G480" s="63"/>
      <c r="K480" s="95"/>
      <c r="L480" s="1"/>
    </row>
    <row r="481" spans="5:12" ht="15.75" customHeight="1">
      <c r="E481" s="16"/>
      <c r="G481" s="63"/>
      <c r="K481" s="95"/>
      <c r="L481" s="1"/>
    </row>
    <row r="482" spans="5:12" ht="15.75" customHeight="1">
      <c r="E482" s="16"/>
      <c r="G482" s="63"/>
      <c r="K482" s="95"/>
      <c r="L482" s="1"/>
    </row>
    <row r="483" spans="5:12" ht="15.75" customHeight="1">
      <c r="E483" s="16"/>
      <c r="G483" s="63"/>
      <c r="K483" s="95"/>
      <c r="L483" s="1"/>
    </row>
    <row r="484" spans="5:12" ht="15.75" customHeight="1">
      <c r="E484" s="16"/>
      <c r="G484" s="63"/>
      <c r="K484" s="95"/>
      <c r="L484" s="1"/>
    </row>
    <row r="485" spans="5:12" ht="15.75" customHeight="1">
      <c r="E485" s="16"/>
      <c r="G485" s="63"/>
      <c r="K485" s="95"/>
      <c r="L485" s="1"/>
    </row>
    <row r="486" spans="5:12" ht="15.75" customHeight="1">
      <c r="E486" s="16"/>
      <c r="G486" s="63"/>
      <c r="K486" s="95"/>
      <c r="L486" s="1"/>
    </row>
    <row r="487" spans="5:12" ht="15.75" customHeight="1">
      <c r="E487" s="16"/>
      <c r="G487" s="63"/>
      <c r="K487" s="95"/>
      <c r="L487" s="1"/>
    </row>
    <row r="488" spans="5:12" ht="15.75" customHeight="1">
      <c r="E488" s="16"/>
      <c r="G488" s="63"/>
      <c r="K488" s="95"/>
      <c r="L488" s="1"/>
    </row>
    <row r="489" spans="5:12" ht="15.75" customHeight="1">
      <c r="E489" s="16"/>
      <c r="G489" s="63"/>
      <c r="K489" s="95"/>
      <c r="L489" s="1"/>
    </row>
    <row r="490" spans="5:12" ht="15.75" customHeight="1">
      <c r="E490" s="16"/>
      <c r="G490" s="63"/>
      <c r="K490" s="95"/>
      <c r="L490" s="1"/>
    </row>
    <row r="491" spans="5:12" ht="15.75" customHeight="1">
      <c r="E491" s="16"/>
      <c r="G491" s="63"/>
      <c r="K491" s="95"/>
      <c r="L491" s="1"/>
    </row>
    <row r="492" spans="5:12" ht="15.75" customHeight="1">
      <c r="E492" s="16"/>
      <c r="G492" s="63"/>
      <c r="K492" s="95"/>
      <c r="L492" s="1"/>
    </row>
    <row r="493" spans="5:12" ht="15.75" customHeight="1">
      <c r="E493" s="16"/>
      <c r="G493" s="63"/>
      <c r="K493" s="95"/>
      <c r="L493" s="1"/>
    </row>
    <row r="494" spans="5:12" ht="15.75" customHeight="1">
      <c r="E494" s="16"/>
      <c r="G494" s="63"/>
      <c r="K494" s="95"/>
      <c r="L494" s="1"/>
    </row>
    <row r="495" spans="5:12" ht="15.75" customHeight="1">
      <c r="E495" s="16"/>
      <c r="G495" s="63"/>
      <c r="K495" s="95"/>
      <c r="L495" s="1"/>
    </row>
    <row r="496" spans="5:12" ht="15.75" customHeight="1">
      <c r="E496" s="16"/>
      <c r="G496" s="63"/>
      <c r="K496" s="95"/>
      <c r="L496" s="1"/>
    </row>
    <row r="497" spans="5:12" ht="15.75" customHeight="1">
      <c r="E497" s="16"/>
      <c r="G497" s="63"/>
      <c r="K497" s="95"/>
      <c r="L497" s="1"/>
    </row>
    <row r="498" spans="5:12" ht="15.75" customHeight="1">
      <c r="E498" s="16"/>
      <c r="G498" s="63"/>
      <c r="K498" s="95"/>
      <c r="L498" s="1"/>
    </row>
    <row r="499" spans="5:12" ht="15.75" customHeight="1">
      <c r="E499" s="16"/>
      <c r="G499" s="63"/>
      <c r="K499" s="95"/>
      <c r="L499" s="1"/>
    </row>
    <row r="500" spans="5:12" ht="15.75" customHeight="1">
      <c r="E500" s="16"/>
      <c r="G500" s="63"/>
      <c r="K500" s="95"/>
      <c r="L500" s="1"/>
    </row>
    <row r="501" spans="5:12" ht="15.75" customHeight="1">
      <c r="E501" s="16"/>
      <c r="G501" s="63"/>
      <c r="K501" s="95"/>
      <c r="L501" s="1"/>
    </row>
    <row r="502" spans="5:12" ht="15.75" customHeight="1">
      <c r="E502" s="16"/>
      <c r="G502" s="63"/>
      <c r="K502" s="95"/>
      <c r="L502" s="1"/>
    </row>
    <row r="503" spans="5:12" ht="15.75" customHeight="1">
      <c r="E503" s="16"/>
      <c r="G503" s="63"/>
      <c r="K503" s="95"/>
      <c r="L503" s="1"/>
    </row>
    <row r="504" spans="5:12" ht="15.75" customHeight="1">
      <c r="E504" s="16"/>
      <c r="G504" s="63"/>
      <c r="K504" s="95"/>
      <c r="L504" s="1"/>
    </row>
    <row r="505" spans="5:12" ht="15.75" customHeight="1">
      <c r="E505" s="16"/>
      <c r="G505" s="63"/>
      <c r="K505" s="95"/>
      <c r="L505" s="1"/>
    </row>
    <row r="506" spans="5:12" ht="15.75" customHeight="1">
      <c r="E506" s="16"/>
      <c r="G506" s="63"/>
      <c r="K506" s="95"/>
      <c r="L506" s="1"/>
    </row>
    <row r="507" spans="5:12" ht="15.75" customHeight="1">
      <c r="E507" s="16"/>
      <c r="G507" s="63"/>
      <c r="K507" s="95"/>
      <c r="L507" s="1"/>
    </row>
    <row r="508" spans="5:12" ht="15.75" customHeight="1">
      <c r="E508" s="16"/>
      <c r="G508" s="63"/>
      <c r="K508" s="95"/>
      <c r="L508" s="1"/>
    </row>
    <row r="509" spans="5:12" ht="15.75" customHeight="1">
      <c r="E509" s="16"/>
      <c r="G509" s="63"/>
      <c r="K509" s="95"/>
      <c r="L509" s="1"/>
    </row>
    <row r="510" spans="5:12" ht="15.75" customHeight="1">
      <c r="E510" s="16"/>
      <c r="G510" s="63"/>
      <c r="K510" s="95"/>
      <c r="L510" s="1"/>
    </row>
    <row r="511" spans="5:12" ht="15.75" customHeight="1">
      <c r="E511" s="16"/>
      <c r="G511" s="63"/>
      <c r="K511" s="95"/>
      <c r="L511" s="1"/>
    </row>
    <row r="512" spans="5:12" ht="15.75" customHeight="1">
      <c r="E512" s="16"/>
      <c r="G512" s="63"/>
      <c r="K512" s="95"/>
      <c r="L512" s="1"/>
    </row>
    <row r="513" spans="5:12" ht="15.75" customHeight="1">
      <c r="E513" s="16"/>
      <c r="G513" s="63"/>
      <c r="K513" s="95"/>
      <c r="L513" s="1"/>
    </row>
    <row r="514" spans="5:12" ht="15.75" customHeight="1">
      <c r="E514" s="16"/>
      <c r="G514" s="63"/>
      <c r="K514" s="95"/>
      <c r="L514" s="1"/>
    </row>
    <row r="515" spans="5:12" ht="15.75" customHeight="1">
      <c r="E515" s="16"/>
      <c r="G515" s="63"/>
      <c r="K515" s="95"/>
      <c r="L515" s="1"/>
    </row>
    <row r="516" spans="5:12" ht="15.75" customHeight="1">
      <c r="E516" s="16"/>
      <c r="G516" s="63"/>
      <c r="K516" s="95"/>
      <c r="L516" s="1"/>
    </row>
    <row r="517" spans="5:12" ht="15.75" customHeight="1">
      <c r="E517" s="16"/>
      <c r="G517" s="63"/>
      <c r="K517" s="95"/>
      <c r="L517" s="1"/>
    </row>
    <row r="518" spans="5:12" ht="15.75" customHeight="1">
      <c r="E518" s="16"/>
      <c r="G518" s="63"/>
      <c r="K518" s="95"/>
      <c r="L518" s="1"/>
    </row>
    <row r="519" spans="5:12" ht="15.75" customHeight="1">
      <c r="E519" s="16"/>
      <c r="G519" s="63"/>
      <c r="K519" s="95"/>
      <c r="L519" s="1"/>
    </row>
    <row r="520" spans="5:12" ht="15.75" customHeight="1">
      <c r="E520" s="16"/>
      <c r="G520" s="63"/>
      <c r="K520" s="95"/>
      <c r="L520" s="1"/>
    </row>
    <row r="521" spans="5:12" ht="15.75" customHeight="1">
      <c r="E521" s="16"/>
      <c r="G521" s="63"/>
      <c r="K521" s="95"/>
      <c r="L521" s="1"/>
    </row>
    <row r="522" spans="5:12" ht="15.75" customHeight="1">
      <c r="E522" s="16"/>
      <c r="G522" s="63"/>
      <c r="K522" s="95"/>
      <c r="L522" s="1"/>
    </row>
    <row r="523" spans="5:12" ht="15.75" customHeight="1">
      <c r="E523" s="16"/>
      <c r="G523" s="63"/>
      <c r="K523" s="95"/>
      <c r="L523" s="1"/>
    </row>
    <row r="524" spans="5:12" ht="15.75" customHeight="1">
      <c r="E524" s="16"/>
      <c r="G524" s="63"/>
      <c r="K524" s="95"/>
      <c r="L524" s="1"/>
    </row>
    <row r="525" spans="5:12" ht="15.75" customHeight="1">
      <c r="E525" s="16"/>
      <c r="G525" s="63"/>
      <c r="K525" s="95"/>
      <c r="L525" s="1"/>
    </row>
    <row r="526" spans="5:12" ht="15.75" customHeight="1">
      <c r="E526" s="16"/>
      <c r="G526" s="63"/>
      <c r="K526" s="95"/>
      <c r="L526" s="1"/>
    </row>
    <row r="527" spans="5:12" ht="15.75" customHeight="1">
      <c r="E527" s="16"/>
      <c r="G527" s="63"/>
      <c r="K527" s="95"/>
      <c r="L527" s="1"/>
    </row>
    <row r="528" spans="5:12" ht="15.75" customHeight="1">
      <c r="E528" s="16"/>
      <c r="G528" s="63"/>
      <c r="K528" s="95"/>
      <c r="L528" s="1"/>
    </row>
    <row r="529" spans="5:12" ht="15.75" customHeight="1">
      <c r="E529" s="16"/>
      <c r="G529" s="63"/>
      <c r="K529" s="95"/>
      <c r="L529" s="1"/>
    </row>
    <row r="530" spans="5:12" ht="15.75" customHeight="1">
      <c r="E530" s="16"/>
      <c r="G530" s="63"/>
      <c r="K530" s="95"/>
      <c r="L530" s="1"/>
    </row>
    <row r="531" spans="5:12" ht="15.75" customHeight="1">
      <c r="E531" s="16"/>
      <c r="G531" s="63"/>
      <c r="K531" s="95"/>
      <c r="L531" s="1"/>
    </row>
    <row r="532" spans="5:12" ht="15.75" customHeight="1">
      <c r="E532" s="16"/>
      <c r="G532" s="63"/>
      <c r="K532" s="95"/>
      <c r="L532" s="1"/>
    </row>
    <row r="533" spans="5:12" ht="15.75" customHeight="1">
      <c r="E533" s="16"/>
      <c r="G533" s="63"/>
      <c r="K533" s="95"/>
      <c r="L533" s="1"/>
    </row>
    <row r="534" spans="5:12" ht="15.75" customHeight="1">
      <c r="E534" s="16"/>
      <c r="G534" s="63"/>
      <c r="K534" s="95"/>
      <c r="L534" s="1"/>
    </row>
    <row r="535" spans="5:12" ht="15.75" customHeight="1">
      <c r="E535" s="16"/>
      <c r="G535" s="63"/>
      <c r="K535" s="95"/>
      <c r="L535" s="1"/>
    </row>
    <row r="536" spans="5:12" ht="15.75" customHeight="1">
      <c r="E536" s="16"/>
      <c r="G536" s="63"/>
      <c r="K536" s="95"/>
      <c r="L536" s="1"/>
    </row>
    <row r="537" spans="5:12" ht="15.75" customHeight="1">
      <c r="E537" s="16"/>
      <c r="G537" s="63"/>
      <c r="K537" s="95"/>
      <c r="L537" s="1"/>
    </row>
    <row r="538" spans="5:12" ht="15.75" customHeight="1">
      <c r="E538" s="16"/>
      <c r="G538" s="63"/>
      <c r="K538" s="95"/>
      <c r="L538" s="1"/>
    </row>
    <row r="539" spans="5:12" ht="15.75" customHeight="1">
      <c r="E539" s="16"/>
      <c r="G539" s="63"/>
      <c r="K539" s="95"/>
      <c r="L539" s="1"/>
    </row>
    <row r="540" spans="5:12" ht="15.75" customHeight="1">
      <c r="E540" s="16"/>
      <c r="G540" s="63"/>
      <c r="K540" s="95"/>
      <c r="L540" s="1"/>
    </row>
    <row r="541" spans="5:12" ht="15.75" customHeight="1">
      <c r="E541" s="16"/>
      <c r="G541" s="63"/>
      <c r="K541" s="95"/>
      <c r="L541" s="1"/>
    </row>
    <row r="542" spans="5:12" ht="15.75" customHeight="1">
      <c r="E542" s="16"/>
      <c r="G542" s="63"/>
      <c r="K542" s="95"/>
      <c r="L542" s="1"/>
    </row>
    <row r="543" spans="5:12" ht="15.75" customHeight="1">
      <c r="E543" s="16"/>
      <c r="G543" s="63"/>
      <c r="K543" s="95"/>
      <c r="L543" s="1"/>
    </row>
    <row r="544" spans="5:12" ht="15.75" customHeight="1">
      <c r="E544" s="16"/>
      <c r="G544" s="63"/>
      <c r="K544" s="95"/>
      <c r="L544" s="1"/>
    </row>
    <row r="545" spans="5:12" ht="15.75" customHeight="1">
      <c r="E545" s="16"/>
      <c r="G545" s="63"/>
      <c r="K545" s="95"/>
      <c r="L545" s="1"/>
    </row>
    <row r="546" spans="5:12" ht="15.75" customHeight="1">
      <c r="E546" s="16"/>
      <c r="G546" s="63"/>
      <c r="K546" s="95"/>
      <c r="L546" s="1"/>
    </row>
    <row r="547" spans="5:12" ht="15.75" customHeight="1">
      <c r="E547" s="16"/>
      <c r="G547" s="63"/>
      <c r="K547" s="95"/>
      <c r="L547" s="1"/>
    </row>
    <row r="548" spans="5:12" ht="15.75" customHeight="1">
      <c r="E548" s="16"/>
      <c r="G548" s="63"/>
      <c r="K548" s="95"/>
      <c r="L548" s="1"/>
    </row>
    <row r="549" spans="5:12" ht="15.75" customHeight="1">
      <c r="E549" s="16"/>
      <c r="G549" s="63"/>
      <c r="K549" s="95"/>
      <c r="L549" s="1"/>
    </row>
    <row r="550" spans="5:12" ht="15.75" customHeight="1">
      <c r="E550" s="16"/>
      <c r="G550" s="63"/>
      <c r="K550" s="95"/>
      <c r="L550" s="1"/>
    </row>
    <row r="551" spans="5:12" ht="15.75" customHeight="1">
      <c r="E551" s="16"/>
      <c r="G551" s="63"/>
      <c r="K551" s="95"/>
      <c r="L551" s="1"/>
    </row>
    <row r="552" spans="5:12" ht="15.75" customHeight="1">
      <c r="E552" s="16"/>
      <c r="G552" s="63"/>
      <c r="K552" s="95"/>
      <c r="L552" s="1"/>
    </row>
    <row r="553" spans="5:12" ht="15.75" customHeight="1">
      <c r="E553" s="16"/>
      <c r="G553" s="63"/>
      <c r="K553" s="95"/>
      <c r="L553" s="1"/>
    </row>
    <row r="554" spans="5:12" ht="15.75" customHeight="1">
      <c r="E554" s="16"/>
      <c r="G554" s="63"/>
      <c r="K554" s="95"/>
      <c r="L554" s="1"/>
    </row>
    <row r="555" spans="5:12" ht="15.75" customHeight="1">
      <c r="E555" s="16"/>
      <c r="G555" s="63"/>
      <c r="K555" s="95"/>
      <c r="L555" s="1"/>
    </row>
    <row r="556" spans="5:12" ht="15.75" customHeight="1">
      <c r="E556" s="16"/>
      <c r="G556" s="63"/>
      <c r="K556" s="95"/>
      <c r="L556" s="1"/>
    </row>
    <row r="557" spans="5:12" ht="15.75" customHeight="1">
      <c r="E557" s="16"/>
      <c r="G557" s="63"/>
      <c r="K557" s="95"/>
      <c r="L557" s="1"/>
    </row>
    <row r="558" spans="5:12" ht="15.75" customHeight="1">
      <c r="E558" s="16"/>
      <c r="G558" s="63"/>
      <c r="K558" s="95"/>
      <c r="L558" s="1"/>
    </row>
    <row r="559" spans="5:12" ht="15.75" customHeight="1">
      <c r="E559" s="16"/>
      <c r="G559" s="63"/>
      <c r="K559" s="95"/>
      <c r="L559" s="1"/>
    </row>
    <row r="560" spans="5:12" ht="15.75" customHeight="1">
      <c r="E560" s="16"/>
      <c r="G560" s="63"/>
      <c r="K560" s="95"/>
      <c r="L560" s="1"/>
    </row>
    <row r="561" spans="5:12" ht="15.75" customHeight="1">
      <c r="E561" s="16"/>
      <c r="G561" s="63"/>
      <c r="K561" s="95"/>
      <c r="L561" s="1"/>
    </row>
    <row r="562" spans="5:12" ht="15.75" customHeight="1">
      <c r="E562" s="16"/>
      <c r="G562" s="63"/>
      <c r="K562" s="95"/>
      <c r="L562" s="1"/>
    </row>
    <row r="563" spans="5:12" ht="15.75" customHeight="1">
      <c r="E563" s="16"/>
      <c r="G563" s="63"/>
      <c r="K563" s="95"/>
      <c r="L563" s="1"/>
    </row>
    <row r="564" spans="5:12" ht="15.75" customHeight="1">
      <c r="E564" s="16"/>
      <c r="G564" s="63"/>
      <c r="K564" s="95"/>
      <c r="L564" s="1"/>
    </row>
    <row r="565" spans="5:12" ht="15.75" customHeight="1">
      <c r="E565" s="16"/>
      <c r="G565" s="63"/>
      <c r="K565" s="95"/>
      <c r="L565" s="1"/>
    </row>
    <row r="566" spans="5:12" ht="15.75" customHeight="1">
      <c r="E566" s="16"/>
      <c r="G566" s="63"/>
      <c r="K566" s="95"/>
      <c r="L566" s="1"/>
    </row>
    <row r="567" spans="5:12" ht="15.75" customHeight="1">
      <c r="E567" s="16"/>
      <c r="G567" s="63"/>
      <c r="K567" s="95"/>
      <c r="L567" s="1"/>
    </row>
    <row r="568" spans="5:12" ht="15.75" customHeight="1">
      <c r="E568" s="16"/>
      <c r="G568" s="63"/>
      <c r="K568" s="95"/>
      <c r="L568" s="1"/>
    </row>
    <row r="569" spans="5:12" ht="15.75" customHeight="1">
      <c r="E569" s="16"/>
      <c r="G569" s="63"/>
      <c r="K569" s="95"/>
      <c r="L569" s="1"/>
    </row>
    <row r="570" spans="5:12" ht="15.75" customHeight="1">
      <c r="E570" s="16"/>
      <c r="G570" s="63"/>
      <c r="K570" s="95"/>
      <c r="L570" s="1"/>
    </row>
    <row r="571" spans="5:12" ht="15.75" customHeight="1">
      <c r="E571" s="16"/>
      <c r="G571" s="63"/>
      <c r="K571" s="95"/>
      <c r="L571" s="1"/>
    </row>
    <row r="572" spans="5:12" ht="15.75" customHeight="1">
      <c r="E572" s="16"/>
      <c r="G572" s="63"/>
      <c r="K572" s="95"/>
      <c r="L572" s="1"/>
    </row>
    <row r="573" spans="5:12" ht="15.75" customHeight="1">
      <c r="E573" s="16"/>
      <c r="G573" s="63"/>
      <c r="K573" s="95"/>
      <c r="L573" s="1"/>
    </row>
    <row r="574" spans="5:12" ht="15.75" customHeight="1">
      <c r="E574" s="16"/>
      <c r="G574" s="63"/>
      <c r="K574" s="95"/>
      <c r="L574" s="1"/>
    </row>
    <row r="575" spans="5:12" ht="15.75" customHeight="1">
      <c r="E575" s="16"/>
      <c r="G575" s="63"/>
      <c r="K575" s="95"/>
      <c r="L575" s="1"/>
    </row>
    <row r="576" spans="5:12" ht="15.75" customHeight="1">
      <c r="E576" s="16"/>
      <c r="G576" s="63"/>
      <c r="K576" s="95"/>
      <c r="L576" s="1"/>
    </row>
    <row r="577" spans="5:12" ht="15.75" customHeight="1">
      <c r="E577" s="16"/>
      <c r="G577" s="63"/>
      <c r="K577" s="95"/>
      <c r="L577" s="1"/>
    </row>
    <row r="578" spans="5:12" ht="15.75" customHeight="1">
      <c r="E578" s="16"/>
      <c r="G578" s="63"/>
      <c r="K578" s="95"/>
      <c r="L578" s="1"/>
    </row>
    <row r="579" spans="5:12" ht="15.75" customHeight="1">
      <c r="E579" s="16"/>
      <c r="G579" s="63"/>
      <c r="K579" s="95"/>
      <c r="L579" s="1"/>
    </row>
    <row r="580" spans="5:12" ht="15.75" customHeight="1">
      <c r="E580" s="16"/>
      <c r="G580" s="63"/>
      <c r="K580" s="95"/>
      <c r="L580" s="1"/>
    </row>
    <row r="581" spans="5:12" ht="15.75" customHeight="1">
      <c r="E581" s="16"/>
      <c r="G581" s="63"/>
      <c r="K581" s="95"/>
      <c r="L581" s="1"/>
    </row>
    <row r="582" spans="5:12" ht="15.75" customHeight="1">
      <c r="E582" s="16"/>
      <c r="G582" s="63"/>
      <c r="K582" s="95"/>
      <c r="L582" s="1"/>
    </row>
    <row r="583" spans="5:12" ht="15.75" customHeight="1">
      <c r="E583" s="16"/>
      <c r="G583" s="63"/>
      <c r="K583" s="95"/>
      <c r="L583" s="1"/>
    </row>
    <row r="584" spans="5:12" ht="15.75" customHeight="1">
      <c r="E584" s="16"/>
      <c r="G584" s="63"/>
      <c r="K584" s="95"/>
      <c r="L584" s="1"/>
    </row>
    <row r="585" spans="5:12" ht="15.75" customHeight="1">
      <c r="E585" s="16"/>
      <c r="G585" s="63"/>
      <c r="K585" s="95"/>
      <c r="L585" s="1"/>
    </row>
    <row r="586" spans="5:12" ht="15.75" customHeight="1">
      <c r="E586" s="16"/>
      <c r="G586" s="63"/>
      <c r="K586" s="95"/>
      <c r="L586" s="1"/>
    </row>
    <row r="587" spans="5:12" ht="15.75" customHeight="1">
      <c r="E587" s="16"/>
      <c r="G587" s="63"/>
      <c r="K587" s="95"/>
      <c r="L587" s="1"/>
    </row>
    <row r="588" spans="5:12" ht="15.75" customHeight="1">
      <c r="E588" s="16"/>
      <c r="G588" s="63"/>
      <c r="K588" s="95"/>
      <c r="L588" s="1"/>
    </row>
    <row r="589" spans="5:12" ht="15.75" customHeight="1">
      <c r="E589" s="16"/>
      <c r="G589" s="63"/>
      <c r="K589" s="95"/>
      <c r="L589" s="1"/>
    </row>
    <row r="590" spans="5:12" ht="15.75" customHeight="1">
      <c r="E590" s="16"/>
      <c r="G590" s="63"/>
      <c r="K590" s="95"/>
      <c r="L590" s="1"/>
    </row>
    <row r="591" spans="5:12" ht="15.75" customHeight="1">
      <c r="E591" s="16"/>
      <c r="G591" s="63"/>
      <c r="K591" s="95"/>
      <c r="L591" s="1"/>
    </row>
    <row r="592" spans="5:12" ht="15.75" customHeight="1">
      <c r="E592" s="16"/>
      <c r="G592" s="63"/>
      <c r="K592" s="95"/>
      <c r="L592" s="1"/>
    </row>
    <row r="593" spans="5:12" ht="15.75" customHeight="1">
      <c r="E593" s="16"/>
      <c r="G593" s="63"/>
      <c r="K593" s="95"/>
      <c r="L593" s="1"/>
    </row>
    <row r="594" spans="5:12" ht="15.75" customHeight="1">
      <c r="E594" s="16"/>
      <c r="G594" s="63"/>
      <c r="K594" s="95"/>
      <c r="L594" s="1"/>
    </row>
    <row r="595" spans="5:12" ht="15.75" customHeight="1">
      <c r="E595" s="16"/>
      <c r="G595" s="63"/>
      <c r="K595" s="95"/>
      <c r="L595" s="1"/>
    </row>
    <row r="596" spans="5:12" ht="15.75" customHeight="1">
      <c r="E596" s="16"/>
      <c r="G596" s="63"/>
      <c r="K596" s="95"/>
      <c r="L596" s="1"/>
    </row>
    <row r="597" spans="5:12" ht="15.75" customHeight="1">
      <c r="E597" s="16"/>
      <c r="G597" s="63"/>
      <c r="K597" s="95"/>
      <c r="L597" s="1"/>
    </row>
    <row r="598" spans="5:12" ht="15.75" customHeight="1">
      <c r="E598" s="16"/>
      <c r="G598" s="63"/>
      <c r="K598" s="95"/>
      <c r="L598" s="1"/>
    </row>
    <row r="599" spans="5:12" ht="15.75" customHeight="1">
      <c r="E599" s="16"/>
      <c r="G599" s="63"/>
      <c r="K599" s="95"/>
      <c r="L599" s="1"/>
    </row>
    <row r="600" spans="5:12" ht="15.75" customHeight="1">
      <c r="E600" s="16"/>
      <c r="G600" s="63"/>
      <c r="K600" s="95"/>
      <c r="L600" s="1"/>
    </row>
    <row r="601" spans="5:12" ht="15.75" customHeight="1">
      <c r="E601" s="16"/>
      <c r="G601" s="63"/>
      <c r="K601" s="95"/>
      <c r="L601" s="1"/>
    </row>
    <row r="602" spans="5:12" ht="15.75" customHeight="1">
      <c r="E602" s="16"/>
      <c r="G602" s="63"/>
      <c r="K602" s="95"/>
      <c r="L602" s="1"/>
    </row>
    <row r="603" spans="5:12" ht="15.75" customHeight="1">
      <c r="E603" s="16"/>
      <c r="G603" s="63"/>
      <c r="K603" s="95"/>
      <c r="L603" s="1"/>
    </row>
    <row r="604" spans="5:12" ht="15.75" customHeight="1">
      <c r="E604" s="16"/>
      <c r="G604" s="63"/>
      <c r="K604" s="95"/>
      <c r="L604" s="1"/>
    </row>
    <row r="605" spans="5:12" ht="15.75" customHeight="1">
      <c r="E605" s="16"/>
      <c r="G605" s="63"/>
      <c r="K605" s="95"/>
      <c r="L605" s="1"/>
    </row>
    <row r="606" spans="5:12" ht="15.75" customHeight="1">
      <c r="E606" s="16"/>
      <c r="G606" s="63"/>
      <c r="K606" s="95"/>
      <c r="L606" s="1"/>
    </row>
    <row r="607" spans="5:12" ht="15.75" customHeight="1">
      <c r="E607" s="16"/>
      <c r="G607" s="63"/>
      <c r="K607" s="95"/>
      <c r="L607" s="1"/>
    </row>
    <row r="608" spans="5:12" ht="15.75" customHeight="1">
      <c r="E608" s="16"/>
      <c r="G608" s="63"/>
      <c r="K608" s="95"/>
      <c r="L608" s="1"/>
    </row>
    <row r="609" spans="5:12" ht="15.75" customHeight="1">
      <c r="E609" s="16"/>
      <c r="G609" s="63"/>
      <c r="K609" s="95"/>
      <c r="L609" s="1"/>
    </row>
    <row r="610" spans="5:12" ht="15.75" customHeight="1">
      <c r="E610" s="16"/>
      <c r="G610" s="63"/>
      <c r="K610" s="95"/>
      <c r="L610" s="1"/>
    </row>
    <row r="611" spans="5:12" ht="15.75" customHeight="1">
      <c r="E611" s="16"/>
      <c r="G611" s="63"/>
      <c r="K611" s="95"/>
      <c r="L611" s="1"/>
    </row>
    <row r="612" spans="5:12" ht="15.75" customHeight="1">
      <c r="E612" s="16"/>
      <c r="G612" s="63"/>
      <c r="K612" s="95"/>
      <c r="L612" s="1"/>
    </row>
    <row r="613" spans="5:12" ht="15.75" customHeight="1">
      <c r="E613" s="16"/>
      <c r="G613" s="63"/>
      <c r="K613" s="95"/>
      <c r="L613" s="1"/>
    </row>
    <row r="614" spans="5:12" ht="15.75" customHeight="1">
      <c r="E614" s="16"/>
      <c r="G614" s="63"/>
      <c r="K614" s="95"/>
      <c r="L614" s="1"/>
    </row>
    <row r="615" spans="5:12" ht="15.75" customHeight="1">
      <c r="E615" s="16"/>
      <c r="G615" s="63"/>
      <c r="K615" s="95"/>
      <c r="L615" s="1"/>
    </row>
    <row r="616" spans="5:12" ht="15.75" customHeight="1">
      <c r="E616" s="16"/>
      <c r="G616" s="63"/>
      <c r="K616" s="95"/>
      <c r="L616" s="1"/>
    </row>
    <row r="617" spans="5:12" ht="15.75" customHeight="1">
      <c r="E617" s="16"/>
      <c r="G617" s="63"/>
      <c r="K617" s="95"/>
      <c r="L617" s="1"/>
    </row>
    <row r="618" spans="5:12" ht="15.75" customHeight="1">
      <c r="E618" s="16"/>
      <c r="G618" s="63"/>
      <c r="K618" s="95"/>
      <c r="L618" s="1"/>
    </row>
    <row r="619" spans="5:12" ht="15.75" customHeight="1">
      <c r="E619" s="16"/>
      <c r="G619" s="63"/>
      <c r="K619" s="95"/>
      <c r="L619" s="1"/>
    </row>
    <row r="620" spans="5:12" ht="15.75" customHeight="1">
      <c r="E620" s="16"/>
      <c r="G620" s="63"/>
      <c r="K620" s="95"/>
      <c r="L620" s="1"/>
    </row>
    <row r="621" spans="5:12" ht="15.75" customHeight="1">
      <c r="E621" s="16"/>
      <c r="G621" s="63"/>
      <c r="K621" s="95"/>
      <c r="L621" s="1"/>
    </row>
    <row r="622" spans="5:12" ht="15.75" customHeight="1">
      <c r="E622" s="16"/>
      <c r="G622" s="63"/>
      <c r="K622" s="95"/>
      <c r="L622" s="1"/>
    </row>
    <row r="623" spans="5:12" ht="15.75" customHeight="1">
      <c r="E623" s="16"/>
      <c r="G623" s="63"/>
      <c r="K623" s="95"/>
      <c r="L623" s="1"/>
    </row>
    <row r="624" spans="5:12" ht="15.75" customHeight="1">
      <c r="E624" s="16"/>
      <c r="G624" s="63"/>
      <c r="K624" s="95"/>
      <c r="L624" s="1"/>
    </row>
    <row r="625" spans="5:12" ht="15.75" customHeight="1">
      <c r="E625" s="16"/>
      <c r="G625" s="63"/>
      <c r="K625" s="95"/>
      <c r="L625" s="1"/>
    </row>
    <row r="626" spans="5:12" ht="15.75" customHeight="1">
      <c r="E626" s="16"/>
      <c r="G626" s="63"/>
      <c r="K626" s="95"/>
      <c r="L626" s="1"/>
    </row>
    <row r="627" spans="5:12" ht="15.75" customHeight="1">
      <c r="E627" s="16"/>
      <c r="G627" s="63"/>
      <c r="K627" s="95"/>
      <c r="L627" s="1"/>
    </row>
    <row r="628" spans="5:12" ht="15.75" customHeight="1">
      <c r="E628" s="16"/>
      <c r="G628" s="63"/>
      <c r="K628" s="95"/>
      <c r="L628" s="1"/>
    </row>
    <row r="629" spans="5:12" ht="15.75" customHeight="1">
      <c r="E629" s="16"/>
      <c r="G629" s="63"/>
      <c r="K629" s="95"/>
      <c r="L629" s="1"/>
    </row>
    <row r="630" spans="5:12" ht="15.75" customHeight="1">
      <c r="E630" s="16"/>
      <c r="G630" s="63"/>
      <c r="K630" s="95"/>
      <c r="L630" s="1"/>
    </row>
    <row r="631" spans="5:12" ht="15.75" customHeight="1">
      <c r="E631" s="16"/>
      <c r="G631" s="63"/>
      <c r="K631" s="95"/>
      <c r="L631" s="1"/>
    </row>
    <row r="632" spans="5:12" ht="15.75" customHeight="1">
      <c r="E632" s="16"/>
      <c r="G632" s="63"/>
      <c r="K632" s="95"/>
      <c r="L632" s="1"/>
    </row>
    <row r="633" spans="5:12" ht="15.75" customHeight="1">
      <c r="E633" s="16"/>
      <c r="G633" s="63"/>
      <c r="K633" s="95"/>
      <c r="L633" s="1"/>
    </row>
    <row r="634" spans="5:12" ht="15.75" customHeight="1">
      <c r="E634" s="16"/>
      <c r="G634" s="63"/>
      <c r="K634" s="95"/>
      <c r="L634" s="1"/>
    </row>
    <row r="635" spans="5:12" ht="15.75" customHeight="1">
      <c r="E635" s="16"/>
      <c r="G635" s="63"/>
      <c r="K635" s="95"/>
      <c r="L635" s="1"/>
    </row>
    <row r="636" spans="5:12" ht="15.75" customHeight="1">
      <c r="E636" s="16"/>
      <c r="G636" s="63"/>
      <c r="K636" s="95"/>
      <c r="L636" s="1"/>
    </row>
    <row r="637" spans="5:12" ht="15.75" customHeight="1">
      <c r="E637" s="16"/>
      <c r="G637" s="63"/>
      <c r="K637" s="95"/>
      <c r="L637" s="1"/>
    </row>
    <row r="638" spans="5:12" ht="15.75" customHeight="1">
      <c r="E638" s="16"/>
      <c r="G638" s="63"/>
      <c r="K638" s="95"/>
      <c r="L638" s="1"/>
    </row>
    <row r="639" spans="5:12" ht="15.75" customHeight="1">
      <c r="E639" s="16"/>
      <c r="G639" s="63"/>
      <c r="K639" s="95"/>
      <c r="L639" s="1"/>
    </row>
    <row r="640" spans="5:12" ht="15.75" customHeight="1">
      <c r="E640" s="16"/>
      <c r="G640" s="63"/>
      <c r="K640" s="95"/>
      <c r="L640" s="1"/>
    </row>
    <row r="641" spans="5:12" ht="15.75" customHeight="1">
      <c r="E641" s="16"/>
      <c r="G641" s="63"/>
      <c r="K641" s="95"/>
      <c r="L641" s="1"/>
    </row>
    <row r="642" spans="5:12" ht="15.75" customHeight="1">
      <c r="E642" s="16"/>
      <c r="G642" s="63"/>
      <c r="K642" s="95"/>
      <c r="L642" s="1"/>
    </row>
    <row r="643" spans="5:12" ht="15.75" customHeight="1">
      <c r="E643" s="16"/>
      <c r="G643" s="63"/>
      <c r="K643" s="95"/>
      <c r="L643" s="1"/>
    </row>
    <row r="644" spans="5:12" ht="15.75" customHeight="1">
      <c r="E644" s="16"/>
      <c r="G644" s="63"/>
      <c r="K644" s="95"/>
      <c r="L644" s="1"/>
    </row>
    <row r="645" spans="5:12" ht="15.75" customHeight="1">
      <c r="E645" s="16"/>
      <c r="G645" s="63"/>
      <c r="K645" s="95"/>
      <c r="L645" s="1"/>
    </row>
    <row r="646" spans="5:12" ht="15.75" customHeight="1">
      <c r="E646" s="16"/>
      <c r="G646" s="63"/>
      <c r="K646" s="95"/>
      <c r="L646" s="1"/>
    </row>
    <row r="647" spans="5:12" ht="15.75" customHeight="1">
      <c r="E647" s="16"/>
      <c r="G647" s="63"/>
      <c r="K647" s="95"/>
      <c r="L647" s="1"/>
    </row>
    <row r="648" spans="5:12" ht="15.75" customHeight="1">
      <c r="E648" s="16"/>
      <c r="G648" s="63"/>
      <c r="K648" s="95"/>
      <c r="L648" s="1"/>
    </row>
    <row r="649" spans="5:12" ht="15.75" customHeight="1">
      <c r="E649" s="16"/>
      <c r="G649" s="63"/>
      <c r="K649" s="95"/>
      <c r="L649" s="1"/>
    </row>
    <row r="650" spans="5:12" ht="15.75" customHeight="1">
      <c r="E650" s="16"/>
      <c r="G650" s="63"/>
      <c r="K650" s="95"/>
      <c r="L650" s="1"/>
    </row>
    <row r="651" spans="5:12" ht="15.75" customHeight="1">
      <c r="E651" s="16"/>
      <c r="G651" s="63"/>
      <c r="K651" s="95"/>
      <c r="L651" s="1"/>
    </row>
    <row r="652" spans="5:12" ht="15.75" customHeight="1">
      <c r="E652" s="16"/>
      <c r="G652" s="63"/>
      <c r="K652" s="95"/>
      <c r="L652" s="1"/>
    </row>
    <row r="653" spans="5:12" ht="15.75" customHeight="1">
      <c r="E653" s="16"/>
      <c r="G653" s="63"/>
      <c r="K653" s="95"/>
      <c r="L653" s="1"/>
    </row>
    <row r="654" spans="5:12" ht="15.75" customHeight="1">
      <c r="E654" s="16"/>
      <c r="G654" s="63"/>
      <c r="K654" s="95"/>
      <c r="L654" s="1"/>
    </row>
    <row r="655" spans="5:12" ht="15.75" customHeight="1">
      <c r="E655" s="16"/>
      <c r="G655" s="63"/>
      <c r="K655" s="95"/>
      <c r="L655" s="1"/>
    </row>
    <row r="656" spans="5:12" ht="15.75" customHeight="1">
      <c r="E656" s="16"/>
      <c r="G656" s="63"/>
      <c r="K656" s="95"/>
      <c r="L656" s="1"/>
    </row>
    <row r="657" spans="5:12" ht="15.75" customHeight="1">
      <c r="E657" s="16"/>
      <c r="G657" s="63"/>
      <c r="K657" s="95"/>
      <c r="L657" s="1"/>
    </row>
    <row r="658" spans="5:12" ht="15.75" customHeight="1">
      <c r="E658" s="16"/>
      <c r="G658" s="63"/>
      <c r="K658" s="95"/>
      <c r="L658" s="1"/>
    </row>
    <row r="659" spans="5:12" ht="15.75" customHeight="1">
      <c r="E659" s="16"/>
      <c r="G659" s="63"/>
      <c r="K659" s="95"/>
      <c r="L659" s="1"/>
    </row>
    <row r="660" spans="5:12" ht="15.75" customHeight="1">
      <c r="E660" s="16"/>
      <c r="G660" s="63"/>
      <c r="K660" s="95"/>
      <c r="L660" s="1"/>
    </row>
    <row r="661" spans="5:12" ht="15.75" customHeight="1">
      <c r="E661" s="16"/>
      <c r="G661" s="63"/>
      <c r="K661" s="95"/>
      <c r="L661" s="1"/>
    </row>
    <row r="662" spans="5:12" ht="15.75" customHeight="1">
      <c r="E662" s="16"/>
      <c r="G662" s="63"/>
      <c r="K662" s="95"/>
      <c r="L662" s="1"/>
    </row>
    <row r="663" spans="5:12" ht="15.75" customHeight="1">
      <c r="E663" s="16"/>
      <c r="G663" s="63"/>
      <c r="K663" s="95"/>
      <c r="L663" s="1"/>
    </row>
    <row r="664" spans="5:12" ht="15.75" customHeight="1">
      <c r="E664" s="16"/>
      <c r="G664" s="63"/>
      <c r="K664" s="95"/>
      <c r="L664" s="1"/>
    </row>
    <row r="665" spans="5:12" ht="15.75" customHeight="1">
      <c r="E665" s="16"/>
      <c r="G665" s="63"/>
      <c r="K665" s="95"/>
      <c r="L665" s="1"/>
    </row>
    <row r="666" spans="5:12" ht="15.75" customHeight="1">
      <c r="E666" s="16"/>
      <c r="G666" s="63"/>
      <c r="K666" s="95"/>
      <c r="L666" s="1"/>
    </row>
    <row r="667" spans="5:12" ht="15.75" customHeight="1">
      <c r="E667" s="16"/>
      <c r="G667" s="63"/>
      <c r="K667" s="95"/>
      <c r="L667" s="1"/>
    </row>
    <row r="668" spans="5:12" ht="15.75" customHeight="1">
      <c r="E668" s="16"/>
      <c r="G668" s="63"/>
      <c r="K668" s="95"/>
      <c r="L668" s="1"/>
    </row>
    <row r="669" spans="5:12" ht="15.75" customHeight="1">
      <c r="E669" s="16"/>
      <c r="G669" s="63"/>
      <c r="K669" s="95"/>
      <c r="L669" s="1"/>
    </row>
    <row r="670" spans="5:12" ht="15.75" customHeight="1">
      <c r="E670" s="16"/>
      <c r="G670" s="63"/>
      <c r="K670" s="95"/>
      <c r="L670" s="1"/>
    </row>
    <row r="671" spans="5:12" ht="15.75" customHeight="1">
      <c r="E671" s="16"/>
      <c r="G671" s="63"/>
      <c r="K671" s="95"/>
      <c r="L671" s="1"/>
    </row>
    <row r="672" spans="5:12" ht="15.75" customHeight="1">
      <c r="E672" s="16"/>
      <c r="G672" s="63"/>
      <c r="K672" s="95"/>
      <c r="L672" s="1"/>
    </row>
    <row r="673" spans="5:12" ht="15.75" customHeight="1">
      <c r="E673" s="16"/>
      <c r="G673" s="63"/>
      <c r="K673" s="95"/>
      <c r="L673" s="1"/>
    </row>
    <row r="674" spans="5:12" ht="15.75" customHeight="1">
      <c r="E674" s="16"/>
      <c r="G674" s="63"/>
      <c r="K674" s="95"/>
      <c r="L674" s="1"/>
    </row>
    <row r="675" spans="5:12" ht="15.75" customHeight="1">
      <c r="E675" s="16"/>
      <c r="G675" s="63"/>
      <c r="K675" s="95"/>
      <c r="L675" s="1"/>
    </row>
    <row r="676" spans="5:12" ht="15.75" customHeight="1">
      <c r="E676" s="16"/>
      <c r="G676" s="63"/>
      <c r="K676" s="95"/>
      <c r="L676" s="1"/>
    </row>
    <row r="677" spans="5:12" ht="15.75" customHeight="1">
      <c r="E677" s="16"/>
      <c r="G677" s="63"/>
      <c r="K677" s="95"/>
      <c r="L677" s="1"/>
    </row>
    <row r="678" spans="5:12" ht="15.75" customHeight="1">
      <c r="E678" s="16"/>
      <c r="G678" s="63"/>
      <c r="K678" s="95"/>
      <c r="L678" s="1"/>
    </row>
    <row r="679" spans="5:12" ht="15.75" customHeight="1">
      <c r="E679" s="16"/>
      <c r="G679" s="63"/>
      <c r="K679" s="95"/>
      <c r="L679" s="1"/>
    </row>
    <row r="680" spans="5:12" ht="15.75" customHeight="1">
      <c r="E680" s="16"/>
      <c r="G680" s="63"/>
      <c r="K680" s="95"/>
      <c r="L680" s="1"/>
    </row>
    <row r="681" spans="5:12" ht="15.75" customHeight="1">
      <c r="E681" s="16"/>
      <c r="G681" s="63"/>
      <c r="K681" s="95"/>
      <c r="L681" s="1"/>
    </row>
    <row r="682" spans="5:12" ht="15.75" customHeight="1">
      <c r="E682" s="16"/>
      <c r="G682" s="63"/>
      <c r="K682" s="95"/>
      <c r="L682" s="1"/>
    </row>
    <row r="683" spans="5:12" ht="15.75" customHeight="1">
      <c r="E683" s="16"/>
      <c r="G683" s="63"/>
      <c r="K683" s="95"/>
      <c r="L683" s="1"/>
    </row>
    <row r="684" spans="5:12" ht="15.75" customHeight="1">
      <c r="E684" s="16"/>
      <c r="G684" s="63"/>
      <c r="K684" s="95"/>
      <c r="L684" s="1"/>
    </row>
    <row r="685" spans="5:12" ht="15.75" customHeight="1">
      <c r="E685" s="16"/>
      <c r="G685" s="63"/>
      <c r="K685" s="95"/>
      <c r="L685" s="1"/>
    </row>
    <row r="686" spans="5:12" ht="15.75" customHeight="1">
      <c r="E686" s="16"/>
      <c r="G686" s="63"/>
      <c r="K686" s="95"/>
      <c r="L686" s="1"/>
    </row>
    <row r="687" spans="5:12" ht="15.75" customHeight="1">
      <c r="E687" s="16"/>
      <c r="G687" s="63"/>
      <c r="K687" s="95"/>
      <c r="L687" s="1"/>
    </row>
    <row r="688" spans="5:12" ht="15.75" customHeight="1">
      <c r="E688" s="16"/>
      <c r="G688" s="63"/>
      <c r="K688" s="95"/>
      <c r="L688" s="1"/>
    </row>
    <row r="689" spans="5:12" ht="15.75" customHeight="1">
      <c r="E689" s="16"/>
      <c r="G689" s="63"/>
      <c r="K689" s="95"/>
      <c r="L689" s="1"/>
    </row>
    <row r="690" spans="5:12" ht="15.75" customHeight="1">
      <c r="E690" s="16"/>
      <c r="G690" s="63"/>
      <c r="K690" s="95"/>
      <c r="L690" s="1"/>
    </row>
    <row r="691" spans="5:12" ht="15.75" customHeight="1">
      <c r="E691" s="16"/>
      <c r="G691" s="63"/>
      <c r="K691" s="95"/>
      <c r="L691" s="1"/>
    </row>
    <row r="692" spans="5:12" ht="15.75" customHeight="1">
      <c r="E692" s="16"/>
      <c r="G692" s="63"/>
      <c r="K692" s="95"/>
      <c r="L692" s="1"/>
    </row>
    <row r="693" spans="5:12" ht="15.75" customHeight="1">
      <c r="E693" s="16"/>
      <c r="G693" s="63"/>
      <c r="K693" s="95"/>
      <c r="L693" s="1"/>
    </row>
    <row r="694" spans="5:12" ht="15.75" customHeight="1">
      <c r="E694" s="16"/>
      <c r="G694" s="63"/>
      <c r="K694" s="95"/>
      <c r="L694" s="1"/>
    </row>
    <row r="695" spans="5:12" ht="15.75" customHeight="1">
      <c r="E695" s="16"/>
      <c r="G695" s="63"/>
      <c r="K695" s="95"/>
      <c r="L695" s="1"/>
    </row>
    <row r="696" spans="5:12" ht="15.75" customHeight="1">
      <c r="E696" s="16"/>
      <c r="G696" s="63"/>
      <c r="K696" s="95"/>
      <c r="L696" s="1"/>
    </row>
    <row r="697" spans="5:12" ht="15.75" customHeight="1">
      <c r="E697" s="16"/>
      <c r="G697" s="63"/>
      <c r="K697" s="95"/>
      <c r="L697" s="1"/>
    </row>
    <row r="698" spans="5:12" ht="15.75" customHeight="1">
      <c r="E698" s="16"/>
      <c r="G698" s="63"/>
      <c r="K698" s="95"/>
      <c r="L698" s="1"/>
    </row>
    <row r="699" spans="5:12" ht="15.75" customHeight="1">
      <c r="E699" s="16"/>
      <c r="G699" s="63"/>
      <c r="K699" s="95"/>
      <c r="L699" s="1"/>
    </row>
    <row r="700" spans="5:12" ht="15.75" customHeight="1">
      <c r="E700" s="16"/>
      <c r="G700" s="63"/>
      <c r="K700" s="95"/>
      <c r="L700" s="1"/>
    </row>
    <row r="701" spans="5:12" ht="15.75" customHeight="1">
      <c r="E701" s="16"/>
      <c r="G701" s="63"/>
      <c r="K701" s="95"/>
      <c r="L701" s="1"/>
    </row>
    <row r="702" spans="5:12" ht="15.75" customHeight="1">
      <c r="E702" s="16"/>
      <c r="G702" s="63"/>
      <c r="K702" s="95"/>
      <c r="L702" s="1"/>
    </row>
    <row r="703" spans="5:12" ht="15.75" customHeight="1">
      <c r="E703" s="16"/>
      <c r="G703" s="63"/>
      <c r="K703" s="95"/>
      <c r="L703" s="1"/>
    </row>
    <row r="704" spans="5:12" ht="15.75" customHeight="1">
      <c r="E704" s="16"/>
      <c r="G704" s="63"/>
      <c r="K704" s="95"/>
      <c r="L704" s="1"/>
    </row>
    <row r="705" spans="5:12" ht="15.75" customHeight="1">
      <c r="E705" s="16"/>
      <c r="G705" s="63"/>
      <c r="K705" s="95"/>
      <c r="L705" s="1"/>
    </row>
    <row r="706" spans="5:12" ht="15.75" customHeight="1">
      <c r="E706" s="16"/>
      <c r="G706" s="63"/>
      <c r="K706" s="95"/>
      <c r="L706" s="1"/>
    </row>
    <row r="707" spans="5:12" ht="15.75" customHeight="1">
      <c r="E707" s="16"/>
      <c r="G707" s="63"/>
      <c r="K707" s="95"/>
      <c r="L707" s="1"/>
    </row>
    <row r="708" spans="5:12" ht="15.75" customHeight="1">
      <c r="E708" s="16"/>
      <c r="G708" s="63"/>
      <c r="K708" s="95"/>
      <c r="L708" s="1"/>
    </row>
    <row r="709" spans="5:12" ht="15.75" customHeight="1">
      <c r="E709" s="16"/>
      <c r="G709" s="63"/>
      <c r="K709" s="95"/>
      <c r="L709" s="1"/>
    </row>
    <row r="710" spans="5:12" ht="15.75" customHeight="1">
      <c r="E710" s="16"/>
      <c r="G710" s="63"/>
      <c r="K710" s="95"/>
      <c r="L710" s="1"/>
    </row>
    <row r="711" spans="5:12" ht="15.75" customHeight="1">
      <c r="E711" s="16"/>
      <c r="G711" s="63"/>
      <c r="K711" s="95"/>
      <c r="L711" s="1"/>
    </row>
    <row r="712" spans="5:12" ht="15.75" customHeight="1">
      <c r="E712" s="16"/>
      <c r="G712" s="63"/>
      <c r="K712" s="95"/>
      <c r="L712" s="1"/>
    </row>
    <row r="713" spans="5:12" ht="15.75" customHeight="1">
      <c r="E713" s="16"/>
      <c r="G713" s="63"/>
      <c r="K713" s="95"/>
      <c r="L713" s="1"/>
    </row>
    <row r="714" spans="5:12" ht="15.75" customHeight="1">
      <c r="E714" s="16"/>
      <c r="G714" s="63"/>
      <c r="K714" s="95"/>
      <c r="L714" s="1"/>
    </row>
    <row r="715" spans="5:12" ht="15.75" customHeight="1">
      <c r="E715" s="16"/>
      <c r="G715" s="63"/>
      <c r="K715" s="95"/>
      <c r="L715" s="1"/>
    </row>
    <row r="716" spans="5:12" ht="15.75" customHeight="1">
      <c r="E716" s="16"/>
      <c r="G716" s="63"/>
      <c r="K716" s="95"/>
      <c r="L716" s="1"/>
    </row>
    <row r="717" spans="5:12" ht="15.75" customHeight="1">
      <c r="E717" s="16"/>
      <c r="G717" s="63"/>
      <c r="K717" s="95"/>
      <c r="L717" s="1"/>
    </row>
    <row r="718" spans="5:12" ht="15.75" customHeight="1">
      <c r="E718" s="16"/>
      <c r="G718" s="63"/>
      <c r="K718" s="95"/>
      <c r="L718" s="1"/>
    </row>
    <row r="719" spans="5:12" ht="15.75" customHeight="1">
      <c r="E719" s="16"/>
      <c r="G719" s="63"/>
      <c r="K719" s="95"/>
      <c r="L719" s="1"/>
    </row>
    <row r="720" spans="5:12" ht="15.75" customHeight="1">
      <c r="E720" s="16"/>
      <c r="G720" s="63"/>
      <c r="K720" s="95"/>
      <c r="L720" s="1"/>
    </row>
    <row r="721" spans="5:12" ht="15.75" customHeight="1">
      <c r="E721" s="16"/>
      <c r="G721" s="63"/>
      <c r="K721" s="95"/>
      <c r="L721" s="1"/>
    </row>
    <row r="722" spans="5:12" ht="15.75" customHeight="1">
      <c r="E722" s="16"/>
      <c r="G722" s="63"/>
      <c r="K722" s="95"/>
      <c r="L722" s="1"/>
    </row>
    <row r="723" spans="5:12" ht="15.75" customHeight="1">
      <c r="E723" s="16"/>
      <c r="G723" s="63"/>
      <c r="K723" s="95"/>
      <c r="L723" s="1"/>
    </row>
    <row r="724" spans="5:12" ht="15.75" customHeight="1">
      <c r="E724" s="16"/>
      <c r="G724" s="63"/>
      <c r="K724" s="95"/>
      <c r="L724" s="1"/>
    </row>
    <row r="725" spans="5:12" ht="15.75" customHeight="1">
      <c r="E725" s="16"/>
      <c r="G725" s="63"/>
      <c r="K725" s="95"/>
      <c r="L725" s="1"/>
    </row>
    <row r="726" spans="5:12" ht="15.75" customHeight="1">
      <c r="E726" s="16"/>
      <c r="G726" s="63"/>
      <c r="K726" s="95"/>
      <c r="L726" s="1"/>
    </row>
    <row r="727" spans="5:12" ht="15.75" customHeight="1">
      <c r="E727" s="16"/>
      <c r="G727" s="63"/>
      <c r="K727" s="95"/>
      <c r="L727" s="1"/>
    </row>
    <row r="728" spans="5:12" ht="15.75" customHeight="1">
      <c r="E728" s="16"/>
      <c r="G728" s="63"/>
      <c r="K728" s="95"/>
      <c r="L728" s="1"/>
    </row>
    <row r="729" spans="5:12" ht="15.75" customHeight="1">
      <c r="E729" s="16"/>
      <c r="G729" s="63"/>
      <c r="K729" s="95"/>
      <c r="L729" s="1"/>
    </row>
    <row r="730" spans="5:12" ht="15.75" customHeight="1">
      <c r="E730" s="16"/>
      <c r="G730" s="63"/>
      <c r="K730" s="95"/>
      <c r="L730" s="1"/>
    </row>
    <row r="731" spans="5:12" ht="15.75" customHeight="1">
      <c r="E731" s="16"/>
      <c r="G731" s="63"/>
      <c r="K731" s="95"/>
      <c r="L731" s="1"/>
    </row>
    <row r="732" spans="5:12" ht="15.75" customHeight="1">
      <c r="E732" s="16"/>
      <c r="G732" s="63"/>
      <c r="K732" s="95"/>
      <c r="L732" s="1"/>
    </row>
    <row r="733" spans="5:12" ht="15.75" customHeight="1">
      <c r="E733" s="16"/>
      <c r="G733" s="63"/>
      <c r="K733" s="95"/>
      <c r="L733" s="1"/>
    </row>
    <row r="734" spans="5:12" ht="15.75" customHeight="1">
      <c r="E734" s="16"/>
      <c r="G734" s="63"/>
      <c r="K734" s="95"/>
      <c r="L734" s="1"/>
    </row>
    <row r="735" spans="5:12" ht="15.75" customHeight="1">
      <c r="E735" s="16"/>
      <c r="G735" s="63"/>
      <c r="K735" s="95"/>
      <c r="L735" s="1"/>
    </row>
    <row r="736" spans="5:12" ht="15.75" customHeight="1">
      <c r="E736" s="16"/>
      <c r="G736" s="63"/>
      <c r="K736" s="95"/>
      <c r="L736" s="1"/>
    </row>
    <row r="737" spans="5:12" ht="15.75" customHeight="1">
      <c r="E737" s="16"/>
      <c r="G737" s="63"/>
      <c r="K737" s="95"/>
      <c r="L737" s="1"/>
    </row>
    <row r="738" spans="5:12" ht="15.75" customHeight="1">
      <c r="E738" s="16"/>
      <c r="G738" s="63"/>
      <c r="K738" s="95"/>
      <c r="L738" s="1"/>
    </row>
    <row r="739" spans="5:12" ht="15.75" customHeight="1">
      <c r="E739" s="16"/>
      <c r="G739" s="63"/>
      <c r="K739" s="95"/>
      <c r="L739" s="1"/>
    </row>
    <row r="740" spans="5:12" ht="15.75" customHeight="1">
      <c r="E740" s="16"/>
      <c r="G740" s="63"/>
      <c r="K740" s="95"/>
      <c r="L740" s="1"/>
    </row>
    <row r="741" spans="5:12" ht="15.75" customHeight="1">
      <c r="E741" s="16"/>
      <c r="G741" s="63"/>
      <c r="K741" s="95"/>
      <c r="L741" s="1"/>
    </row>
    <row r="742" spans="5:12" ht="15.75" customHeight="1">
      <c r="E742" s="16"/>
      <c r="G742" s="63"/>
      <c r="K742" s="95"/>
      <c r="L742" s="1"/>
    </row>
    <row r="743" spans="5:12" ht="15.75" customHeight="1">
      <c r="E743" s="16"/>
      <c r="G743" s="63"/>
      <c r="K743" s="95"/>
      <c r="L743" s="1"/>
    </row>
    <row r="744" spans="5:12" ht="15.75" customHeight="1">
      <c r="E744" s="16"/>
      <c r="G744" s="63"/>
      <c r="K744" s="95"/>
      <c r="L744" s="1"/>
    </row>
    <row r="745" spans="5:12" ht="15.75" customHeight="1">
      <c r="E745" s="16"/>
      <c r="G745" s="63"/>
      <c r="K745" s="95"/>
      <c r="L745" s="1"/>
    </row>
    <row r="746" spans="5:12" ht="15.75" customHeight="1">
      <c r="E746" s="16"/>
      <c r="G746" s="63"/>
      <c r="K746" s="95"/>
      <c r="L746" s="1"/>
    </row>
    <row r="747" spans="5:12" ht="15.75" customHeight="1">
      <c r="E747" s="16"/>
      <c r="G747" s="63"/>
      <c r="K747" s="95"/>
      <c r="L747" s="1"/>
    </row>
    <row r="748" spans="5:12" ht="15.75" customHeight="1">
      <c r="E748" s="16"/>
      <c r="G748" s="63"/>
      <c r="K748" s="95"/>
      <c r="L748" s="1"/>
    </row>
    <row r="749" spans="5:12" ht="15.75" customHeight="1">
      <c r="E749" s="16"/>
      <c r="G749" s="63"/>
      <c r="K749" s="95"/>
      <c r="L749" s="1"/>
    </row>
    <row r="750" spans="5:12" ht="15.75" customHeight="1">
      <c r="E750" s="16"/>
      <c r="G750" s="63"/>
      <c r="K750" s="95"/>
      <c r="L750" s="1"/>
    </row>
    <row r="751" spans="5:12" ht="15.75" customHeight="1">
      <c r="E751" s="16"/>
      <c r="G751" s="63"/>
      <c r="K751" s="95"/>
      <c r="L751" s="1"/>
    </row>
    <row r="752" spans="5:12" ht="15.75" customHeight="1">
      <c r="E752" s="16"/>
      <c r="G752" s="63"/>
      <c r="K752" s="95"/>
      <c r="L752" s="1"/>
    </row>
    <row r="753" spans="5:12" ht="15.75" customHeight="1">
      <c r="E753" s="16"/>
      <c r="G753" s="63"/>
      <c r="K753" s="95"/>
      <c r="L753" s="1"/>
    </row>
    <row r="754" spans="5:12" ht="15.75" customHeight="1">
      <c r="E754" s="16"/>
      <c r="G754" s="63"/>
      <c r="K754" s="95"/>
      <c r="L754" s="1"/>
    </row>
    <row r="755" spans="5:12" ht="15.75" customHeight="1">
      <c r="E755" s="16"/>
      <c r="G755" s="63"/>
      <c r="K755" s="95"/>
      <c r="L755" s="1"/>
    </row>
    <row r="756" spans="5:12" ht="15.75" customHeight="1">
      <c r="E756" s="16"/>
      <c r="G756" s="63"/>
      <c r="K756" s="95"/>
      <c r="L756" s="1"/>
    </row>
    <row r="757" spans="5:12" ht="15.75" customHeight="1">
      <c r="E757" s="16"/>
      <c r="G757" s="63"/>
      <c r="K757" s="95"/>
      <c r="L757" s="1"/>
    </row>
    <row r="758" spans="5:12" ht="15.75" customHeight="1">
      <c r="E758" s="16"/>
      <c r="G758" s="63"/>
      <c r="K758" s="95"/>
      <c r="L758" s="1"/>
    </row>
    <row r="759" spans="5:12" ht="15.75" customHeight="1">
      <c r="E759" s="16"/>
      <c r="G759" s="63"/>
      <c r="K759" s="95"/>
      <c r="L759" s="1"/>
    </row>
    <row r="760" spans="5:12" ht="15.75" customHeight="1">
      <c r="E760" s="16"/>
      <c r="G760" s="63"/>
      <c r="K760" s="95"/>
      <c r="L760" s="1"/>
    </row>
    <row r="761" spans="5:12" ht="15.75" customHeight="1">
      <c r="E761" s="16"/>
      <c r="G761" s="63"/>
      <c r="K761" s="95"/>
      <c r="L761" s="1"/>
    </row>
    <row r="762" spans="5:12" ht="15.75" customHeight="1">
      <c r="E762" s="16"/>
      <c r="G762" s="63"/>
      <c r="K762" s="95"/>
      <c r="L762" s="1"/>
    </row>
    <row r="763" spans="5:12" ht="15.75" customHeight="1">
      <c r="E763" s="16"/>
      <c r="G763" s="63"/>
      <c r="K763" s="95"/>
      <c r="L763" s="1"/>
    </row>
    <row r="764" spans="5:12" ht="15.75" customHeight="1">
      <c r="E764" s="16"/>
      <c r="G764" s="63"/>
      <c r="K764" s="95"/>
      <c r="L764" s="1"/>
    </row>
    <row r="765" spans="5:12" ht="15.75" customHeight="1">
      <c r="E765" s="16"/>
      <c r="G765" s="63"/>
      <c r="K765" s="95"/>
      <c r="L765" s="1"/>
    </row>
    <row r="766" spans="5:12" ht="15.75" customHeight="1">
      <c r="E766" s="16"/>
      <c r="G766" s="63"/>
      <c r="K766" s="95"/>
      <c r="L766" s="1"/>
    </row>
    <row r="767" spans="5:12" ht="15.75" customHeight="1">
      <c r="E767" s="16"/>
      <c r="G767" s="63"/>
      <c r="K767" s="95"/>
      <c r="L767" s="1"/>
    </row>
    <row r="768" spans="5:12" ht="15.75" customHeight="1">
      <c r="E768" s="16"/>
      <c r="G768" s="63"/>
      <c r="K768" s="95"/>
      <c r="L768" s="1"/>
    </row>
    <row r="769" spans="5:12" ht="15.75" customHeight="1">
      <c r="E769" s="16"/>
      <c r="G769" s="63"/>
      <c r="K769" s="95"/>
      <c r="L769" s="1"/>
    </row>
    <row r="770" spans="5:12" ht="15.75" customHeight="1">
      <c r="E770" s="16"/>
      <c r="G770" s="63"/>
      <c r="K770" s="95"/>
      <c r="L770" s="1"/>
    </row>
    <row r="771" spans="5:12" ht="15.75" customHeight="1">
      <c r="E771" s="16"/>
      <c r="G771" s="63"/>
      <c r="K771" s="95"/>
      <c r="L771" s="1"/>
    </row>
    <row r="772" spans="5:12" ht="15.75" customHeight="1">
      <c r="E772" s="16"/>
      <c r="G772" s="63"/>
      <c r="K772" s="95"/>
      <c r="L772" s="1"/>
    </row>
    <row r="773" spans="5:12" ht="15.75" customHeight="1">
      <c r="E773" s="16"/>
      <c r="G773" s="63"/>
      <c r="K773" s="95"/>
      <c r="L773" s="1"/>
    </row>
    <row r="774" spans="5:12" ht="15.75" customHeight="1">
      <c r="E774" s="16"/>
      <c r="G774" s="63"/>
      <c r="K774" s="95"/>
      <c r="L774" s="1"/>
    </row>
    <row r="775" spans="5:12" ht="15.75" customHeight="1">
      <c r="E775" s="16"/>
      <c r="G775" s="63"/>
      <c r="K775" s="95"/>
      <c r="L775" s="1"/>
    </row>
    <row r="776" spans="5:12" ht="15.75" customHeight="1">
      <c r="E776" s="16"/>
      <c r="G776" s="63"/>
      <c r="K776" s="95"/>
      <c r="L776" s="1"/>
    </row>
    <row r="777" spans="5:12" ht="15.75" customHeight="1">
      <c r="E777" s="16"/>
      <c r="G777" s="63"/>
      <c r="K777" s="95"/>
      <c r="L777" s="1"/>
    </row>
    <row r="778" spans="5:12" ht="15.75" customHeight="1">
      <c r="E778" s="16"/>
      <c r="G778" s="63"/>
      <c r="K778" s="95"/>
      <c r="L778" s="1"/>
    </row>
    <row r="779" spans="5:12" ht="15.75" customHeight="1">
      <c r="E779" s="16"/>
      <c r="G779" s="63"/>
      <c r="K779" s="95"/>
      <c r="L779" s="1"/>
    </row>
    <row r="780" spans="5:12" ht="15.75" customHeight="1">
      <c r="E780" s="16"/>
      <c r="G780" s="63"/>
      <c r="K780" s="95"/>
      <c r="L780" s="1"/>
    </row>
    <row r="781" spans="5:12" ht="15.75" customHeight="1">
      <c r="E781" s="16"/>
      <c r="G781" s="63"/>
      <c r="K781" s="95"/>
      <c r="L781" s="1"/>
    </row>
    <row r="782" spans="5:12" ht="15.75" customHeight="1">
      <c r="E782" s="16"/>
      <c r="G782" s="63"/>
      <c r="K782" s="95"/>
      <c r="L782" s="1"/>
    </row>
    <row r="783" spans="5:12" ht="15.75" customHeight="1">
      <c r="E783" s="16"/>
      <c r="G783" s="63"/>
      <c r="K783" s="95"/>
      <c r="L783" s="1"/>
    </row>
    <row r="784" spans="5:12" ht="15.75" customHeight="1">
      <c r="E784" s="16"/>
      <c r="G784" s="63"/>
      <c r="K784" s="95"/>
      <c r="L784" s="1"/>
    </row>
    <row r="785" spans="5:12" ht="15.75" customHeight="1">
      <c r="E785" s="16"/>
      <c r="G785" s="63"/>
      <c r="K785" s="95"/>
      <c r="L785" s="1"/>
    </row>
    <row r="786" spans="5:12" ht="15.75" customHeight="1">
      <c r="E786" s="16"/>
      <c r="G786" s="63"/>
      <c r="K786" s="95"/>
      <c r="L786" s="1"/>
    </row>
    <row r="787" spans="5:12" ht="15.75" customHeight="1">
      <c r="E787" s="16"/>
      <c r="G787" s="63"/>
      <c r="K787" s="95"/>
      <c r="L787" s="1"/>
    </row>
    <row r="788" spans="5:12" ht="15.75" customHeight="1">
      <c r="E788" s="16"/>
      <c r="G788" s="63"/>
      <c r="K788" s="95"/>
      <c r="L788" s="1"/>
    </row>
    <row r="789" spans="5:12" ht="15.75" customHeight="1">
      <c r="E789" s="16"/>
      <c r="G789" s="63"/>
      <c r="K789" s="95"/>
      <c r="L789" s="1"/>
    </row>
    <row r="790" spans="5:12" ht="15.75" customHeight="1">
      <c r="E790" s="16"/>
      <c r="G790" s="63"/>
      <c r="K790" s="95"/>
      <c r="L790" s="1"/>
    </row>
    <row r="791" spans="5:12" ht="15.75" customHeight="1">
      <c r="E791" s="16"/>
      <c r="G791" s="63"/>
      <c r="K791" s="95"/>
      <c r="L791" s="1"/>
    </row>
    <row r="792" spans="5:12" ht="15.75" customHeight="1">
      <c r="E792" s="16"/>
      <c r="G792" s="63"/>
      <c r="K792" s="95"/>
      <c r="L792" s="1"/>
    </row>
    <row r="793" spans="5:12" ht="15.75" customHeight="1">
      <c r="E793" s="16"/>
      <c r="G793" s="63"/>
      <c r="K793" s="95"/>
      <c r="L793" s="1"/>
    </row>
    <row r="794" spans="5:12" ht="15.75" customHeight="1">
      <c r="E794" s="16"/>
      <c r="G794" s="63"/>
      <c r="K794" s="95"/>
      <c r="L794" s="1"/>
    </row>
    <row r="795" spans="5:12" ht="15.75" customHeight="1">
      <c r="E795" s="16"/>
      <c r="G795" s="63"/>
      <c r="K795" s="95"/>
      <c r="L795" s="1"/>
    </row>
    <row r="796" spans="5:12" ht="15.75" customHeight="1">
      <c r="E796" s="16"/>
      <c r="G796" s="63"/>
      <c r="K796" s="95"/>
      <c r="L796" s="1"/>
    </row>
    <row r="797" spans="5:12" ht="15.75" customHeight="1">
      <c r="E797" s="16"/>
      <c r="G797" s="63"/>
      <c r="K797" s="95"/>
      <c r="L797" s="1"/>
    </row>
    <row r="798" spans="5:12" ht="15.75" customHeight="1">
      <c r="E798" s="16"/>
      <c r="G798" s="63"/>
      <c r="K798" s="95"/>
      <c r="L798" s="1"/>
    </row>
    <row r="799" spans="5:12" ht="15.75" customHeight="1">
      <c r="E799" s="16"/>
      <c r="G799" s="63"/>
      <c r="K799" s="95"/>
      <c r="L799" s="1"/>
    </row>
    <row r="800" spans="5:12" ht="15.75" customHeight="1">
      <c r="E800" s="16"/>
      <c r="G800" s="63"/>
      <c r="K800" s="95"/>
      <c r="L800" s="1"/>
    </row>
    <row r="801" spans="5:12" ht="15.75" customHeight="1">
      <c r="E801" s="16"/>
      <c r="G801" s="63"/>
      <c r="K801" s="95"/>
      <c r="L801" s="1"/>
    </row>
    <row r="802" spans="5:12" ht="15.75" customHeight="1">
      <c r="E802" s="16"/>
      <c r="G802" s="63"/>
      <c r="K802" s="95"/>
      <c r="L802" s="1"/>
    </row>
    <row r="803" spans="5:12" ht="15.75" customHeight="1">
      <c r="E803" s="16"/>
      <c r="G803" s="63"/>
      <c r="K803" s="95"/>
      <c r="L803" s="1"/>
    </row>
    <row r="804" spans="5:12" ht="15.75" customHeight="1">
      <c r="E804" s="16"/>
      <c r="G804" s="63"/>
      <c r="K804" s="95"/>
      <c r="L804" s="1"/>
    </row>
    <row r="805" spans="5:12" ht="15.75" customHeight="1">
      <c r="E805" s="16"/>
      <c r="G805" s="63"/>
      <c r="K805" s="95"/>
      <c r="L805" s="1"/>
    </row>
    <row r="806" spans="5:12" ht="15.75" customHeight="1">
      <c r="E806" s="16"/>
      <c r="G806" s="63"/>
      <c r="K806" s="95"/>
      <c r="L806" s="1"/>
    </row>
    <row r="807" spans="5:12" ht="15.75" customHeight="1">
      <c r="E807" s="16"/>
      <c r="G807" s="63"/>
      <c r="K807" s="95"/>
      <c r="L807" s="1"/>
    </row>
    <row r="808" spans="5:12" ht="15.75" customHeight="1">
      <c r="E808" s="16"/>
      <c r="G808" s="63"/>
      <c r="K808" s="95"/>
      <c r="L808" s="1"/>
    </row>
    <row r="809" spans="5:12" ht="15.75" customHeight="1">
      <c r="E809" s="16"/>
      <c r="G809" s="63"/>
      <c r="K809" s="95"/>
      <c r="L809" s="1"/>
    </row>
    <row r="810" spans="5:12" ht="15.75" customHeight="1">
      <c r="E810" s="16"/>
      <c r="G810" s="63"/>
      <c r="K810" s="95"/>
      <c r="L810" s="1"/>
    </row>
    <row r="811" spans="5:12" ht="15.75" customHeight="1">
      <c r="E811" s="16"/>
      <c r="G811" s="63"/>
      <c r="K811" s="95"/>
      <c r="L811" s="1"/>
    </row>
    <row r="812" spans="5:12" ht="15.75" customHeight="1">
      <c r="E812" s="16"/>
      <c r="G812" s="63"/>
      <c r="K812" s="95"/>
      <c r="L812" s="1"/>
    </row>
    <row r="813" spans="5:12" ht="15.75" customHeight="1">
      <c r="E813" s="16"/>
      <c r="G813" s="63"/>
      <c r="K813" s="95"/>
      <c r="L813" s="1"/>
    </row>
    <row r="814" spans="5:12" ht="15.75" customHeight="1">
      <c r="E814" s="16"/>
      <c r="G814" s="63"/>
      <c r="K814" s="95"/>
      <c r="L814" s="1"/>
    </row>
    <row r="815" spans="5:12" ht="15.75" customHeight="1">
      <c r="E815" s="16"/>
      <c r="G815" s="63"/>
      <c r="K815" s="95"/>
      <c r="L815" s="1"/>
    </row>
    <row r="816" spans="5:12" ht="15.75" customHeight="1">
      <c r="E816" s="16"/>
      <c r="G816" s="63"/>
      <c r="K816" s="95"/>
      <c r="L816" s="1"/>
    </row>
    <row r="817" spans="5:12" ht="15.75" customHeight="1">
      <c r="E817" s="16"/>
      <c r="G817" s="63"/>
      <c r="K817" s="95"/>
      <c r="L817" s="1"/>
    </row>
    <row r="818" spans="5:12" ht="15.75" customHeight="1">
      <c r="E818" s="16"/>
      <c r="G818" s="63"/>
      <c r="K818" s="95"/>
      <c r="L818" s="1"/>
    </row>
    <row r="819" spans="5:12" ht="15.75" customHeight="1">
      <c r="E819" s="16"/>
      <c r="G819" s="63"/>
      <c r="K819" s="95"/>
      <c r="L819" s="1"/>
    </row>
    <row r="820" spans="5:12" ht="15.75" customHeight="1">
      <c r="E820" s="16"/>
      <c r="G820" s="63"/>
      <c r="K820" s="95"/>
      <c r="L820" s="1"/>
    </row>
    <row r="821" spans="5:12" ht="15.75" customHeight="1">
      <c r="E821" s="16"/>
      <c r="G821" s="63"/>
      <c r="K821" s="95"/>
      <c r="L821" s="1"/>
    </row>
    <row r="822" spans="5:12" ht="15.75" customHeight="1">
      <c r="E822" s="16"/>
      <c r="G822" s="63"/>
      <c r="K822" s="95"/>
      <c r="L822" s="1"/>
    </row>
    <row r="823" spans="5:12" ht="15.75" customHeight="1">
      <c r="E823" s="16"/>
      <c r="G823" s="63"/>
      <c r="K823" s="95"/>
      <c r="L823" s="1"/>
    </row>
    <row r="824" spans="5:12" ht="15.75" customHeight="1">
      <c r="E824" s="16"/>
      <c r="G824" s="63"/>
      <c r="K824" s="95"/>
      <c r="L824" s="1"/>
    </row>
    <row r="825" spans="5:12" ht="15.75" customHeight="1">
      <c r="E825" s="16"/>
      <c r="G825" s="63"/>
      <c r="K825" s="95"/>
      <c r="L825" s="1"/>
    </row>
    <row r="826" spans="5:12" ht="15.75" customHeight="1">
      <c r="E826" s="16"/>
      <c r="G826" s="63"/>
      <c r="K826" s="95"/>
      <c r="L826" s="1"/>
    </row>
    <row r="827" spans="5:12" ht="15.75" customHeight="1">
      <c r="E827" s="16"/>
      <c r="G827" s="63"/>
      <c r="K827" s="95"/>
      <c r="L827" s="1"/>
    </row>
    <row r="828" spans="5:12" ht="15.75" customHeight="1">
      <c r="E828" s="16"/>
      <c r="G828" s="63"/>
      <c r="K828" s="95"/>
      <c r="L828" s="1"/>
    </row>
    <row r="829" spans="5:12" ht="15.75" customHeight="1">
      <c r="E829" s="16"/>
      <c r="G829" s="63"/>
      <c r="K829" s="95"/>
      <c r="L829" s="1"/>
    </row>
    <row r="830" spans="5:12" ht="15.75" customHeight="1">
      <c r="E830" s="16"/>
      <c r="G830" s="63"/>
      <c r="K830" s="95"/>
      <c r="L830" s="1"/>
    </row>
    <row r="831" spans="5:12" ht="15.75" customHeight="1">
      <c r="E831" s="16"/>
      <c r="G831" s="63"/>
      <c r="K831" s="95"/>
      <c r="L831" s="1"/>
    </row>
    <row r="832" spans="5:12" ht="15.75" customHeight="1">
      <c r="E832" s="16"/>
      <c r="G832" s="63"/>
      <c r="K832" s="95"/>
      <c r="L832" s="1"/>
    </row>
    <row r="833" spans="5:12" ht="15.75" customHeight="1">
      <c r="E833" s="16"/>
      <c r="G833" s="63"/>
      <c r="K833" s="95"/>
      <c r="L833" s="1"/>
    </row>
    <row r="834" spans="5:12" ht="15.75" customHeight="1">
      <c r="E834" s="16"/>
      <c r="G834" s="63"/>
      <c r="K834" s="95"/>
      <c r="L834" s="1"/>
    </row>
    <row r="835" spans="5:12" ht="15.75" customHeight="1">
      <c r="E835" s="16"/>
      <c r="G835" s="63"/>
      <c r="K835" s="95"/>
      <c r="L835" s="1"/>
    </row>
    <row r="836" spans="5:12" ht="15.75" customHeight="1">
      <c r="E836" s="16"/>
      <c r="G836" s="63"/>
      <c r="K836" s="95"/>
      <c r="L836" s="1"/>
    </row>
    <row r="837" spans="5:12" ht="15.75" customHeight="1">
      <c r="E837" s="16"/>
      <c r="G837" s="63"/>
      <c r="K837" s="95"/>
      <c r="L837" s="1"/>
    </row>
    <row r="838" spans="5:12" ht="15.75" customHeight="1">
      <c r="E838" s="16"/>
      <c r="G838" s="63"/>
      <c r="K838" s="95"/>
      <c r="L838" s="1"/>
    </row>
    <row r="839" spans="5:12" ht="15.75" customHeight="1">
      <c r="E839" s="16"/>
      <c r="G839" s="63"/>
      <c r="K839" s="95"/>
      <c r="L839" s="1"/>
    </row>
    <row r="840" spans="5:12" ht="15.75" customHeight="1">
      <c r="E840" s="16"/>
      <c r="G840" s="63"/>
      <c r="K840" s="95"/>
      <c r="L840" s="1"/>
    </row>
    <row r="841" spans="5:12" ht="15.75" customHeight="1">
      <c r="E841" s="16"/>
      <c r="G841" s="63"/>
      <c r="K841" s="95"/>
      <c r="L841" s="1"/>
    </row>
    <row r="842" spans="5:12" ht="15.75" customHeight="1">
      <c r="E842" s="16"/>
      <c r="G842" s="63"/>
      <c r="K842" s="95"/>
      <c r="L842" s="1"/>
    </row>
    <row r="843" spans="5:12" ht="15.75" customHeight="1">
      <c r="E843" s="16"/>
      <c r="G843" s="63"/>
      <c r="K843" s="95"/>
      <c r="L843" s="1"/>
    </row>
    <row r="844" spans="5:12" ht="15.75" customHeight="1">
      <c r="E844" s="16"/>
      <c r="G844" s="63"/>
      <c r="K844" s="95"/>
      <c r="L844" s="1"/>
    </row>
    <row r="845" spans="5:12" ht="15.75" customHeight="1">
      <c r="E845" s="16"/>
      <c r="G845" s="63"/>
      <c r="K845" s="95"/>
      <c r="L845" s="1"/>
    </row>
    <row r="846" spans="5:12" ht="15.75" customHeight="1">
      <c r="E846" s="16"/>
      <c r="G846" s="63"/>
      <c r="K846" s="95"/>
      <c r="L846" s="1"/>
    </row>
    <row r="847" spans="5:12" ht="15.75" customHeight="1">
      <c r="E847" s="16"/>
      <c r="G847" s="63"/>
      <c r="K847" s="95"/>
      <c r="L847" s="1"/>
    </row>
    <row r="848" spans="5:12" ht="15.75" customHeight="1">
      <c r="E848" s="16"/>
      <c r="G848" s="63"/>
      <c r="K848" s="95"/>
      <c r="L848" s="1"/>
    </row>
    <row r="849" spans="5:12" ht="15.75" customHeight="1">
      <c r="E849" s="16"/>
      <c r="G849" s="63"/>
      <c r="K849" s="95"/>
      <c r="L849" s="1"/>
    </row>
    <row r="850" spans="5:12" ht="15.75" customHeight="1">
      <c r="E850" s="16"/>
      <c r="G850" s="63"/>
      <c r="K850" s="95"/>
      <c r="L850" s="1"/>
    </row>
    <row r="851" spans="5:12" ht="15.75" customHeight="1">
      <c r="E851" s="16"/>
      <c r="G851" s="63"/>
      <c r="K851" s="95"/>
      <c r="L851" s="1"/>
    </row>
    <row r="852" spans="5:12" ht="15.75" customHeight="1">
      <c r="E852" s="16"/>
      <c r="G852" s="63"/>
      <c r="K852" s="95"/>
      <c r="L852" s="1"/>
    </row>
    <row r="853" spans="5:12" ht="15.75" customHeight="1">
      <c r="E853" s="16"/>
      <c r="G853" s="63"/>
      <c r="K853" s="95"/>
      <c r="L853" s="1"/>
    </row>
    <row r="854" spans="5:12" ht="15.75" customHeight="1">
      <c r="E854" s="16"/>
      <c r="G854" s="63"/>
      <c r="K854" s="95"/>
      <c r="L854" s="1"/>
    </row>
    <row r="855" spans="5:12" ht="15.75" customHeight="1">
      <c r="E855" s="16"/>
      <c r="G855" s="63"/>
      <c r="K855" s="95"/>
      <c r="L855" s="1"/>
    </row>
    <row r="856" spans="5:12" ht="15.75" customHeight="1">
      <c r="E856" s="16"/>
      <c r="G856" s="63"/>
      <c r="K856" s="95"/>
      <c r="L856" s="1"/>
    </row>
    <row r="857" spans="5:12" ht="15.75" customHeight="1">
      <c r="E857" s="16"/>
      <c r="G857" s="63"/>
      <c r="K857" s="95"/>
      <c r="L857" s="1"/>
    </row>
    <row r="858" spans="5:12" ht="15.75" customHeight="1">
      <c r="E858" s="16"/>
      <c r="G858" s="63"/>
      <c r="K858" s="95"/>
      <c r="L858" s="1"/>
    </row>
    <row r="859" spans="5:12" ht="15.75" customHeight="1">
      <c r="E859" s="16"/>
      <c r="G859" s="63"/>
      <c r="K859" s="95"/>
      <c r="L859" s="1"/>
    </row>
    <row r="860" spans="5:12" ht="15.75" customHeight="1">
      <c r="E860" s="16"/>
      <c r="G860" s="63"/>
      <c r="K860" s="95"/>
      <c r="L860" s="1"/>
    </row>
    <row r="861" spans="5:12" ht="15.75" customHeight="1">
      <c r="E861" s="16"/>
      <c r="G861" s="63"/>
      <c r="K861" s="95"/>
      <c r="L861" s="1"/>
    </row>
    <row r="862" spans="5:12" ht="15.75" customHeight="1">
      <c r="E862" s="16"/>
      <c r="G862" s="63"/>
      <c r="K862" s="95"/>
      <c r="L862" s="1"/>
    </row>
    <row r="863" spans="5:12" ht="15.75" customHeight="1">
      <c r="E863" s="16"/>
      <c r="G863" s="63"/>
      <c r="K863" s="95"/>
      <c r="L863" s="1"/>
    </row>
    <row r="864" spans="5:12" ht="15.75" customHeight="1">
      <c r="E864" s="16"/>
      <c r="G864" s="63"/>
      <c r="K864" s="95"/>
      <c r="L864" s="1"/>
    </row>
    <row r="865" spans="5:12" ht="15.75" customHeight="1">
      <c r="E865" s="16"/>
      <c r="G865" s="63"/>
      <c r="K865" s="95"/>
      <c r="L865" s="1"/>
    </row>
    <row r="866" spans="5:12" ht="15.75" customHeight="1">
      <c r="E866" s="16"/>
      <c r="G866" s="63"/>
      <c r="K866" s="95"/>
      <c r="L866" s="1"/>
    </row>
    <row r="867" spans="5:12" ht="15.75" customHeight="1">
      <c r="E867" s="16"/>
      <c r="G867" s="63"/>
      <c r="K867" s="95"/>
      <c r="L867" s="1"/>
    </row>
    <row r="868" spans="5:12" ht="15.75" customHeight="1">
      <c r="E868" s="16"/>
      <c r="G868" s="63"/>
      <c r="K868" s="95"/>
      <c r="L868" s="1"/>
    </row>
    <row r="869" spans="5:12" ht="15.75" customHeight="1">
      <c r="E869" s="16"/>
      <c r="G869" s="63"/>
      <c r="K869" s="95"/>
      <c r="L869" s="1"/>
    </row>
    <row r="870" spans="5:12" ht="15.75" customHeight="1">
      <c r="E870" s="16"/>
      <c r="G870" s="63"/>
      <c r="K870" s="95"/>
      <c r="L870" s="1"/>
    </row>
    <row r="871" spans="5:12" ht="15.75" customHeight="1">
      <c r="E871" s="16"/>
      <c r="G871" s="63"/>
      <c r="K871" s="95"/>
      <c r="L871" s="1"/>
    </row>
    <row r="872" spans="5:12" ht="15.75" customHeight="1">
      <c r="E872" s="16"/>
      <c r="G872" s="63"/>
      <c r="K872" s="95"/>
      <c r="L872" s="1"/>
    </row>
    <row r="873" spans="5:12" ht="15.75" customHeight="1">
      <c r="E873" s="16"/>
      <c r="G873" s="63"/>
      <c r="K873" s="158"/>
      <c r="L873" s="1"/>
    </row>
    <row r="874" spans="5:12" ht="15.75" customHeight="1">
      <c r="E874" s="16"/>
      <c r="G874" s="63"/>
      <c r="K874" s="158"/>
      <c r="L874" s="1"/>
    </row>
    <row r="875" spans="5:12" ht="15.75" customHeight="1">
      <c r="E875" s="16"/>
      <c r="G875" s="63"/>
      <c r="K875" s="158"/>
      <c r="L875" s="1"/>
    </row>
    <row r="876" spans="5:12" ht="15.75" customHeight="1">
      <c r="E876" s="16"/>
      <c r="G876" s="63"/>
      <c r="K876" s="158"/>
      <c r="L876" s="1"/>
    </row>
    <row r="877" spans="5:12" ht="15.75" customHeight="1">
      <c r="E877" s="16"/>
      <c r="L877" s="1"/>
    </row>
    <row r="878" spans="5:12" ht="15.75" customHeight="1">
      <c r="L878" s="1"/>
    </row>
    <row r="879" spans="5:12" ht="15.75" customHeight="1">
      <c r="L879" s="1"/>
    </row>
    <row r="880" spans="5:12" ht="15.75" customHeight="1">
      <c r="L880" s="1"/>
    </row>
    <row r="881" spans="12:12" ht="15.75" customHeight="1">
      <c r="L881" s="1"/>
    </row>
    <row r="882" spans="12:12" ht="15.75" customHeight="1">
      <c r="L882" s="1"/>
    </row>
    <row r="883" spans="12:12" ht="15.75" customHeight="1">
      <c r="L883" s="1"/>
    </row>
    <row r="884" spans="12:12" ht="15.75" customHeight="1">
      <c r="L884" s="1"/>
    </row>
    <row r="885" spans="12:12" ht="15.75" customHeight="1">
      <c r="L885" s="1"/>
    </row>
    <row r="886" spans="12:12" ht="15.75" customHeight="1">
      <c r="L886" s="1"/>
    </row>
    <row r="887" spans="12:12" ht="15.75" customHeight="1">
      <c r="L887" s="1"/>
    </row>
    <row r="888" spans="12:12" ht="15.75" customHeight="1">
      <c r="L888" s="1"/>
    </row>
    <row r="889" spans="12:12" ht="15.75" customHeight="1"/>
    <row r="890" spans="12:12" ht="15.75" customHeight="1"/>
    <row r="891" spans="12:12" ht="15.75" customHeight="1"/>
    <row r="892" spans="12:12" ht="15.75" customHeight="1"/>
    <row r="893" spans="12:12" ht="15.75" customHeight="1"/>
    <row r="894" spans="12:12" ht="15.75" customHeight="1"/>
    <row r="895" spans="12:12" ht="15.75" customHeight="1"/>
    <row r="896" spans="12:12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G1 G3 G5:G1004 Y107:Y162 Y164:Y232 Y234:Y242">
    <cfRule type="cellIs" dxfId="95" priority="7" operator="lessThan">
      <formula>0</formula>
    </cfRule>
    <cfRule type="cellIs" dxfId="94" priority="6" operator="greaterThan">
      <formula>0</formula>
    </cfRule>
  </conditionalFormatting>
  <conditionalFormatting sqref="J2">
    <cfRule type="cellIs" dxfId="93" priority="1" operator="greaterThan">
      <formula>0</formula>
    </cfRule>
  </conditionalFormatting>
  <conditionalFormatting sqref="K1:K3 K5:K1004 AD106 AC108:AC117 AC119:AC126 AC128:AC162 AC164:AC230 AC234:AC242">
    <cfRule type="cellIs" dxfId="92" priority="9" operator="greaterThan">
      <formula>0</formula>
    </cfRule>
    <cfRule type="cellIs" dxfId="91" priority="11" operator="lessThan">
      <formula>0</formula>
    </cfRule>
    <cfRule type="cellIs" dxfId="90" priority="10" operator="lessThan">
      <formula>-7</formula>
    </cfRule>
    <cfRule type="cellIs" dxfId="89" priority="8" operator="greaterThan">
      <formula>20</formula>
    </cfRule>
  </conditionalFormatting>
  <conditionalFormatting sqref="N3">
    <cfRule type="cellIs" dxfId="88" priority="13" operator="lessThan">
      <formula>0</formula>
    </cfRule>
    <cfRule type="cellIs" dxfId="87" priority="12" operator="greaterThan">
      <formula>0</formula>
    </cfRule>
  </conditionalFormatting>
  <conditionalFormatting sqref="O2">
    <cfRule type="cellIs" dxfId="86" priority="5" operator="greaterThan">
      <formula>100</formula>
    </cfRule>
  </conditionalFormatting>
  <conditionalFormatting sqref="Q1:Q2">
    <cfRule type="cellIs" dxfId="85" priority="2" operator="lessThan">
      <formula>0</formula>
    </cfRule>
  </conditionalFormatting>
  <conditionalFormatting sqref="R1:R2">
    <cfRule type="cellIs" dxfId="84" priority="3" operator="lessThan">
      <formula>-2</formula>
    </cfRule>
    <cfRule type="cellIs" dxfId="83" priority="4" operator="greaterThan">
      <formula>5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N104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/>
  <cols>
    <col min="9" max="9" width="12" customWidth="1"/>
    <col min="10" max="10" width="12.6640625" customWidth="1"/>
  </cols>
  <sheetData>
    <row r="1" spans="1:40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159" t="s">
        <v>89</v>
      </c>
      <c r="F1" s="10" t="s">
        <v>95</v>
      </c>
      <c r="G1" s="11" t="s">
        <v>96</v>
      </c>
      <c r="H1" s="11" t="s">
        <v>97</v>
      </c>
      <c r="I1" s="9" t="s">
        <v>98</v>
      </c>
      <c r="J1" s="29" t="s">
        <v>99</v>
      </c>
      <c r="K1" s="10" t="s">
        <v>100</v>
      </c>
      <c r="L1" s="9" t="s">
        <v>101</v>
      </c>
      <c r="M1" s="13" t="s">
        <v>102</v>
      </c>
      <c r="N1" s="9" t="s">
        <v>103</v>
      </c>
      <c r="O1" s="3" t="s">
        <v>104</v>
      </c>
      <c r="P1" s="14">
        <f ca="1">P4/P2</f>
        <v>0.6</v>
      </c>
      <c r="Q1" s="160" t="s">
        <v>527</v>
      </c>
      <c r="R1" s="2" t="s">
        <v>528</v>
      </c>
      <c r="S1" s="15"/>
      <c r="T1" s="50" t="s">
        <v>187</v>
      </c>
      <c r="U1" s="9"/>
      <c r="V1" s="3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15.75" customHeight="1">
      <c r="B2" s="17" t="s">
        <v>105</v>
      </c>
      <c r="C2" s="18">
        <v>45215</v>
      </c>
      <c r="D2" s="19">
        <f ca="1">TODAY()</f>
        <v>45396</v>
      </c>
      <c r="E2" s="20"/>
      <c r="F2" s="21" t="s">
        <v>106</v>
      </c>
      <c r="G2" s="21" t="e">
        <f ca="1">_xludf.DAYS(D2,C2)</f>
        <v>#NAME?</v>
      </c>
      <c r="H2" s="22"/>
      <c r="I2" s="23">
        <f ca="1">SUM(F3:F336)</f>
        <v>195077.18000000005</v>
      </c>
      <c r="J2" s="29"/>
      <c r="K2" s="24"/>
      <c r="L2" s="25">
        <f>SUM(K2:K156)</f>
        <v>3369918.7199999997</v>
      </c>
      <c r="M2" s="26">
        <f ca="1">N2/L2</f>
        <v>5.7887799738980075E-2</v>
      </c>
      <c r="N2" s="25">
        <f ca="1">I2+T6</f>
        <v>195077.18000000005</v>
      </c>
      <c r="O2" s="27" t="s">
        <v>107</v>
      </c>
      <c r="P2" s="28">
        <f ca="1">P3+P4</f>
        <v>25</v>
      </c>
      <c r="Q2" s="160" t="s">
        <v>529</v>
      </c>
      <c r="R2" s="2" t="s">
        <v>530</v>
      </c>
      <c r="S2" s="15"/>
      <c r="T2" s="56">
        <f ca="1">SUM(K4:K61)+I2</f>
        <v>3564995.9</v>
      </c>
      <c r="V2" s="3"/>
    </row>
    <row r="3" spans="1:40">
      <c r="B3" s="31" t="s">
        <v>531</v>
      </c>
      <c r="E3" s="161"/>
      <c r="L3" s="29" t="s">
        <v>108</v>
      </c>
      <c r="M3" s="17"/>
      <c r="O3" s="28" t="s">
        <v>109</v>
      </c>
      <c r="P3" s="28">
        <f ca="1">COUNTIF(F:F, "&lt;0")</f>
        <v>10</v>
      </c>
      <c r="Q3" s="160" t="s">
        <v>532</v>
      </c>
      <c r="R3" s="2">
        <v>1100</v>
      </c>
    </row>
    <row r="4" spans="1:40" ht="16">
      <c r="A4" s="3" t="s">
        <v>10</v>
      </c>
      <c r="B4" s="31" t="s">
        <v>346</v>
      </c>
      <c r="C4" s="126">
        <v>464.04</v>
      </c>
      <c r="D4" s="126">
        <v>330</v>
      </c>
      <c r="E4" s="20">
        <f ca="1">IFERROR(__xludf.DUMMYFUNCTION("GOOGLEFINANCE(A4,""price"")"),480)</f>
        <v>480</v>
      </c>
      <c r="F4" s="10">
        <f t="shared" ref="F4:F12" ca="1" si="0">(E4-C4)*D4</f>
        <v>5266.7999999999929</v>
      </c>
      <c r="G4" s="31"/>
      <c r="H4" s="126"/>
      <c r="J4" s="12">
        <f t="shared" ref="J4:J12" ca="1" si="1">(E4-C4)*100/C4</f>
        <v>3.4393586759762043</v>
      </c>
      <c r="K4" s="24">
        <f t="shared" ref="K4:K12" si="2">C4*D4</f>
        <v>153133.20000000001</v>
      </c>
      <c r="L4" s="17"/>
      <c r="M4" s="162">
        <f ca="1">I2/L2</f>
        <v>5.7887799738980075E-2</v>
      </c>
      <c r="O4" s="28" t="s">
        <v>110</v>
      </c>
      <c r="P4" s="28">
        <f ca="1">COUNTIF(F:F, "&gt;0")</f>
        <v>15</v>
      </c>
      <c r="Q4" s="160" t="s">
        <v>533</v>
      </c>
      <c r="R4" s="2" t="s">
        <v>534</v>
      </c>
    </row>
    <row r="5" spans="1:40">
      <c r="A5" s="3" t="s">
        <v>15</v>
      </c>
      <c r="B5" s="31" t="s">
        <v>535</v>
      </c>
      <c r="C5" s="126">
        <v>1063.18</v>
      </c>
      <c r="D5" s="126">
        <v>100</v>
      </c>
      <c r="E5" s="20">
        <f ca="1">IFERROR(__xludf.DUMMYFUNCTION("GOOGLEFINANCE(A5,""price"")"),1174)</f>
        <v>1174</v>
      </c>
      <c r="F5" s="10">
        <f t="shared" ca="1" si="0"/>
        <v>11081.999999999993</v>
      </c>
      <c r="G5" s="31"/>
      <c r="H5" s="126"/>
      <c r="J5" s="12">
        <f t="shared" ca="1" si="1"/>
        <v>10.423446641208443</v>
      </c>
      <c r="K5" s="24">
        <f t="shared" si="2"/>
        <v>106318</v>
      </c>
      <c r="Q5" s="160" t="s">
        <v>536</v>
      </c>
      <c r="R5" s="2">
        <v>9769611904</v>
      </c>
    </row>
    <row r="6" spans="1:40">
      <c r="A6" s="3" t="s">
        <v>17</v>
      </c>
      <c r="B6" s="31" t="s">
        <v>537</v>
      </c>
      <c r="C6" s="126">
        <v>267.2</v>
      </c>
      <c r="D6" s="126">
        <v>400</v>
      </c>
      <c r="E6" s="20">
        <f ca="1">IFERROR(__xludf.DUMMYFUNCTION("GOOGLEFINANCE(A6,""price"")"),364)</f>
        <v>364</v>
      </c>
      <c r="F6" s="10">
        <f t="shared" ca="1" si="0"/>
        <v>38720.000000000007</v>
      </c>
      <c r="G6" s="31"/>
      <c r="H6" s="126"/>
      <c r="J6" s="12">
        <f t="shared" ca="1" si="1"/>
        <v>36.227544910179653</v>
      </c>
      <c r="K6" s="24">
        <f t="shared" si="2"/>
        <v>106880</v>
      </c>
      <c r="Q6" s="39"/>
      <c r="R6" s="39"/>
      <c r="S6" s="15" t="s">
        <v>111</v>
      </c>
      <c r="T6" s="163">
        <f>SUM(T9:T292)</f>
        <v>0</v>
      </c>
    </row>
    <row r="7" spans="1:40">
      <c r="A7" s="3" t="s">
        <v>11</v>
      </c>
      <c r="B7" s="31" t="s">
        <v>538</v>
      </c>
      <c r="C7" s="126">
        <v>106.42</v>
      </c>
      <c r="D7" s="126">
        <v>1100</v>
      </c>
      <c r="E7" s="20">
        <f ca="1">IFERROR(__xludf.DUMMYFUNCTION("GOOGLEFINANCE(A7,""price"")"),143.1)</f>
        <v>143.1</v>
      </c>
      <c r="F7" s="10">
        <f t="shared" ca="1" si="0"/>
        <v>40347.999999999993</v>
      </c>
      <c r="G7" s="31"/>
      <c r="H7" s="126"/>
      <c r="J7" s="12">
        <f t="shared" ca="1" si="1"/>
        <v>34.467205412516435</v>
      </c>
      <c r="K7" s="24">
        <f t="shared" si="2"/>
        <v>117062</v>
      </c>
      <c r="S7" s="15"/>
    </row>
    <row r="8" spans="1:40" ht="16">
      <c r="A8" s="3" t="s">
        <v>13</v>
      </c>
      <c r="B8" s="31" t="s">
        <v>539</v>
      </c>
      <c r="C8" s="126">
        <v>75.5</v>
      </c>
      <c r="D8" s="126">
        <v>800</v>
      </c>
      <c r="E8" s="20">
        <f ca="1">IFERROR(__xludf.DUMMYFUNCTION("GOOGLEFINANCE(A8,""price"")"),67.95)</f>
        <v>67.95</v>
      </c>
      <c r="F8" s="10">
        <f t="shared" ca="1" si="0"/>
        <v>-6039.9999999999982</v>
      </c>
      <c r="G8" s="31"/>
      <c r="H8" s="126"/>
      <c r="J8" s="12">
        <f t="shared" ca="1" si="1"/>
        <v>-9.9999999999999964</v>
      </c>
      <c r="K8" s="24">
        <f t="shared" si="2"/>
        <v>60400</v>
      </c>
      <c r="M8" s="36" t="s">
        <v>112</v>
      </c>
      <c r="N8" s="17" t="s">
        <v>113</v>
      </c>
      <c r="O8" s="17" t="s">
        <v>93</v>
      </c>
      <c r="P8" s="17" t="s">
        <v>114</v>
      </c>
      <c r="Q8" s="3" t="s">
        <v>115</v>
      </c>
      <c r="R8" s="3" t="s">
        <v>116</v>
      </c>
      <c r="S8" s="15" t="s">
        <v>117</v>
      </c>
      <c r="T8" s="17" t="s">
        <v>118</v>
      </c>
      <c r="U8" s="17" t="s">
        <v>119</v>
      </c>
      <c r="V8" s="3" t="s">
        <v>100</v>
      </c>
      <c r="W8" s="17" t="s">
        <v>120</v>
      </c>
    </row>
    <row r="9" spans="1:40">
      <c r="A9" s="3" t="s">
        <v>16</v>
      </c>
      <c r="B9" s="31" t="s">
        <v>540</v>
      </c>
      <c r="C9" s="126">
        <v>1992.62</v>
      </c>
      <c r="D9" s="3">
        <v>65</v>
      </c>
      <c r="E9" s="20">
        <f ca="1">IFERROR(__xludf.DUMMYFUNCTION("GOOGLEFINANCE(A9,""price"")"),1715)</f>
        <v>1715</v>
      </c>
      <c r="F9" s="10">
        <f t="shared" ca="1" si="0"/>
        <v>-18045.299999999992</v>
      </c>
      <c r="G9" s="31"/>
      <c r="H9" s="126"/>
      <c r="J9" s="12">
        <f t="shared" ca="1" si="1"/>
        <v>-13.932410595095899</v>
      </c>
      <c r="K9" s="24">
        <f t="shared" si="2"/>
        <v>129520.29999999999</v>
      </c>
    </row>
    <row r="10" spans="1:40">
      <c r="A10" s="3" t="s">
        <v>21</v>
      </c>
      <c r="B10" s="31" t="s">
        <v>300</v>
      </c>
      <c r="C10" s="126">
        <v>6873.11</v>
      </c>
      <c r="D10" s="126">
        <v>22</v>
      </c>
      <c r="E10" s="20">
        <f ca="1">IFERROR(__xludf.DUMMYFUNCTION("GOOGLEFINANCE(A10,""price"")"),7829.95)</f>
        <v>7829.95</v>
      </c>
      <c r="F10" s="10">
        <f t="shared" ca="1" si="0"/>
        <v>21050.480000000003</v>
      </c>
      <c r="G10" s="31"/>
      <c r="H10" s="126"/>
      <c r="J10" s="12">
        <f t="shared" ca="1" si="1"/>
        <v>13.921499874147223</v>
      </c>
      <c r="K10" s="24">
        <f t="shared" si="2"/>
        <v>151208.41999999998</v>
      </c>
      <c r="M10" s="3" t="s">
        <v>125</v>
      </c>
    </row>
    <row r="11" spans="1:40">
      <c r="A11" s="3" t="s">
        <v>30</v>
      </c>
      <c r="B11" s="31" t="s">
        <v>304</v>
      </c>
      <c r="C11" s="3">
        <v>54.61</v>
      </c>
      <c r="D11" s="3">
        <v>2000</v>
      </c>
      <c r="E11" s="20">
        <f ca="1">IFERROR(__xludf.DUMMYFUNCTION("GOOGLEFINANCE(A11,""price"")"),61.92)</f>
        <v>61.92</v>
      </c>
      <c r="F11" s="10">
        <f t="shared" ca="1" si="0"/>
        <v>14620.000000000004</v>
      </c>
      <c r="G11" s="31"/>
      <c r="H11" s="126"/>
      <c r="J11" s="12">
        <f t="shared" ca="1" si="1"/>
        <v>13.385826771653548</v>
      </c>
      <c r="K11" s="24">
        <f t="shared" si="2"/>
        <v>109220</v>
      </c>
      <c r="M11" s="3" t="s">
        <v>225</v>
      </c>
      <c r="N11" s="2"/>
      <c r="O11" s="126">
        <v>1711.12</v>
      </c>
      <c r="P11" s="126">
        <v>60</v>
      </c>
      <c r="Q11" s="3">
        <f ca="1">IFERROR(__xludf.DUMMYFUNCTION("GOOGLEFINANCE(M11,""PRICE"")"),1888)</f>
        <v>1888</v>
      </c>
      <c r="R11" s="10">
        <f ca="1">(Q11-O11)*P11</f>
        <v>10612.800000000007</v>
      </c>
      <c r="U11" s="5"/>
      <c r="V11" s="12"/>
    </row>
    <row r="12" spans="1:40">
      <c r="A12" s="3" t="s">
        <v>35</v>
      </c>
      <c r="B12" s="31" t="s">
        <v>305</v>
      </c>
      <c r="C12" s="3">
        <v>1554</v>
      </c>
      <c r="D12" s="3">
        <v>100</v>
      </c>
      <c r="E12" s="20">
        <f ca="1">IFERROR(__xludf.DUMMYFUNCTION("GOOGLEFINANCE(A12,""price"")"),1509.6)</f>
        <v>1509.6</v>
      </c>
      <c r="F12" s="10">
        <f t="shared" ca="1" si="0"/>
        <v>-4440.0000000000091</v>
      </c>
      <c r="G12" s="31"/>
      <c r="H12" s="126"/>
      <c r="J12" s="12">
        <f t="shared" ca="1" si="1"/>
        <v>-2.857142857142863</v>
      </c>
      <c r="K12" s="24">
        <f t="shared" si="2"/>
        <v>155400</v>
      </c>
      <c r="M12" s="3" t="s">
        <v>541</v>
      </c>
    </row>
    <row r="13" spans="1:40">
      <c r="M13" s="3" t="s">
        <v>227</v>
      </c>
      <c r="N13" s="2"/>
      <c r="O13" s="126">
        <v>44.53</v>
      </c>
      <c r="P13" s="126">
        <v>3000</v>
      </c>
      <c r="Q13" s="3">
        <f ca="1">IFERROR(__xludf.DUMMYFUNCTION("GOOGLEFINANCE(M13,""PRICE"")"),64.05)</f>
        <v>64.05</v>
      </c>
      <c r="R13" s="10">
        <f t="shared" ref="R13:R22" ca="1" si="3">(Q13-O13)*P13</f>
        <v>58559.999999999985</v>
      </c>
      <c r="U13" s="5"/>
      <c r="V13" s="12"/>
    </row>
    <row r="14" spans="1:40">
      <c r="A14" s="31" t="s">
        <v>26</v>
      </c>
      <c r="B14" s="31" t="s">
        <v>542</v>
      </c>
      <c r="C14" s="126">
        <v>109.93</v>
      </c>
      <c r="D14" s="126">
        <v>1800</v>
      </c>
      <c r="E14" s="20">
        <f ca="1">IFERROR(__xludf.DUMMYFUNCTION("GOOGLEFINANCE(A14,""price"")"),98.4)</f>
        <v>98.4</v>
      </c>
      <c r="F14" s="10">
        <f t="shared" ref="F14:F29" ca="1" si="4">(E14-C14)*D14</f>
        <v>-20754.000000000004</v>
      </c>
      <c r="G14" s="31"/>
      <c r="H14" s="126"/>
      <c r="J14" s="12">
        <f t="shared" ref="J14:J29" ca="1" si="5">(E14-C14)*100/C14</f>
        <v>-10.488492677158192</v>
      </c>
      <c r="K14" s="24">
        <f t="shared" ref="K14:K29" si="6">C14*D14</f>
        <v>197874</v>
      </c>
      <c r="M14" s="3" t="s">
        <v>228</v>
      </c>
      <c r="N14" s="2"/>
      <c r="O14" s="126">
        <v>43.88</v>
      </c>
      <c r="P14" s="126">
        <v>2500</v>
      </c>
      <c r="Q14" s="3">
        <f ca="1">IFERROR(__xludf.DUMMYFUNCTION("GOOGLEFINANCE(M14,""PRICE"")"),61)</f>
        <v>61</v>
      </c>
      <c r="R14" s="10">
        <f t="shared" ca="1" si="3"/>
        <v>42799.999999999993</v>
      </c>
      <c r="U14" s="5"/>
      <c r="V14" s="12"/>
    </row>
    <row r="15" spans="1:40">
      <c r="A15" s="3" t="s">
        <v>36</v>
      </c>
      <c r="B15" s="31" t="s">
        <v>311</v>
      </c>
      <c r="C15" s="126">
        <v>539.83000000000004</v>
      </c>
      <c r="D15" s="126">
        <v>280</v>
      </c>
      <c r="E15" s="20">
        <f ca="1">IFERROR(__xludf.DUMMYFUNCTION("GOOGLEFINANCE(A15,""price"")"),524.6)</f>
        <v>524.6</v>
      </c>
      <c r="F15" s="10">
        <f t="shared" ca="1" si="4"/>
        <v>-4264.4000000000051</v>
      </c>
      <c r="G15" s="31"/>
      <c r="H15" s="126"/>
      <c r="J15" s="12">
        <f t="shared" ca="1" si="5"/>
        <v>-2.8212585443565596</v>
      </c>
      <c r="K15" s="24">
        <f t="shared" si="6"/>
        <v>151152.40000000002</v>
      </c>
      <c r="M15" s="3" t="s">
        <v>238</v>
      </c>
      <c r="N15" s="2"/>
      <c r="O15" s="126">
        <v>352.41</v>
      </c>
      <c r="P15" s="126">
        <v>100</v>
      </c>
      <c r="Q15" s="3">
        <f ca="1">IFERROR(__xludf.DUMMYFUNCTION("GOOGLEFINANCE(M15,""PRICE"")"),522.1)</f>
        <v>522.1</v>
      </c>
      <c r="R15" s="10">
        <f t="shared" ca="1" si="3"/>
        <v>16969</v>
      </c>
    </row>
    <row r="16" spans="1:40">
      <c r="A16" s="3" t="s">
        <v>48</v>
      </c>
      <c r="B16" s="31" t="s">
        <v>543</v>
      </c>
      <c r="C16" s="126">
        <v>256.88</v>
      </c>
      <c r="D16" s="126">
        <v>750</v>
      </c>
      <c r="E16" s="20">
        <f ca="1">IFERROR(__xludf.DUMMYFUNCTION("GOOGLEFINANCE(A16,""price"")"),336.35)</f>
        <v>336.35</v>
      </c>
      <c r="F16" s="10">
        <f t="shared" ca="1" si="4"/>
        <v>59602.500000000022</v>
      </c>
      <c r="G16" s="31"/>
      <c r="H16" s="126"/>
      <c r="J16" s="12">
        <f t="shared" ca="1" si="5"/>
        <v>30.936624104640309</v>
      </c>
      <c r="K16" s="24">
        <f t="shared" si="6"/>
        <v>192660</v>
      </c>
      <c r="M16" s="3" t="s">
        <v>226</v>
      </c>
      <c r="N16" s="2"/>
      <c r="O16" s="126">
        <v>103.31</v>
      </c>
      <c r="P16" s="126">
        <v>1250</v>
      </c>
      <c r="Q16" s="3">
        <f ca="1">IFERROR(__xludf.DUMMYFUNCTION("GOOGLEFINANCE(M16,""PRICE"")"),134.5)</f>
        <v>134.5</v>
      </c>
      <c r="R16" s="10">
        <f t="shared" ca="1" si="3"/>
        <v>38987.5</v>
      </c>
    </row>
    <row r="17" spans="1:23">
      <c r="A17" s="3" t="s">
        <v>22</v>
      </c>
      <c r="B17" s="31" t="s">
        <v>544</v>
      </c>
      <c r="C17" s="126">
        <v>140.6</v>
      </c>
      <c r="D17" s="126">
        <v>1100</v>
      </c>
      <c r="E17" s="20">
        <f ca="1">IFERROR(__xludf.DUMMYFUNCTION("GOOGLEFINANCE(A17,""price"")"),122)</f>
        <v>122</v>
      </c>
      <c r="F17" s="10">
        <f t="shared" ca="1" si="4"/>
        <v>-20459.999999999993</v>
      </c>
      <c r="G17" s="31"/>
      <c r="H17" s="126"/>
      <c r="J17" s="12">
        <f t="shared" ca="1" si="5"/>
        <v>-13.229018492176385</v>
      </c>
      <c r="K17" s="24">
        <f t="shared" si="6"/>
        <v>154660</v>
      </c>
      <c r="M17" s="3" t="s">
        <v>150</v>
      </c>
      <c r="N17" s="2"/>
      <c r="O17" s="126">
        <v>1336.8</v>
      </c>
      <c r="P17" s="126">
        <v>90</v>
      </c>
      <c r="Q17" s="3">
        <f ca="1">IFERROR(__xludf.DUMMYFUNCTION("GOOGLEFINANCE(M17,""PRICE"")"),1493)</f>
        <v>1493</v>
      </c>
      <c r="R17" s="10">
        <f t="shared" ca="1" si="3"/>
        <v>14058.000000000004</v>
      </c>
      <c r="S17" s="31"/>
      <c r="U17" s="5"/>
      <c r="V17" s="12"/>
    </row>
    <row r="18" spans="1:23">
      <c r="A18" s="3" t="s">
        <v>53</v>
      </c>
      <c r="B18" s="31" t="s">
        <v>314</v>
      </c>
      <c r="C18" s="3">
        <v>3460</v>
      </c>
      <c r="D18" s="3">
        <v>50</v>
      </c>
      <c r="E18" s="20">
        <f ca="1">IFERROR(__xludf.DUMMYFUNCTION("GOOGLEFINANCE(A18,""price"")"),3989)</f>
        <v>3989</v>
      </c>
      <c r="F18" s="10">
        <f t="shared" ca="1" si="4"/>
        <v>26450</v>
      </c>
      <c r="G18" s="31"/>
      <c r="H18" s="126"/>
      <c r="J18" s="12">
        <f t="shared" ca="1" si="5"/>
        <v>15.289017341040463</v>
      </c>
      <c r="K18" s="24">
        <f t="shared" si="6"/>
        <v>173000</v>
      </c>
      <c r="M18" s="3" t="s">
        <v>545</v>
      </c>
      <c r="N18" s="31" t="s">
        <v>546</v>
      </c>
      <c r="O18" s="126">
        <v>2761.56</v>
      </c>
      <c r="P18" s="126">
        <v>50</v>
      </c>
      <c r="Q18" s="20">
        <f ca="1">IFERROR(__xludf.DUMMYFUNCTION("GOOGLEFINANCE(M18,""price"")"),2435)</f>
        <v>2435</v>
      </c>
      <c r="R18" s="10">
        <f t="shared" ca="1" si="3"/>
        <v>-16327.999999999996</v>
      </c>
    </row>
    <row r="19" spans="1:23">
      <c r="A19" s="3" t="s">
        <v>55</v>
      </c>
      <c r="B19" s="31" t="s">
        <v>547</v>
      </c>
      <c r="C19" s="126">
        <v>153.84</v>
      </c>
      <c r="D19" s="126">
        <v>400</v>
      </c>
      <c r="E19" s="20">
        <f ca="1">IFERROR(__xludf.DUMMYFUNCTION("GOOGLEFINANCE(A19,""price"")"),162.5)</f>
        <v>162.5</v>
      </c>
      <c r="F19" s="10">
        <f t="shared" ca="1" si="4"/>
        <v>3463.9999999999986</v>
      </c>
      <c r="G19" s="31"/>
      <c r="H19" s="126"/>
      <c r="J19" s="12">
        <f t="shared" ca="1" si="5"/>
        <v>5.6292251690067578</v>
      </c>
      <c r="K19" s="24">
        <f t="shared" si="6"/>
        <v>61536</v>
      </c>
      <c r="M19" s="3" t="s">
        <v>159</v>
      </c>
      <c r="N19" s="31" t="s">
        <v>548</v>
      </c>
      <c r="O19" s="126">
        <v>170.91</v>
      </c>
      <c r="P19" s="126">
        <v>700</v>
      </c>
      <c r="Q19" s="20">
        <f ca="1">IFERROR(__xludf.DUMMYFUNCTION("GOOGLEFINANCE(M19,""price"")"),218.8)</f>
        <v>218.8</v>
      </c>
      <c r="R19" s="10">
        <f t="shared" ca="1" si="3"/>
        <v>33523.000000000007</v>
      </c>
    </row>
    <row r="20" spans="1:23">
      <c r="A20" s="3" t="s">
        <v>25</v>
      </c>
      <c r="B20" s="31" t="s">
        <v>549</v>
      </c>
      <c r="C20" s="3">
        <v>142.32</v>
      </c>
      <c r="D20" s="126">
        <v>1000</v>
      </c>
      <c r="E20" s="20">
        <f ca="1">IFERROR(__xludf.DUMMYFUNCTION("GOOGLEFINANCE(A20,""price"")"),104.85)</f>
        <v>104.85</v>
      </c>
      <c r="F20" s="10">
        <f t="shared" ca="1" si="4"/>
        <v>-37470</v>
      </c>
      <c r="G20" s="31"/>
      <c r="H20" s="126"/>
      <c r="J20" s="12">
        <f t="shared" ca="1" si="5"/>
        <v>-26.327993254637438</v>
      </c>
      <c r="K20" s="24">
        <f t="shared" si="6"/>
        <v>142320</v>
      </c>
      <c r="M20" s="3" t="s">
        <v>233</v>
      </c>
      <c r="N20" s="31" t="s">
        <v>550</v>
      </c>
      <c r="O20" s="126">
        <v>159.16</v>
      </c>
      <c r="P20" s="126">
        <v>300</v>
      </c>
      <c r="Q20" s="20">
        <f ca="1">IFERROR(__xludf.DUMMYFUNCTION("GOOGLEFINANCE(M20,""price"")"),126.15)</f>
        <v>126.15</v>
      </c>
      <c r="R20" s="10">
        <f t="shared" ca="1" si="3"/>
        <v>-9902.9999999999964</v>
      </c>
    </row>
    <row r="21" spans="1:23">
      <c r="A21" s="129" t="s">
        <v>56</v>
      </c>
      <c r="B21" s="31" t="s">
        <v>322</v>
      </c>
      <c r="C21" s="126">
        <v>422.26</v>
      </c>
      <c r="D21" s="126">
        <v>360</v>
      </c>
      <c r="E21" s="20">
        <f ca="1">IFERROR(__xludf.DUMMYFUNCTION("GOOGLEFINANCE(A21,""price"")"),402)</f>
        <v>402</v>
      </c>
      <c r="F21" s="10">
        <f t="shared" ca="1" si="4"/>
        <v>-7293.5999999999967</v>
      </c>
      <c r="G21" s="31"/>
      <c r="H21" s="126"/>
      <c r="J21" s="12">
        <f t="shared" ca="1" si="5"/>
        <v>-4.7979917586321204</v>
      </c>
      <c r="K21" s="24">
        <f t="shared" si="6"/>
        <v>152013.6</v>
      </c>
      <c r="M21" s="3" t="s">
        <v>38</v>
      </c>
      <c r="N21" s="31" t="s">
        <v>551</v>
      </c>
      <c r="O21" s="126">
        <v>485.45</v>
      </c>
      <c r="P21" s="126">
        <v>100</v>
      </c>
      <c r="Q21" s="20">
        <f ca="1">IFERROR(__xludf.DUMMYFUNCTION("GOOGLEFINANCE(M21,""price"")"),461)</f>
        <v>461</v>
      </c>
      <c r="R21" s="10">
        <f t="shared" ca="1" si="3"/>
        <v>-2444.9999999999991</v>
      </c>
    </row>
    <row r="22" spans="1:23">
      <c r="A22" s="3" t="s">
        <v>28</v>
      </c>
      <c r="B22" s="31" t="s">
        <v>324</v>
      </c>
      <c r="C22" s="126">
        <v>541.62</v>
      </c>
      <c r="D22" s="126">
        <v>300</v>
      </c>
      <c r="E22" s="20">
        <f ca="1">IFERROR(__xludf.DUMMYFUNCTION("GOOGLEFINANCE(A22,""price"")"),513.5)</f>
        <v>513.5</v>
      </c>
      <c r="F22" s="10">
        <f t="shared" ca="1" si="4"/>
        <v>-8436.0000000000018</v>
      </c>
      <c r="G22" s="31"/>
      <c r="H22" s="126"/>
      <c r="J22" s="12">
        <f t="shared" ca="1" si="5"/>
        <v>-5.1918319116723914</v>
      </c>
      <c r="K22" s="24">
        <f t="shared" si="6"/>
        <v>162486</v>
      </c>
      <c r="M22" s="3" t="s">
        <v>163</v>
      </c>
      <c r="N22" s="31" t="s">
        <v>552</v>
      </c>
      <c r="O22" s="126">
        <v>677.03</v>
      </c>
      <c r="P22" s="126">
        <v>250</v>
      </c>
      <c r="Q22" s="20">
        <f ca="1">IFERROR(__xludf.DUMMYFUNCTION("GOOGLEFINANCE(M22,""price"")"),486.5)</f>
        <v>486.5</v>
      </c>
      <c r="R22" s="10">
        <f t="shared" ca="1" si="3"/>
        <v>-47632.499999999993</v>
      </c>
    </row>
    <row r="23" spans="1:23">
      <c r="A23" s="129" t="s">
        <v>49</v>
      </c>
      <c r="B23" s="31" t="s">
        <v>326</v>
      </c>
      <c r="C23" s="126">
        <v>1723.58</v>
      </c>
      <c r="D23" s="126">
        <v>100</v>
      </c>
      <c r="E23" s="20">
        <f ca="1">IFERROR(__xludf.DUMMYFUNCTION("GOOGLEFINANCE(A23,""price"")"),2030)</f>
        <v>2030</v>
      </c>
      <c r="F23" s="10">
        <f t="shared" ca="1" si="4"/>
        <v>30642.000000000007</v>
      </c>
      <c r="G23" s="31"/>
      <c r="H23" s="126"/>
      <c r="J23" s="12">
        <f t="shared" ca="1" si="5"/>
        <v>17.778112997365952</v>
      </c>
      <c r="K23" s="24">
        <f t="shared" si="6"/>
        <v>172358</v>
      </c>
      <c r="M23" s="3" t="s">
        <v>553</v>
      </c>
      <c r="N23" s="3" t="s">
        <v>554</v>
      </c>
    </row>
    <row r="24" spans="1:23">
      <c r="A24" s="3" t="s">
        <v>66</v>
      </c>
      <c r="B24" s="31" t="s">
        <v>332</v>
      </c>
      <c r="C24" s="161">
        <v>7876</v>
      </c>
      <c r="D24" s="161">
        <v>15</v>
      </c>
      <c r="E24" s="20">
        <f ca="1">IFERROR(__xludf.DUMMYFUNCTION("GOOGLEFINANCE(A24,""price"")"),8540)</f>
        <v>8540</v>
      </c>
      <c r="F24" s="10">
        <f t="shared" ca="1" si="4"/>
        <v>9960</v>
      </c>
      <c r="G24" s="31"/>
      <c r="H24" s="126"/>
      <c r="J24" s="12">
        <f t="shared" ca="1" si="5"/>
        <v>8.4306754697816153</v>
      </c>
      <c r="K24" s="24">
        <f t="shared" si="6"/>
        <v>118140</v>
      </c>
      <c r="M24" s="3" t="s">
        <v>158</v>
      </c>
      <c r="N24" s="31" t="s">
        <v>555</v>
      </c>
      <c r="O24" s="126">
        <v>1603.65</v>
      </c>
      <c r="P24" s="126">
        <v>70</v>
      </c>
      <c r="Q24" s="20">
        <f ca="1">IFERROR(__xludf.DUMMYFUNCTION("GOOGLEFINANCE(M24,""price"")"),1546)</f>
        <v>1546</v>
      </c>
      <c r="R24" s="10">
        <f t="shared" ref="R24:R26" ca="1" si="7">(Q24-O24)*P24</f>
        <v>-4035.5000000000064</v>
      </c>
    </row>
    <row r="25" spans="1:23">
      <c r="A25" s="3" t="s">
        <v>52</v>
      </c>
      <c r="B25" s="31" t="s">
        <v>556</v>
      </c>
      <c r="C25" s="3">
        <v>621.86</v>
      </c>
      <c r="D25" s="126">
        <v>150</v>
      </c>
      <c r="E25" s="20">
        <f ca="1">IFERROR(__xludf.DUMMYFUNCTION("GOOGLEFINANCE(A25,""price"")"),658)</f>
        <v>658</v>
      </c>
      <c r="F25" s="10">
        <f t="shared" ca="1" si="4"/>
        <v>5420.9999999999982</v>
      </c>
      <c r="G25" s="31"/>
      <c r="H25" s="126"/>
      <c r="J25" s="12">
        <f t="shared" ca="1" si="5"/>
        <v>5.8115974656675116</v>
      </c>
      <c r="K25" s="24">
        <f t="shared" si="6"/>
        <v>93279</v>
      </c>
      <c r="M25" s="3" t="s">
        <v>236</v>
      </c>
      <c r="N25" s="31" t="s">
        <v>557</v>
      </c>
      <c r="O25" s="126">
        <v>992.77</v>
      </c>
      <c r="P25" s="126">
        <v>100</v>
      </c>
      <c r="Q25" s="20">
        <f ca="1">IFERROR(__xludf.DUMMYFUNCTION("GOOGLEFINANCE(M25,""price"")"),881.95)</f>
        <v>881.95</v>
      </c>
      <c r="R25" s="10">
        <f t="shared" ca="1" si="7"/>
        <v>-11081.999999999993</v>
      </c>
    </row>
    <row r="26" spans="1:23">
      <c r="A26" s="3" t="s">
        <v>54</v>
      </c>
      <c r="B26" s="31" t="s">
        <v>339</v>
      </c>
      <c r="C26" s="126">
        <v>2340</v>
      </c>
      <c r="D26" s="3">
        <v>25</v>
      </c>
      <c r="E26" s="20">
        <f ca="1">IFERROR(__xludf.DUMMYFUNCTION("GOOGLEFINANCE(A26,""price"")"),2410)</f>
        <v>2410</v>
      </c>
      <c r="F26" s="10">
        <f t="shared" ca="1" si="4"/>
        <v>1750</v>
      </c>
      <c r="G26" s="31"/>
      <c r="H26" s="126"/>
      <c r="J26" s="12">
        <f t="shared" ca="1" si="5"/>
        <v>2.9914529914529915</v>
      </c>
      <c r="K26" s="24">
        <f t="shared" si="6"/>
        <v>58500</v>
      </c>
      <c r="M26" s="3" t="s">
        <v>558</v>
      </c>
      <c r="N26" s="31" t="s">
        <v>559</v>
      </c>
      <c r="O26" s="126">
        <v>795.38</v>
      </c>
      <c r="P26" s="126">
        <v>75</v>
      </c>
      <c r="Q26" s="20">
        <f ca="1">IFERROR(__xludf.DUMMYFUNCTION("GOOGLEFINANCE(M26,""price"")"),558)</f>
        <v>558</v>
      </c>
      <c r="R26" s="10">
        <f t="shared" ca="1" si="7"/>
        <v>-17803.5</v>
      </c>
    </row>
    <row r="27" spans="1:23">
      <c r="A27" s="3" t="s">
        <v>73</v>
      </c>
      <c r="B27" s="31" t="s">
        <v>343</v>
      </c>
      <c r="C27" s="3">
        <v>4117</v>
      </c>
      <c r="D27" s="3">
        <v>40</v>
      </c>
      <c r="E27" s="20">
        <f ca="1">IFERROR(__xludf.DUMMYFUNCTION("GOOGLEFINANCE(A27,""price"")"),4003.8)</f>
        <v>4003.8</v>
      </c>
      <c r="F27" s="10">
        <f t="shared" ca="1" si="4"/>
        <v>-4527.9999999999927</v>
      </c>
      <c r="G27" s="31"/>
      <c r="H27" s="126"/>
      <c r="J27" s="12">
        <f t="shared" ca="1" si="5"/>
        <v>-2.7495749332037849</v>
      </c>
      <c r="K27" s="24">
        <f t="shared" si="6"/>
        <v>164680</v>
      </c>
      <c r="M27" s="31" t="s">
        <v>560</v>
      </c>
      <c r="N27" s="126">
        <v>942.82</v>
      </c>
      <c r="O27" s="126">
        <v>160</v>
      </c>
      <c r="P27" s="20" t="str">
        <f ca="1">IFERROR(__xludf.DUMMYFUNCTION("GOOGLEFINANCE(#REF!,""price"")"),"#REF!")</f>
        <v>#REF!</v>
      </c>
      <c r="Q27" s="10" t="e">
        <f ca="1">(P27-N27)*O27</f>
        <v>#VALUE!</v>
      </c>
      <c r="R27" s="31"/>
      <c r="S27" s="126"/>
      <c r="U27" s="12" t="e">
        <f ca="1">(P27-N27)*100/N27</f>
        <v>#VALUE!</v>
      </c>
      <c r="V27" s="24">
        <f>N27*O27</f>
        <v>150851.20000000001</v>
      </c>
    </row>
    <row r="28" spans="1:23">
      <c r="A28" s="3" t="s">
        <v>75</v>
      </c>
      <c r="B28" s="31" t="s">
        <v>561</v>
      </c>
      <c r="C28" s="126">
        <v>416.48</v>
      </c>
      <c r="D28" s="126">
        <v>360</v>
      </c>
      <c r="E28" s="20">
        <f ca="1">IFERROR(__xludf.DUMMYFUNCTION("GOOGLEFINANCE(A28,""price"")"),531.7)</f>
        <v>531.70000000000005</v>
      </c>
      <c r="F28" s="10">
        <f t="shared" ca="1" si="4"/>
        <v>41479.200000000012</v>
      </c>
      <c r="G28" s="31"/>
      <c r="H28" s="126"/>
      <c r="J28" s="12">
        <f t="shared" ca="1" si="5"/>
        <v>27.665194006915105</v>
      </c>
      <c r="K28" s="24">
        <f t="shared" si="6"/>
        <v>149932.80000000002</v>
      </c>
      <c r="M28" s="3" t="s">
        <v>19</v>
      </c>
      <c r="N28" s="31" t="s">
        <v>562</v>
      </c>
      <c r="O28" s="126">
        <v>187.21</v>
      </c>
      <c r="P28" s="126">
        <v>80</v>
      </c>
      <c r="Q28" s="20">
        <f ca="1">IFERROR(__xludf.DUMMYFUNCTION("GOOGLEFINANCE(M28,""price"")"),258)</f>
        <v>258</v>
      </c>
      <c r="R28" s="10">
        <f t="shared" ref="R28:R61" ca="1" si="8">(Q28-O28)*P28</f>
        <v>5663.1999999999989</v>
      </c>
      <c r="V28" s="12">
        <f t="shared" ref="V28:V61" ca="1" si="9">(Q28-O28)*100/O28</f>
        <v>37.813151006890649</v>
      </c>
      <c r="W28" s="24">
        <f t="shared" ref="W28:W61" si="10">O28*P28</f>
        <v>14976.800000000001</v>
      </c>
    </row>
    <row r="29" spans="1:23">
      <c r="A29" s="3" t="s">
        <v>58</v>
      </c>
      <c r="B29" s="31" t="s">
        <v>563</v>
      </c>
      <c r="C29" s="126">
        <v>544.74</v>
      </c>
      <c r="D29" s="126">
        <v>250</v>
      </c>
      <c r="E29" s="20">
        <f ca="1">IFERROR(__xludf.DUMMYFUNCTION("GOOGLEFINANCE(A29,""price"")"),612.55)</f>
        <v>612.54999999999995</v>
      </c>
      <c r="F29" s="10">
        <f t="shared" ca="1" si="4"/>
        <v>16952.499999999985</v>
      </c>
      <c r="G29" s="31"/>
      <c r="H29" s="126"/>
      <c r="J29" s="12">
        <f t="shared" ca="1" si="5"/>
        <v>12.448140397253725</v>
      </c>
      <c r="K29" s="24">
        <f t="shared" si="6"/>
        <v>136185</v>
      </c>
      <c r="M29" s="3" t="s">
        <v>564</v>
      </c>
      <c r="O29" s="3">
        <v>420.11</v>
      </c>
      <c r="P29" s="126">
        <v>300</v>
      </c>
      <c r="Q29" s="20">
        <f ca="1">IFERROR(__xludf.DUMMYFUNCTION("GOOGLEFINANCE(M29,""price"")"),353.8)</f>
        <v>353.8</v>
      </c>
      <c r="R29" s="10">
        <f t="shared" ca="1" si="8"/>
        <v>-19893</v>
      </c>
      <c r="S29" s="31"/>
      <c r="T29" s="126"/>
      <c r="V29" s="12">
        <f t="shared" ca="1" si="9"/>
        <v>-15.783961343457666</v>
      </c>
      <c r="W29" s="24">
        <f t="shared" si="10"/>
        <v>126033</v>
      </c>
    </row>
    <row r="30" spans="1:23">
      <c r="M30" s="3" t="s">
        <v>565</v>
      </c>
      <c r="N30" s="31" t="s">
        <v>566</v>
      </c>
      <c r="O30" s="126">
        <v>57.5</v>
      </c>
      <c r="P30" s="126">
        <v>200</v>
      </c>
      <c r="Q30" s="20">
        <f ca="1">IFERROR(__xludf.DUMMYFUNCTION("GOOGLEFINANCE(M30,""price"")"),54.25)</f>
        <v>54.25</v>
      </c>
      <c r="R30" s="10">
        <f t="shared" ca="1" si="8"/>
        <v>-650</v>
      </c>
      <c r="S30" s="31"/>
      <c r="T30" s="126"/>
      <c r="V30" s="12">
        <f t="shared" ca="1" si="9"/>
        <v>-5.6521739130434785</v>
      </c>
      <c r="W30" s="24">
        <f t="shared" si="10"/>
        <v>11500</v>
      </c>
    </row>
    <row r="31" spans="1:23">
      <c r="M31" s="3" t="s">
        <v>173</v>
      </c>
      <c r="N31" s="31" t="s">
        <v>567</v>
      </c>
      <c r="O31" s="126">
        <v>464.59</v>
      </c>
      <c r="P31" s="126">
        <v>100</v>
      </c>
      <c r="Q31" s="20">
        <f ca="1">IFERROR(__xludf.DUMMYFUNCTION("GOOGLEFINANCE(M31,""price"")"),498)</f>
        <v>498</v>
      </c>
      <c r="R31" s="10">
        <f t="shared" ca="1" si="8"/>
        <v>3341.0000000000027</v>
      </c>
      <c r="T31" s="31"/>
      <c r="V31" s="12">
        <f t="shared" ca="1" si="9"/>
        <v>7.1912869411739448</v>
      </c>
      <c r="W31" s="24">
        <f t="shared" si="10"/>
        <v>46459</v>
      </c>
    </row>
    <row r="32" spans="1:23">
      <c r="M32" s="3" t="s">
        <v>170</v>
      </c>
      <c r="N32" s="31" t="s">
        <v>568</v>
      </c>
      <c r="O32" s="126">
        <v>1254.21</v>
      </c>
      <c r="P32" s="126">
        <v>110</v>
      </c>
      <c r="Q32" s="20">
        <f ca="1">IFERROR(__xludf.DUMMYFUNCTION("GOOGLEFINANCE(M32,""price"")"),1164.8)</f>
        <v>1164.8</v>
      </c>
      <c r="R32" s="10">
        <f t="shared" ca="1" si="8"/>
        <v>-9835.1000000000095</v>
      </c>
      <c r="S32" s="31"/>
      <c r="T32" s="126"/>
      <c r="V32" s="12">
        <f t="shared" ca="1" si="9"/>
        <v>-7.1287902344902427</v>
      </c>
      <c r="W32" s="24">
        <f t="shared" si="10"/>
        <v>137963.1</v>
      </c>
    </row>
    <row r="33" spans="4:40">
      <c r="M33" s="3" t="s">
        <v>162</v>
      </c>
      <c r="N33" s="31" t="s">
        <v>569</v>
      </c>
      <c r="O33" s="126">
        <v>400.2</v>
      </c>
      <c r="P33" s="126">
        <v>59</v>
      </c>
      <c r="Q33" s="20">
        <f ca="1">IFERROR(__xludf.DUMMYFUNCTION("GOOGLEFINANCE(M33,""price"")"),880)</f>
        <v>880</v>
      </c>
      <c r="R33" s="10">
        <f t="shared" ca="1" si="8"/>
        <v>28308.2</v>
      </c>
      <c r="S33" s="31"/>
      <c r="T33" s="126"/>
      <c r="V33" s="12">
        <f t="shared" ca="1" si="9"/>
        <v>119.89005497251375</v>
      </c>
      <c r="W33" s="24">
        <f t="shared" si="10"/>
        <v>23611.8</v>
      </c>
    </row>
    <row r="34" spans="4:40">
      <c r="L34" s="3">
        <v>230.7</v>
      </c>
      <c r="M34" s="3" t="s">
        <v>168</v>
      </c>
      <c r="N34" s="31" t="s">
        <v>570</v>
      </c>
      <c r="O34" s="126">
        <v>174.45</v>
      </c>
      <c r="P34" s="126">
        <v>750</v>
      </c>
      <c r="Q34" s="20">
        <f ca="1">IFERROR(__xludf.DUMMYFUNCTION("GOOGLEFINANCE(M34,""price"")"),226.25)</f>
        <v>226.25</v>
      </c>
      <c r="R34" s="10">
        <f t="shared" ca="1" si="8"/>
        <v>38850.000000000007</v>
      </c>
      <c r="S34" s="31"/>
      <c r="T34" s="126"/>
      <c r="V34" s="12">
        <f t="shared" ca="1" si="9"/>
        <v>29.693321868730301</v>
      </c>
      <c r="W34" s="24">
        <f t="shared" si="10"/>
        <v>130837.49999999999</v>
      </c>
    </row>
    <row r="35" spans="4:40">
      <c r="L35" s="3">
        <v>227</v>
      </c>
      <c r="M35" s="31" t="s">
        <v>171</v>
      </c>
      <c r="N35" s="31" t="s">
        <v>571</v>
      </c>
      <c r="O35" s="126">
        <v>216.01</v>
      </c>
      <c r="P35" s="126">
        <v>750</v>
      </c>
      <c r="Q35" s="20">
        <f ca="1">IFERROR(__xludf.DUMMYFUNCTION("GOOGLEFINANCE(M35,""price"")"),223.1)</f>
        <v>223.1</v>
      </c>
      <c r="R35" s="10">
        <f t="shared" ca="1" si="8"/>
        <v>5317.5000000000027</v>
      </c>
      <c r="S35" s="31"/>
      <c r="T35" s="126"/>
      <c r="V35" s="12">
        <f t="shared" ca="1" si="9"/>
        <v>3.2822554511365234</v>
      </c>
      <c r="W35" s="24">
        <f t="shared" si="10"/>
        <v>162007.5</v>
      </c>
    </row>
    <row r="36" spans="4:40">
      <c r="L36" s="3">
        <v>330</v>
      </c>
      <c r="M36" s="3" t="s">
        <v>237</v>
      </c>
      <c r="N36" s="31" t="s">
        <v>572</v>
      </c>
      <c r="O36" s="126">
        <v>276.83999999999997</v>
      </c>
      <c r="P36" s="126">
        <v>500</v>
      </c>
      <c r="Q36" s="20">
        <f ca="1">IFERROR(__xludf.DUMMYFUNCTION("GOOGLEFINANCE(M36,""price"")"),318)</f>
        <v>318</v>
      </c>
      <c r="R36" s="10">
        <f t="shared" ca="1" si="8"/>
        <v>20580.000000000011</v>
      </c>
      <c r="V36" s="12">
        <f t="shared" ca="1" si="9"/>
        <v>14.867793671434775</v>
      </c>
      <c r="W36" s="24">
        <f t="shared" si="10"/>
        <v>138420</v>
      </c>
    </row>
    <row r="37" spans="4:40">
      <c r="L37" s="3">
        <v>39.700000000000003</v>
      </c>
      <c r="M37" s="3" t="s">
        <v>165</v>
      </c>
      <c r="N37" s="31" t="s">
        <v>573</v>
      </c>
      <c r="O37" s="126">
        <v>34.04</v>
      </c>
      <c r="P37" s="126">
        <v>5000</v>
      </c>
      <c r="Q37" s="20">
        <f ca="1">IFERROR(__xludf.DUMMYFUNCTION("GOOGLEFINANCE(M37,""price"")"),32.1)</f>
        <v>32.1</v>
      </c>
      <c r="R37" s="10">
        <f t="shared" ca="1" si="8"/>
        <v>-9699.9999999999891</v>
      </c>
      <c r="S37" s="31"/>
      <c r="T37" s="126"/>
      <c r="V37" s="12">
        <f t="shared" ca="1" si="9"/>
        <v>-5.6991774383078662</v>
      </c>
      <c r="W37" s="24">
        <f t="shared" si="10"/>
        <v>170200</v>
      </c>
    </row>
    <row r="38" spans="4:40">
      <c r="L38" s="3">
        <v>815.2</v>
      </c>
      <c r="M38" s="3" t="s">
        <v>169</v>
      </c>
      <c r="N38" s="31" t="s">
        <v>574</v>
      </c>
      <c r="O38" s="126">
        <v>923.65</v>
      </c>
      <c r="P38" s="126">
        <v>113</v>
      </c>
      <c r="Q38" s="20">
        <f ca="1">IFERROR(__xludf.DUMMYFUNCTION("GOOGLEFINANCE(M38,""price"")"),770)</f>
        <v>770</v>
      </c>
      <c r="R38" s="10">
        <f t="shared" ca="1" si="8"/>
        <v>-17362.449999999997</v>
      </c>
      <c r="S38" s="31"/>
      <c r="T38" s="126"/>
      <c r="V38" s="12">
        <f t="shared" ca="1" si="9"/>
        <v>-16.635089048882151</v>
      </c>
      <c r="W38" s="24">
        <f t="shared" si="10"/>
        <v>104372.45</v>
      </c>
    </row>
    <row r="39" spans="4:40">
      <c r="L39" s="3">
        <v>193.5</v>
      </c>
      <c r="M39" s="3" t="s">
        <v>77</v>
      </c>
      <c r="N39" s="31" t="s">
        <v>575</v>
      </c>
      <c r="O39" s="126">
        <v>176.41</v>
      </c>
      <c r="P39" s="126">
        <v>271</v>
      </c>
      <c r="Q39" s="20">
        <f ca="1">IFERROR(__xludf.DUMMYFUNCTION("GOOGLEFINANCE(M39,""price"")"),170.2)</f>
        <v>170.2</v>
      </c>
      <c r="R39" s="10">
        <f t="shared" ca="1" si="8"/>
        <v>-1682.9100000000021</v>
      </c>
      <c r="S39" s="31"/>
      <c r="T39" s="126" t="s">
        <v>576</v>
      </c>
      <c r="V39" s="12">
        <f t="shared" ca="1" si="9"/>
        <v>-3.5202086049543722</v>
      </c>
      <c r="W39" s="24">
        <f t="shared" si="10"/>
        <v>47807.11</v>
      </c>
    </row>
    <row r="40" spans="4:40">
      <c r="L40" s="3">
        <v>99.55</v>
      </c>
      <c r="M40" s="3" t="s">
        <v>577</v>
      </c>
      <c r="N40" s="31" t="s">
        <v>578</v>
      </c>
      <c r="O40" s="126">
        <v>112.34</v>
      </c>
      <c r="P40" s="126">
        <v>1000</v>
      </c>
      <c r="Q40" s="20">
        <f ca="1">IFERROR(__xludf.DUMMYFUNCTION("GOOGLEFINANCE(M40,""price"")"),104.35)</f>
        <v>104.35</v>
      </c>
      <c r="R40" s="10">
        <f t="shared" ca="1" si="8"/>
        <v>-7990.0000000000091</v>
      </c>
      <c r="S40" s="31"/>
      <c r="T40" s="126"/>
      <c r="V40" s="12">
        <f t="shared" ca="1" si="9"/>
        <v>-7.1123375467331398</v>
      </c>
      <c r="W40" s="24">
        <f t="shared" si="10"/>
        <v>112340</v>
      </c>
    </row>
    <row r="41" spans="4:40">
      <c r="M41" s="3" t="s">
        <v>40</v>
      </c>
      <c r="N41" s="31" t="s">
        <v>579</v>
      </c>
      <c r="O41" s="3">
        <v>25.78</v>
      </c>
      <c r="P41" s="126">
        <v>372</v>
      </c>
      <c r="Q41" s="20">
        <f ca="1">IFERROR(__xludf.DUMMYFUNCTION("GOOGLEFINANCE(M41,""price"")"),20.6)</f>
        <v>20.6</v>
      </c>
      <c r="R41" s="10">
        <f t="shared" ca="1" si="8"/>
        <v>-1926.9599999999998</v>
      </c>
      <c r="S41" s="31"/>
      <c r="T41" s="126"/>
      <c r="V41" s="12">
        <f t="shared" ca="1" si="9"/>
        <v>-20.093095422808378</v>
      </c>
      <c r="W41" s="24">
        <f t="shared" si="10"/>
        <v>9590.16</v>
      </c>
    </row>
    <row r="42" spans="4:40">
      <c r="M42" s="31" t="s">
        <v>179</v>
      </c>
      <c r="N42" s="31" t="s">
        <v>580</v>
      </c>
      <c r="O42" s="126">
        <v>1875.61</v>
      </c>
      <c r="P42" s="126">
        <v>40</v>
      </c>
      <c r="Q42" s="20">
        <f ca="1">IFERROR(__xludf.DUMMYFUNCTION("GOOGLEFINANCE(M42,""price"")"),1865.55)</f>
        <v>1865.55</v>
      </c>
      <c r="R42" s="10">
        <f t="shared" ca="1" si="8"/>
        <v>-402.39999999999782</v>
      </c>
      <c r="S42" s="31"/>
      <c r="T42" s="126"/>
      <c r="V42" s="12">
        <f t="shared" ca="1" si="9"/>
        <v>-0.53635883792472561</v>
      </c>
      <c r="W42" s="24">
        <f t="shared" si="10"/>
        <v>75024.399999999994</v>
      </c>
    </row>
    <row r="43" spans="4:40">
      <c r="E43" s="161"/>
      <c r="M43" s="3" t="s">
        <v>182</v>
      </c>
      <c r="N43" s="31" t="s">
        <v>581</v>
      </c>
      <c r="O43" s="126">
        <v>965.8</v>
      </c>
      <c r="P43" s="126">
        <v>110</v>
      </c>
      <c r="Q43" s="20">
        <f ca="1">IFERROR(__xludf.DUMMYFUNCTION("GOOGLEFINANCE(M43,""price"")"),1200)</f>
        <v>1200</v>
      </c>
      <c r="R43" s="10">
        <f t="shared" ca="1" si="8"/>
        <v>25762.000000000004</v>
      </c>
      <c r="S43" s="31"/>
      <c r="T43" s="126"/>
      <c r="V43" s="12">
        <f t="shared" ca="1" si="9"/>
        <v>24.249326982812182</v>
      </c>
      <c r="W43" s="24">
        <f t="shared" si="10"/>
        <v>106238</v>
      </c>
    </row>
    <row r="44" spans="4:40">
      <c r="E44" s="161"/>
      <c r="M44" s="3" t="s">
        <v>240</v>
      </c>
      <c r="N44" s="31" t="s">
        <v>582</v>
      </c>
      <c r="O44" s="126">
        <v>4402.29</v>
      </c>
      <c r="P44" s="126">
        <v>35</v>
      </c>
      <c r="Q44" s="20">
        <f ca="1">IFERROR(__xludf.DUMMYFUNCTION("GOOGLEFINANCE(M44,""price"")"),8649)</f>
        <v>8649</v>
      </c>
      <c r="R44" s="10">
        <f t="shared" ca="1" si="8"/>
        <v>148634.85</v>
      </c>
      <c r="S44" s="31"/>
      <c r="T44" s="126"/>
      <c r="V44" s="12">
        <f t="shared" ca="1" si="9"/>
        <v>96.465930231765739</v>
      </c>
      <c r="W44" s="24">
        <f t="shared" si="10"/>
        <v>154080.15</v>
      </c>
    </row>
    <row r="45" spans="4:40">
      <c r="D45" s="32"/>
      <c r="E45" s="161"/>
      <c r="L45" s="161"/>
      <c r="M45" s="3" t="s">
        <v>180</v>
      </c>
      <c r="N45" s="31" t="s">
        <v>583</v>
      </c>
      <c r="O45" s="126">
        <v>280.86</v>
      </c>
      <c r="P45" s="126">
        <v>475</v>
      </c>
      <c r="Q45" s="20">
        <f ca="1">IFERROR(__xludf.DUMMYFUNCTION("GOOGLEFINANCE(M45,""price"")"),370.05)</f>
        <v>370.05</v>
      </c>
      <c r="R45" s="10">
        <f t="shared" ca="1" si="8"/>
        <v>42365.25</v>
      </c>
      <c r="S45" s="31"/>
      <c r="T45" s="126"/>
      <c r="V45" s="12">
        <f t="shared" ca="1" si="9"/>
        <v>31.756035035248878</v>
      </c>
      <c r="W45" s="24">
        <f t="shared" si="10"/>
        <v>133408.5</v>
      </c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</row>
    <row r="46" spans="4:40">
      <c r="D46" s="32"/>
      <c r="E46" s="161"/>
      <c r="L46" s="161"/>
      <c r="M46" s="3" t="s">
        <v>174</v>
      </c>
      <c r="N46" s="31" t="s">
        <v>584</v>
      </c>
      <c r="O46" s="126">
        <v>985.18</v>
      </c>
      <c r="P46" s="126">
        <v>130</v>
      </c>
      <c r="Q46" s="20">
        <f ca="1">IFERROR(__xludf.DUMMYFUNCTION("GOOGLEFINANCE(M46,""price"")"),924)</f>
        <v>924</v>
      </c>
      <c r="R46" s="10">
        <f t="shared" ca="1" si="8"/>
        <v>-7953.3999999999933</v>
      </c>
      <c r="S46" s="31"/>
      <c r="T46" s="126"/>
      <c r="V46" s="12">
        <f t="shared" ca="1" si="9"/>
        <v>-6.2100326843825444</v>
      </c>
      <c r="W46" s="24">
        <f t="shared" si="10"/>
        <v>128073.4</v>
      </c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</row>
    <row r="47" spans="4:40">
      <c r="D47" s="32"/>
      <c r="E47" s="161"/>
      <c r="M47" s="3" t="s">
        <v>175</v>
      </c>
      <c r="N47" s="31" t="s">
        <v>585</v>
      </c>
      <c r="O47" s="126">
        <v>982.14</v>
      </c>
      <c r="P47" s="126">
        <v>120</v>
      </c>
      <c r="Q47" s="20">
        <f ca="1">IFERROR(__xludf.DUMMYFUNCTION("GOOGLEFINANCE(M47,""price"")"),1539.9)</f>
        <v>1539.9</v>
      </c>
      <c r="R47" s="10">
        <f t="shared" ca="1" si="8"/>
        <v>66931.200000000012</v>
      </c>
      <c r="S47" s="31"/>
      <c r="T47" s="126"/>
      <c r="V47" s="12">
        <f t="shared" ca="1" si="9"/>
        <v>56.790274298979789</v>
      </c>
      <c r="W47" s="24">
        <f t="shared" si="10"/>
        <v>117856.8</v>
      </c>
    </row>
    <row r="48" spans="4:40">
      <c r="D48" s="32"/>
      <c r="E48" s="161"/>
      <c r="L48" s="3">
        <v>410</v>
      </c>
      <c r="M48" s="3" t="s">
        <v>241</v>
      </c>
      <c r="N48" s="31" t="s">
        <v>586</v>
      </c>
      <c r="O48" s="126">
        <v>306.92</v>
      </c>
      <c r="P48" s="126">
        <v>450</v>
      </c>
      <c r="Q48" s="20">
        <f ca="1">IFERROR(__xludf.DUMMYFUNCTION("GOOGLEFINANCE(M48,""price"")"),399.8)</f>
        <v>399.8</v>
      </c>
      <c r="R48" s="10">
        <f t="shared" ca="1" si="8"/>
        <v>41796</v>
      </c>
      <c r="S48" s="31"/>
      <c r="T48" s="126"/>
      <c r="V48" s="12">
        <f t="shared" ca="1" si="9"/>
        <v>30.261957513358528</v>
      </c>
      <c r="W48" s="24">
        <f t="shared" si="10"/>
        <v>138114</v>
      </c>
    </row>
    <row r="49" spans="4:23">
      <c r="D49" s="32"/>
      <c r="E49" s="161"/>
      <c r="L49" s="3">
        <v>195</v>
      </c>
      <c r="M49" s="3" t="s">
        <v>217</v>
      </c>
      <c r="N49" s="31" t="s">
        <v>587</v>
      </c>
      <c r="O49" s="126">
        <v>139.41999999999999</v>
      </c>
      <c r="P49" s="126">
        <v>1100</v>
      </c>
      <c r="Q49" s="20">
        <f ca="1">IFERROR(__xludf.DUMMYFUNCTION("GOOGLEFINANCE(M49,""price"")"),216.05)</f>
        <v>216.05</v>
      </c>
      <c r="R49" s="10">
        <f t="shared" ca="1" si="8"/>
        <v>84293.000000000029</v>
      </c>
      <c r="S49" s="31"/>
      <c r="T49" s="126"/>
      <c r="V49" s="12">
        <f t="shared" ca="1" si="9"/>
        <v>54.963419882369841</v>
      </c>
      <c r="W49" s="24">
        <f t="shared" si="10"/>
        <v>153362</v>
      </c>
    </row>
    <row r="50" spans="4:23">
      <c r="D50" s="32"/>
      <c r="E50" s="161"/>
      <c r="L50" s="3">
        <v>1030</v>
      </c>
      <c r="M50" s="3" t="s">
        <v>202</v>
      </c>
      <c r="N50" s="31" t="s">
        <v>588</v>
      </c>
      <c r="O50" s="3">
        <v>1078</v>
      </c>
      <c r="P50" s="3">
        <v>100</v>
      </c>
      <c r="Q50" s="20">
        <f ca="1">IFERROR(__xludf.DUMMYFUNCTION("GOOGLEFINANCE(M50,""price"")"),1136.5)</f>
        <v>1136.5</v>
      </c>
      <c r="R50" s="10">
        <f t="shared" ca="1" si="8"/>
        <v>5850</v>
      </c>
      <c r="S50" s="31"/>
      <c r="T50" s="126"/>
      <c r="V50" s="12">
        <f t="shared" ca="1" si="9"/>
        <v>5.4267161410018554</v>
      </c>
      <c r="W50" s="24">
        <f t="shared" si="10"/>
        <v>107800</v>
      </c>
    </row>
    <row r="51" spans="4:23">
      <c r="D51" s="32"/>
      <c r="E51" s="161"/>
      <c r="L51" s="3">
        <v>795.22</v>
      </c>
      <c r="M51" s="3" t="s">
        <v>204</v>
      </c>
      <c r="N51" s="31" t="s">
        <v>511</v>
      </c>
      <c r="O51" s="126">
        <v>915.74</v>
      </c>
      <c r="P51" s="126">
        <v>170</v>
      </c>
      <c r="Q51" s="20">
        <f ca="1">IFERROR(__xludf.DUMMYFUNCTION("GOOGLEFINANCE(M51,""price"")"),827)</f>
        <v>827</v>
      </c>
      <c r="R51" s="10">
        <f t="shared" ca="1" si="8"/>
        <v>-15085.800000000001</v>
      </c>
      <c r="S51" s="31"/>
      <c r="T51" s="126"/>
      <c r="V51" s="12">
        <f t="shared" ca="1" si="9"/>
        <v>-9.6905235110402508</v>
      </c>
      <c r="W51" s="24">
        <f t="shared" si="10"/>
        <v>155675.79999999999</v>
      </c>
    </row>
    <row r="52" spans="4:23">
      <c r="D52" s="32"/>
      <c r="E52" s="161"/>
      <c r="L52" s="3">
        <v>47.2</v>
      </c>
      <c r="M52" s="3" t="s">
        <v>63</v>
      </c>
      <c r="N52" s="31" t="s">
        <v>512</v>
      </c>
      <c r="O52" s="3">
        <v>61.07</v>
      </c>
      <c r="P52" s="126">
        <v>2600</v>
      </c>
      <c r="Q52" s="20">
        <f ca="1">IFERROR(__xludf.DUMMYFUNCTION("GOOGLEFINANCE(M52,""price"")"),53)</f>
        <v>53</v>
      </c>
      <c r="R52" s="10">
        <f t="shared" ca="1" si="8"/>
        <v>-20982</v>
      </c>
      <c r="S52" s="31"/>
      <c r="T52" s="126"/>
      <c r="V52" s="12">
        <f t="shared" ca="1" si="9"/>
        <v>-13.214344195185852</v>
      </c>
      <c r="W52" s="24">
        <f t="shared" si="10"/>
        <v>158782</v>
      </c>
    </row>
    <row r="53" spans="4:23">
      <c r="D53" s="32"/>
      <c r="E53" s="161"/>
      <c r="L53" s="3">
        <v>48.2</v>
      </c>
      <c r="M53" s="3" t="s">
        <v>181</v>
      </c>
      <c r="N53" s="31" t="s">
        <v>589</v>
      </c>
      <c r="O53" s="126">
        <v>43.96</v>
      </c>
      <c r="P53" s="126">
        <v>3000</v>
      </c>
      <c r="Q53" s="20">
        <f ca="1">IFERROR(__xludf.DUMMYFUNCTION("GOOGLEFINANCE(M53,""price"")"),51.3)</f>
        <v>51.3</v>
      </c>
      <c r="R53" s="10">
        <f t="shared" ca="1" si="8"/>
        <v>22019.999999999989</v>
      </c>
      <c r="S53" s="31"/>
      <c r="T53" s="126"/>
      <c r="V53" s="12">
        <f t="shared" ca="1" si="9"/>
        <v>16.696997270245671</v>
      </c>
      <c r="W53" s="24">
        <f t="shared" si="10"/>
        <v>131880</v>
      </c>
    </row>
    <row r="54" spans="4:23">
      <c r="D54" s="32"/>
      <c r="E54" s="161"/>
      <c r="L54" s="3">
        <v>239.5</v>
      </c>
      <c r="M54" s="3" t="s">
        <v>200</v>
      </c>
      <c r="N54" s="31" t="s">
        <v>590</v>
      </c>
      <c r="O54" s="126">
        <v>303.89999999999998</v>
      </c>
      <c r="P54" s="126">
        <v>500</v>
      </c>
      <c r="Q54" s="20">
        <f ca="1">IFERROR(__xludf.DUMMYFUNCTION("GOOGLEFINANCE(M54,""price"")"),265)</f>
        <v>265</v>
      </c>
      <c r="R54" s="10">
        <f t="shared" ca="1" si="8"/>
        <v>-19449.999999999989</v>
      </c>
      <c r="S54" s="31"/>
      <c r="T54" s="126"/>
      <c r="V54" s="12">
        <f t="shared" ca="1" si="9"/>
        <v>-12.800263244488312</v>
      </c>
      <c r="W54" s="24">
        <f t="shared" si="10"/>
        <v>151950</v>
      </c>
    </row>
    <row r="55" spans="4:23">
      <c r="D55" s="32"/>
      <c r="E55" s="161"/>
      <c r="M55" s="3" t="s">
        <v>591</v>
      </c>
      <c r="N55" s="31" t="s">
        <v>592</v>
      </c>
      <c r="O55" s="126">
        <v>2994.37</v>
      </c>
      <c r="P55" s="126">
        <v>35</v>
      </c>
      <c r="Q55" s="20">
        <f ca="1">IFERROR(__xludf.DUMMYFUNCTION("GOOGLEFINANCE(M55,""price"")"),3375)</f>
        <v>3375</v>
      </c>
      <c r="R55" s="10">
        <f t="shared" ca="1" si="8"/>
        <v>13322.050000000003</v>
      </c>
      <c r="S55" s="31"/>
      <c r="T55" s="126"/>
      <c r="V55" s="12">
        <f t="shared" ca="1" si="9"/>
        <v>12.711521956204482</v>
      </c>
      <c r="W55" s="24">
        <f t="shared" si="10"/>
        <v>104802.95</v>
      </c>
    </row>
    <row r="56" spans="4:23">
      <c r="D56" s="32"/>
      <c r="E56" s="161"/>
      <c r="M56" s="31" t="s">
        <v>520</v>
      </c>
      <c r="N56" s="31" t="s">
        <v>593</v>
      </c>
      <c r="O56" s="3">
        <v>35.369999999999997</v>
      </c>
      <c r="P56" s="126">
        <v>3200</v>
      </c>
      <c r="Q56" s="20">
        <f ca="1">IFERROR(__xludf.DUMMYFUNCTION("GOOGLEFINANCE(M56,""price"")"),32.7)</f>
        <v>32.700000000000003</v>
      </c>
      <c r="R56" s="10">
        <f t="shared" ca="1" si="8"/>
        <v>-8543.9999999999818</v>
      </c>
      <c r="S56" s="31"/>
      <c r="T56" s="126"/>
      <c r="V56" s="12">
        <f t="shared" ca="1" si="9"/>
        <v>-7.5487701441899757</v>
      </c>
      <c r="W56" s="24">
        <f t="shared" si="10"/>
        <v>113183.99999999999</v>
      </c>
    </row>
    <row r="57" spans="4:23">
      <c r="D57" s="32"/>
      <c r="E57" s="161"/>
      <c r="M57" s="3" t="s">
        <v>185</v>
      </c>
      <c r="N57" s="31" t="s">
        <v>594</v>
      </c>
      <c r="O57" s="126">
        <v>66.7</v>
      </c>
      <c r="P57" s="126">
        <v>2001</v>
      </c>
      <c r="Q57" s="20">
        <f ca="1">IFERROR(__xludf.DUMMYFUNCTION("GOOGLEFINANCE(M57,""price"")"),84.85)</f>
        <v>84.85</v>
      </c>
      <c r="R57" s="10">
        <f t="shared" ca="1" si="8"/>
        <v>36318.14999999998</v>
      </c>
      <c r="S57" s="31"/>
      <c r="T57" s="126"/>
      <c r="V57" s="12">
        <f t="shared" ca="1" si="9"/>
        <v>27.211394302848561</v>
      </c>
      <c r="W57" s="24">
        <f t="shared" si="10"/>
        <v>133466.70000000001</v>
      </c>
    </row>
    <row r="58" spans="4:23">
      <c r="D58" s="32"/>
      <c r="E58" s="161"/>
      <c r="M58" s="3" t="s">
        <v>201</v>
      </c>
      <c r="N58" s="31" t="s">
        <v>595</v>
      </c>
      <c r="O58" s="3">
        <v>149.44999999999999</v>
      </c>
      <c r="P58" s="126">
        <v>1000</v>
      </c>
      <c r="Q58" s="20">
        <f ca="1">IFERROR(__xludf.DUMMYFUNCTION("GOOGLEFINANCE(M58,""price"")"),128.65)</f>
        <v>128.65</v>
      </c>
      <c r="R58" s="10">
        <f t="shared" ca="1" si="8"/>
        <v>-20799.999999999982</v>
      </c>
      <c r="S58" s="31"/>
      <c r="T58" s="126"/>
      <c r="V58" s="12">
        <f t="shared" ca="1" si="9"/>
        <v>-13.917698226831705</v>
      </c>
      <c r="W58" s="24">
        <f t="shared" si="10"/>
        <v>149450</v>
      </c>
    </row>
    <row r="59" spans="4:23">
      <c r="D59" s="32"/>
      <c r="E59" s="161"/>
      <c r="M59" s="3" t="s">
        <v>596</v>
      </c>
      <c r="N59" s="31" t="s">
        <v>597</v>
      </c>
      <c r="O59" s="126">
        <v>170.26</v>
      </c>
      <c r="P59" s="126">
        <v>500</v>
      </c>
      <c r="Q59" s="20">
        <f ca="1">IFERROR(__xludf.DUMMYFUNCTION("GOOGLEFINANCE(M59,""price"")"),220.45)</f>
        <v>220.45</v>
      </c>
      <c r="R59" s="10">
        <f t="shared" ca="1" si="8"/>
        <v>25095</v>
      </c>
      <c r="S59" s="31"/>
      <c r="T59" s="126"/>
      <c r="V59" s="12">
        <f t="shared" ca="1" si="9"/>
        <v>29.478444731586986</v>
      </c>
      <c r="W59" s="24">
        <f t="shared" si="10"/>
        <v>85130</v>
      </c>
    </row>
    <row r="60" spans="4:23">
      <c r="D60" s="32"/>
      <c r="E60" s="161"/>
      <c r="L60" s="3">
        <v>59.2</v>
      </c>
      <c r="M60" s="3" t="s">
        <v>245</v>
      </c>
      <c r="N60" s="31" t="s">
        <v>598</v>
      </c>
      <c r="O60" s="126">
        <v>35.03</v>
      </c>
      <c r="P60" s="126">
        <v>3000</v>
      </c>
      <c r="Q60" s="20">
        <f ca="1">IFERROR(__xludf.DUMMYFUNCTION("GOOGLEFINANCE(M60,""price"")"),68)</f>
        <v>68</v>
      </c>
      <c r="R60" s="10">
        <f t="shared" ca="1" si="8"/>
        <v>98910</v>
      </c>
      <c r="S60" s="31"/>
      <c r="T60" s="126"/>
      <c r="V60" s="12">
        <f t="shared" ca="1" si="9"/>
        <v>94.119326291749928</v>
      </c>
      <c r="W60" s="24">
        <f t="shared" si="10"/>
        <v>105090</v>
      </c>
    </row>
    <row r="61" spans="4:23">
      <c r="D61" s="32">
        <v>45217</v>
      </c>
      <c r="E61" s="161" t="s">
        <v>599</v>
      </c>
      <c r="L61" s="3">
        <v>312.8</v>
      </c>
      <c r="M61" s="3" t="s">
        <v>42</v>
      </c>
      <c r="N61" s="31" t="s">
        <v>600</v>
      </c>
      <c r="O61" s="126">
        <v>308.56</v>
      </c>
      <c r="P61" s="126">
        <v>710</v>
      </c>
      <c r="Q61" s="20">
        <f ca="1">IFERROR(__xludf.DUMMYFUNCTION("GOOGLEFINANCE(M61,""price"")"),307.95)</f>
        <v>307.95</v>
      </c>
      <c r="R61" s="10">
        <f t="shared" ca="1" si="8"/>
        <v>-433.10000000000969</v>
      </c>
      <c r="S61" s="31"/>
      <c r="T61" s="126"/>
      <c r="V61" s="12">
        <f t="shared" ca="1" si="9"/>
        <v>-0.19769250712989811</v>
      </c>
      <c r="W61" s="24">
        <f t="shared" si="10"/>
        <v>219077.6</v>
      </c>
    </row>
    <row r="62" spans="4:23" ht="13">
      <c r="D62" s="32">
        <v>45217</v>
      </c>
      <c r="E62" s="161" t="s">
        <v>601</v>
      </c>
    </row>
    <row r="63" spans="4:23" ht="13">
      <c r="D63" s="32">
        <v>45217</v>
      </c>
      <c r="E63" s="161" t="s">
        <v>602</v>
      </c>
    </row>
    <row r="64" spans="4:23" ht="13">
      <c r="D64" s="32">
        <v>45217</v>
      </c>
      <c r="E64" s="161" t="s">
        <v>603</v>
      </c>
    </row>
    <row r="65" spans="4:40" ht="13">
      <c r="D65" s="32">
        <v>45217</v>
      </c>
      <c r="E65" s="161" t="s">
        <v>122</v>
      </c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</row>
    <row r="66" spans="4:40" ht="13">
      <c r="D66" s="32">
        <v>45217</v>
      </c>
      <c r="E66" s="161" t="s">
        <v>604</v>
      </c>
    </row>
    <row r="67" spans="4:40" ht="13">
      <c r="D67" s="32">
        <v>45217</v>
      </c>
      <c r="E67" s="161" t="s">
        <v>605</v>
      </c>
    </row>
    <row r="68" spans="4:40" ht="13">
      <c r="E68" s="161"/>
    </row>
    <row r="69" spans="4:40" ht="13">
      <c r="E69" s="161"/>
    </row>
    <row r="70" spans="4:40" ht="13">
      <c r="E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</row>
    <row r="71" spans="4:40" ht="13">
      <c r="E71" s="161"/>
    </row>
    <row r="72" spans="4:40" ht="13">
      <c r="E72" s="161"/>
    </row>
    <row r="73" spans="4:40" ht="13">
      <c r="E73" s="161"/>
      <c r="M73" s="3">
        <v>300</v>
      </c>
      <c r="N73" s="3">
        <v>383</v>
      </c>
      <c r="O73" s="3">
        <f t="shared" ref="O73:O77" si="11">M73*N73</f>
        <v>114900</v>
      </c>
    </row>
    <row r="74" spans="4:40" ht="13">
      <c r="E74" s="161"/>
      <c r="M74" s="3">
        <v>50</v>
      </c>
      <c r="N74" s="3">
        <v>277</v>
      </c>
      <c r="O74" s="3">
        <f t="shared" si="11"/>
        <v>13850</v>
      </c>
    </row>
    <row r="75" spans="4:40" ht="13">
      <c r="E75" s="161"/>
      <c r="M75" s="3">
        <v>450</v>
      </c>
      <c r="N75" s="3">
        <v>275.89999999999998</v>
      </c>
      <c r="O75" s="3">
        <f t="shared" si="11"/>
        <v>124154.99999999999</v>
      </c>
    </row>
    <row r="76" spans="4:40" ht="13">
      <c r="E76" s="161"/>
      <c r="M76" s="3">
        <v>150</v>
      </c>
      <c r="N76" s="3">
        <v>979.2</v>
      </c>
      <c r="O76" s="3">
        <f t="shared" si="11"/>
        <v>146880</v>
      </c>
    </row>
    <row r="77" spans="4:40" ht="13">
      <c r="E77" s="161"/>
      <c r="M77" s="3">
        <v>60</v>
      </c>
      <c r="N77" s="3">
        <v>2178</v>
      </c>
      <c r="O77" s="3">
        <f t="shared" si="11"/>
        <v>130680</v>
      </c>
    </row>
    <row r="78" spans="4:40" ht="13">
      <c r="E78" s="161"/>
    </row>
    <row r="79" spans="4:40" ht="13">
      <c r="D79" s="32">
        <v>45218</v>
      </c>
      <c r="E79" s="161" t="s">
        <v>606</v>
      </c>
    </row>
    <row r="80" spans="4:40" ht="13">
      <c r="D80" s="32">
        <v>45218</v>
      </c>
      <c r="E80" s="161" t="s">
        <v>607</v>
      </c>
    </row>
    <row r="81" spans="4:40" ht="13">
      <c r="E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</row>
    <row r="82" spans="4:40" ht="13">
      <c r="E82" s="161"/>
    </row>
    <row r="83" spans="4:40" ht="13">
      <c r="E83" s="161"/>
    </row>
    <row r="84" spans="4:40" ht="13">
      <c r="E84" s="161"/>
    </row>
    <row r="85" spans="4:40" ht="13">
      <c r="E85" s="161"/>
      <c r="M85" s="3">
        <v>150</v>
      </c>
      <c r="N85" s="3">
        <v>232</v>
      </c>
      <c r="O85" s="3">
        <f t="shared" ref="O85:O92" si="12">M85*N85</f>
        <v>34800</v>
      </c>
    </row>
    <row r="86" spans="4:40" ht="13">
      <c r="D86" s="32">
        <v>45219</v>
      </c>
      <c r="E86" s="161" t="s">
        <v>608</v>
      </c>
      <c r="M86" s="3">
        <v>1100</v>
      </c>
      <c r="N86" s="3">
        <v>106.1</v>
      </c>
      <c r="O86" s="3">
        <f t="shared" si="12"/>
        <v>116710</v>
      </c>
    </row>
    <row r="87" spans="4:40" ht="13">
      <c r="E87" s="161"/>
      <c r="M87" s="3">
        <v>2500</v>
      </c>
      <c r="N87" s="3">
        <v>43.75</v>
      </c>
      <c r="O87" s="3">
        <f t="shared" si="12"/>
        <v>109375</v>
      </c>
    </row>
    <row r="88" spans="4:40" ht="13">
      <c r="E88" s="161"/>
      <c r="M88" s="3">
        <v>3000</v>
      </c>
      <c r="N88" s="3">
        <v>41.2</v>
      </c>
      <c r="O88" s="3">
        <f t="shared" si="12"/>
        <v>123600.00000000001</v>
      </c>
    </row>
    <row r="89" spans="4:40" ht="13">
      <c r="E89" s="161"/>
      <c r="M89" s="3">
        <v>3000</v>
      </c>
      <c r="N89" s="3">
        <v>44.4</v>
      </c>
      <c r="O89" s="3">
        <f t="shared" si="12"/>
        <v>133200</v>
      </c>
    </row>
    <row r="90" spans="4:40" ht="13">
      <c r="E90" s="161"/>
      <c r="M90" s="3">
        <v>600</v>
      </c>
      <c r="N90" s="3">
        <v>232.5</v>
      </c>
      <c r="O90" s="3">
        <f t="shared" si="12"/>
        <v>139500</v>
      </c>
    </row>
    <row r="91" spans="4:40" ht="13">
      <c r="E91" s="161"/>
      <c r="M91" s="3">
        <v>1100</v>
      </c>
      <c r="N91" s="3">
        <v>139</v>
      </c>
      <c r="O91" s="3">
        <f t="shared" si="12"/>
        <v>152900</v>
      </c>
    </row>
    <row r="92" spans="4:40" ht="13">
      <c r="D92" s="32">
        <v>45224</v>
      </c>
      <c r="E92" s="161" t="s">
        <v>609</v>
      </c>
      <c r="M92" s="3">
        <v>2200</v>
      </c>
      <c r="N92" s="3">
        <v>35.450000000000003</v>
      </c>
      <c r="O92" s="3">
        <f t="shared" si="12"/>
        <v>77990</v>
      </c>
    </row>
    <row r="93" spans="4:40" ht="13">
      <c r="E93" s="161" t="s">
        <v>605</v>
      </c>
    </row>
    <row r="94" spans="4:40" ht="13">
      <c r="E94" s="161" t="s">
        <v>610</v>
      </c>
    </row>
    <row r="95" spans="4:40" ht="13">
      <c r="E95" s="161" t="s">
        <v>611</v>
      </c>
    </row>
    <row r="96" spans="4:40" ht="13">
      <c r="E96" s="161" t="s">
        <v>607</v>
      </c>
    </row>
    <row r="97" spans="4:15" ht="13">
      <c r="E97" s="161"/>
    </row>
    <row r="98" spans="4:15" ht="13">
      <c r="E98" s="161"/>
    </row>
    <row r="99" spans="4:15" ht="13">
      <c r="E99" s="161"/>
    </row>
    <row r="100" spans="4:15" ht="13">
      <c r="E100" s="161"/>
    </row>
    <row r="101" spans="4:15" ht="13">
      <c r="D101" s="38">
        <v>45231</v>
      </c>
      <c r="E101" s="161"/>
    </row>
    <row r="102" spans="4:15" ht="13">
      <c r="E102" s="161" t="s">
        <v>612</v>
      </c>
    </row>
    <row r="103" spans="4:15" ht="13">
      <c r="E103" s="161" t="s">
        <v>613</v>
      </c>
    </row>
    <row r="104" spans="4:15" ht="13">
      <c r="E104" s="161"/>
      <c r="M104" s="3">
        <v>1250</v>
      </c>
      <c r="N104" s="3">
        <v>103</v>
      </c>
      <c r="O104" s="3">
        <f t="shared" ref="O104:O105" si="13">M104*N104</f>
        <v>128750</v>
      </c>
    </row>
    <row r="105" spans="4:15" ht="13">
      <c r="E105" s="161"/>
      <c r="M105" s="3">
        <v>3600</v>
      </c>
      <c r="N105" s="3">
        <v>35</v>
      </c>
      <c r="O105" s="3">
        <f t="shared" si="13"/>
        <v>126000</v>
      </c>
    </row>
    <row r="106" spans="4:15" ht="13">
      <c r="E106" s="161"/>
    </row>
    <row r="107" spans="4:15" ht="13">
      <c r="E107" s="161"/>
    </row>
    <row r="108" spans="4:15" ht="13">
      <c r="E108" s="161"/>
    </row>
    <row r="109" spans="4:15" ht="13">
      <c r="D109" s="38">
        <v>45237</v>
      </c>
      <c r="E109" s="161"/>
    </row>
    <row r="110" spans="4:15" ht="13">
      <c r="E110" s="161"/>
      <c r="M110" s="3">
        <v>100</v>
      </c>
      <c r="N110" s="3">
        <v>372.2</v>
      </c>
      <c r="O110" s="3">
        <f>M110*N110</f>
        <v>37220</v>
      </c>
    </row>
    <row r="111" spans="4:15" ht="13">
      <c r="E111" s="161"/>
    </row>
    <row r="112" spans="4:15" ht="13">
      <c r="E112" s="161"/>
    </row>
    <row r="113" spans="4:15" ht="13">
      <c r="E113" s="161"/>
    </row>
    <row r="114" spans="4:15" ht="13">
      <c r="E114" s="161"/>
    </row>
    <row r="115" spans="4:15" ht="13">
      <c r="E115" s="161"/>
    </row>
    <row r="116" spans="4:15" ht="13">
      <c r="E116" s="161"/>
      <c r="M116" s="3">
        <v>5</v>
      </c>
      <c r="N116" s="3">
        <v>1406</v>
      </c>
      <c r="O116" s="3">
        <f t="shared" ref="O116:O120" si="14">M116*N116</f>
        <v>7030</v>
      </c>
    </row>
    <row r="117" spans="4:15" ht="13">
      <c r="E117" s="161"/>
      <c r="M117" s="3">
        <v>1000</v>
      </c>
      <c r="N117" s="3">
        <v>31.9</v>
      </c>
      <c r="O117" s="3">
        <f t="shared" si="14"/>
        <v>31900</v>
      </c>
    </row>
    <row r="118" spans="4:15" ht="13">
      <c r="D118" s="38">
        <v>45238</v>
      </c>
      <c r="E118" s="161"/>
      <c r="M118" s="3">
        <v>100</v>
      </c>
      <c r="N118" s="3">
        <v>587.5</v>
      </c>
      <c r="O118" s="3">
        <f t="shared" si="14"/>
        <v>58750</v>
      </c>
    </row>
    <row r="119" spans="4:15" ht="13">
      <c r="E119" s="161"/>
      <c r="M119" s="3">
        <v>25</v>
      </c>
      <c r="N119" s="3">
        <v>850</v>
      </c>
      <c r="O119" s="3">
        <f t="shared" si="14"/>
        <v>21250</v>
      </c>
    </row>
    <row r="120" spans="4:15" ht="13">
      <c r="E120" s="161"/>
      <c r="M120" s="3">
        <v>100</v>
      </c>
      <c r="N120" s="3">
        <v>32.9</v>
      </c>
      <c r="O120" s="3">
        <f t="shared" si="14"/>
        <v>3290</v>
      </c>
    </row>
    <row r="121" spans="4:15" ht="13">
      <c r="E121" s="161"/>
    </row>
    <row r="122" spans="4:15" ht="13">
      <c r="E122" s="161"/>
    </row>
    <row r="123" spans="4:15" ht="13">
      <c r="E123" s="161"/>
    </row>
    <row r="124" spans="4:15" ht="13">
      <c r="E124" s="161"/>
    </row>
    <row r="125" spans="4:15" ht="13">
      <c r="E125" s="161"/>
    </row>
    <row r="126" spans="4:15" ht="13">
      <c r="E126" s="161"/>
    </row>
    <row r="127" spans="4:15" ht="13">
      <c r="E127" s="161"/>
    </row>
    <row r="128" spans="4:15" ht="13">
      <c r="E128" s="161"/>
    </row>
    <row r="129" spans="4:5" ht="13">
      <c r="E129" s="161"/>
    </row>
    <row r="130" spans="4:5" ht="13">
      <c r="D130" s="32">
        <v>45242</v>
      </c>
      <c r="E130" s="161"/>
    </row>
    <row r="131" spans="4:5" ht="13">
      <c r="E131" s="161"/>
    </row>
    <row r="132" spans="4:5" ht="13">
      <c r="E132" s="161"/>
    </row>
    <row r="133" spans="4:5" ht="13">
      <c r="E133" s="161"/>
    </row>
    <row r="134" spans="4:5" ht="13">
      <c r="E134" s="161"/>
    </row>
    <row r="135" spans="4:5" ht="13">
      <c r="E135" s="161"/>
    </row>
    <row r="136" spans="4:5" ht="13">
      <c r="E136" s="161"/>
    </row>
    <row r="137" spans="4:5" ht="13">
      <c r="E137" s="161"/>
    </row>
    <row r="138" spans="4:5" ht="13">
      <c r="E138" s="161"/>
    </row>
    <row r="139" spans="4:5" ht="13">
      <c r="E139" s="161"/>
    </row>
    <row r="140" spans="4:5" ht="13">
      <c r="E140" s="161"/>
    </row>
    <row r="141" spans="4:5" ht="13">
      <c r="E141" s="161"/>
    </row>
    <row r="142" spans="4:5" ht="13">
      <c r="E142" s="161"/>
    </row>
    <row r="143" spans="4:5" ht="13">
      <c r="E143" s="161"/>
    </row>
    <row r="144" spans="4:5" ht="13">
      <c r="E144" s="161"/>
    </row>
    <row r="145" spans="4:5" ht="13">
      <c r="E145" s="161"/>
    </row>
    <row r="146" spans="4:5" ht="13">
      <c r="E146" s="161"/>
    </row>
    <row r="147" spans="4:5" ht="13">
      <c r="E147" s="161"/>
    </row>
    <row r="148" spans="4:5" ht="13">
      <c r="E148" s="161"/>
    </row>
    <row r="149" spans="4:5" ht="13">
      <c r="E149" s="161"/>
    </row>
    <row r="150" spans="4:5" ht="13">
      <c r="E150" s="161"/>
    </row>
    <row r="151" spans="4:5" ht="13">
      <c r="E151" s="161"/>
    </row>
    <row r="152" spans="4:5" ht="13">
      <c r="E152" s="161"/>
    </row>
    <row r="153" spans="4:5" ht="13">
      <c r="D153" s="32">
        <v>45252</v>
      </c>
      <c r="E153" s="161"/>
    </row>
    <row r="154" spans="4:5" ht="13">
      <c r="E154" s="161"/>
    </row>
    <row r="155" spans="4:5" ht="13">
      <c r="E155" s="161"/>
    </row>
    <row r="156" spans="4:5" ht="13">
      <c r="E156" s="161"/>
    </row>
    <row r="157" spans="4:5" ht="13">
      <c r="E157" s="161"/>
    </row>
    <row r="158" spans="4:5" ht="13">
      <c r="E158" s="161"/>
    </row>
    <row r="159" spans="4:5" ht="13">
      <c r="E159" s="161"/>
    </row>
    <row r="160" spans="4:5" ht="13">
      <c r="E160" s="161"/>
    </row>
    <row r="161" spans="5:5" ht="13">
      <c r="E161" s="161"/>
    </row>
    <row r="162" spans="5:5" ht="13">
      <c r="E162" s="161"/>
    </row>
    <row r="163" spans="5:5" ht="13">
      <c r="E163" s="161"/>
    </row>
    <row r="164" spans="5:5" ht="13">
      <c r="E164" s="161"/>
    </row>
    <row r="165" spans="5:5" ht="13">
      <c r="E165" s="161"/>
    </row>
    <row r="166" spans="5:5" ht="13">
      <c r="E166" s="161"/>
    </row>
    <row r="167" spans="5:5" ht="13">
      <c r="E167" s="161"/>
    </row>
    <row r="168" spans="5:5" ht="13">
      <c r="E168" s="161"/>
    </row>
    <row r="169" spans="5:5" ht="13">
      <c r="E169" s="161"/>
    </row>
    <row r="170" spans="5:5" ht="13">
      <c r="E170" s="161"/>
    </row>
    <row r="171" spans="5:5" ht="13">
      <c r="E171" s="161"/>
    </row>
    <row r="172" spans="5:5" ht="13">
      <c r="E172" s="161"/>
    </row>
    <row r="173" spans="5:5" ht="13">
      <c r="E173" s="161"/>
    </row>
    <row r="174" spans="5:5" ht="13">
      <c r="E174" s="161"/>
    </row>
    <row r="175" spans="5:5" ht="13">
      <c r="E175" s="161"/>
    </row>
    <row r="176" spans="5:5" ht="13">
      <c r="E176" s="161"/>
    </row>
    <row r="177" spans="5:5" ht="13">
      <c r="E177" s="161"/>
    </row>
    <row r="178" spans="5:5" ht="13">
      <c r="E178" s="161"/>
    </row>
    <row r="179" spans="5:5" ht="13">
      <c r="E179" s="161"/>
    </row>
    <row r="180" spans="5:5" ht="13">
      <c r="E180" s="161"/>
    </row>
    <row r="181" spans="5:5" ht="13">
      <c r="E181" s="161"/>
    </row>
    <row r="182" spans="5:5" ht="13">
      <c r="E182" s="161"/>
    </row>
    <row r="183" spans="5:5" ht="13">
      <c r="E183" s="161"/>
    </row>
    <row r="184" spans="5:5" ht="13">
      <c r="E184" s="161"/>
    </row>
    <row r="185" spans="5:5" ht="13">
      <c r="E185" s="161"/>
    </row>
    <row r="186" spans="5:5" ht="13">
      <c r="E186" s="161"/>
    </row>
    <row r="187" spans="5:5" ht="13">
      <c r="E187" s="161"/>
    </row>
    <row r="188" spans="5:5" ht="13">
      <c r="E188" s="161"/>
    </row>
    <row r="189" spans="5:5" ht="13">
      <c r="E189" s="161"/>
    </row>
    <row r="190" spans="5:5" ht="13">
      <c r="E190" s="161"/>
    </row>
    <row r="191" spans="5:5" ht="13">
      <c r="E191" s="161"/>
    </row>
    <row r="192" spans="5:5" ht="13">
      <c r="E192" s="161"/>
    </row>
    <row r="193" spans="5:5" ht="13">
      <c r="E193" s="161"/>
    </row>
    <row r="194" spans="5:5" ht="13">
      <c r="E194" s="161"/>
    </row>
    <row r="195" spans="5:5" ht="13">
      <c r="E195" s="161"/>
    </row>
    <row r="196" spans="5:5" ht="13">
      <c r="E196" s="161"/>
    </row>
    <row r="197" spans="5:5" ht="13">
      <c r="E197" s="161"/>
    </row>
    <row r="198" spans="5:5" ht="13">
      <c r="E198" s="161"/>
    </row>
    <row r="199" spans="5:5" ht="13">
      <c r="E199" s="161"/>
    </row>
    <row r="200" spans="5:5" ht="13">
      <c r="E200" s="161"/>
    </row>
    <row r="201" spans="5:5" ht="13">
      <c r="E201" s="161"/>
    </row>
    <row r="202" spans="5:5" ht="13">
      <c r="E202" s="161"/>
    </row>
    <row r="203" spans="5:5" ht="13">
      <c r="E203" s="161"/>
    </row>
    <row r="204" spans="5:5" ht="13">
      <c r="E204" s="161"/>
    </row>
    <row r="205" spans="5:5" ht="13">
      <c r="E205" s="161"/>
    </row>
    <row r="206" spans="5:5" ht="13">
      <c r="E206" s="161"/>
    </row>
    <row r="207" spans="5:5" ht="13">
      <c r="E207" s="161"/>
    </row>
    <row r="208" spans="5:5" ht="13">
      <c r="E208" s="161"/>
    </row>
    <row r="209" spans="5:5" ht="13">
      <c r="E209" s="161"/>
    </row>
    <row r="210" spans="5:5" ht="13">
      <c r="E210" s="161"/>
    </row>
    <row r="211" spans="5:5" ht="13">
      <c r="E211" s="161"/>
    </row>
    <row r="212" spans="5:5" ht="13">
      <c r="E212" s="161"/>
    </row>
    <row r="213" spans="5:5" ht="13">
      <c r="E213" s="161"/>
    </row>
    <row r="214" spans="5:5" ht="13">
      <c r="E214" s="161"/>
    </row>
    <row r="215" spans="5:5" ht="13">
      <c r="E215" s="161"/>
    </row>
    <row r="216" spans="5:5" ht="13">
      <c r="E216" s="161"/>
    </row>
    <row r="217" spans="5:5" ht="13">
      <c r="E217" s="161"/>
    </row>
    <row r="218" spans="5:5" ht="13">
      <c r="E218" s="161"/>
    </row>
    <row r="219" spans="5:5" ht="13">
      <c r="E219" s="161"/>
    </row>
    <row r="220" spans="5:5" ht="13">
      <c r="E220" s="161"/>
    </row>
    <row r="221" spans="5:5" ht="13">
      <c r="E221" s="161"/>
    </row>
    <row r="222" spans="5:5" ht="13">
      <c r="E222" s="161"/>
    </row>
    <row r="223" spans="5:5" ht="13">
      <c r="E223" s="161"/>
    </row>
    <row r="224" spans="5:5" ht="13">
      <c r="E224" s="161"/>
    </row>
    <row r="225" spans="5:5" ht="13">
      <c r="E225" s="161"/>
    </row>
    <row r="226" spans="5:5" ht="13">
      <c r="E226" s="161"/>
    </row>
    <row r="227" spans="5:5" ht="13">
      <c r="E227" s="161"/>
    </row>
    <row r="228" spans="5:5" ht="13">
      <c r="E228" s="161"/>
    </row>
    <row r="229" spans="5:5" ht="13">
      <c r="E229" s="161"/>
    </row>
    <row r="230" spans="5:5" ht="13">
      <c r="E230" s="161"/>
    </row>
    <row r="231" spans="5:5" ht="13">
      <c r="E231" s="161"/>
    </row>
    <row r="232" spans="5:5" ht="13">
      <c r="E232" s="161"/>
    </row>
    <row r="233" spans="5:5" ht="13">
      <c r="E233" s="161"/>
    </row>
    <row r="234" spans="5:5" ht="13">
      <c r="E234" s="161"/>
    </row>
    <row r="235" spans="5:5" ht="13">
      <c r="E235" s="161"/>
    </row>
    <row r="236" spans="5:5" ht="13">
      <c r="E236" s="161"/>
    </row>
    <row r="237" spans="5:5" ht="13">
      <c r="E237" s="161"/>
    </row>
    <row r="238" spans="5:5" ht="13">
      <c r="E238" s="161"/>
    </row>
    <row r="239" spans="5:5" ht="13">
      <c r="E239" s="161"/>
    </row>
    <row r="240" spans="5:5" ht="13">
      <c r="E240" s="161"/>
    </row>
    <row r="241" spans="5:5" ht="13">
      <c r="E241" s="161"/>
    </row>
    <row r="242" spans="5:5" ht="13">
      <c r="E242" s="161"/>
    </row>
    <row r="243" spans="5:5" ht="13">
      <c r="E243" s="161"/>
    </row>
    <row r="244" spans="5:5" ht="13">
      <c r="E244" s="161"/>
    </row>
    <row r="245" spans="5:5" ht="13">
      <c r="E245" s="161"/>
    </row>
    <row r="246" spans="5:5" ht="13">
      <c r="E246" s="161"/>
    </row>
    <row r="247" spans="5:5" ht="13">
      <c r="E247" s="161"/>
    </row>
    <row r="248" spans="5:5" ht="13">
      <c r="E248" s="161"/>
    </row>
    <row r="249" spans="5:5" ht="13">
      <c r="E249" s="161"/>
    </row>
    <row r="250" spans="5:5" ht="13">
      <c r="E250" s="161"/>
    </row>
    <row r="251" spans="5:5" ht="13">
      <c r="E251" s="161"/>
    </row>
    <row r="252" spans="5:5" ht="13">
      <c r="E252" s="161"/>
    </row>
    <row r="253" spans="5:5" ht="13">
      <c r="E253" s="161"/>
    </row>
    <row r="254" spans="5:5" ht="13">
      <c r="E254" s="161"/>
    </row>
    <row r="255" spans="5:5" ht="13">
      <c r="E255" s="161"/>
    </row>
    <row r="256" spans="5:5" ht="13">
      <c r="E256" s="161"/>
    </row>
    <row r="257" spans="5:5" ht="13">
      <c r="E257" s="161"/>
    </row>
    <row r="258" spans="5:5" ht="13">
      <c r="E258" s="161"/>
    </row>
    <row r="259" spans="5:5" ht="13">
      <c r="E259" s="161"/>
    </row>
    <row r="260" spans="5:5" ht="13">
      <c r="E260" s="161"/>
    </row>
    <row r="261" spans="5:5" ht="13">
      <c r="E261" s="161"/>
    </row>
    <row r="262" spans="5:5" ht="13">
      <c r="E262" s="161"/>
    </row>
    <row r="263" spans="5:5" ht="13">
      <c r="E263" s="161"/>
    </row>
    <row r="264" spans="5:5" ht="13">
      <c r="E264" s="161"/>
    </row>
    <row r="265" spans="5:5" ht="13">
      <c r="E265" s="161"/>
    </row>
    <row r="266" spans="5:5" ht="13">
      <c r="E266" s="161"/>
    </row>
    <row r="267" spans="5:5" ht="13">
      <c r="E267" s="161"/>
    </row>
    <row r="268" spans="5:5" ht="13">
      <c r="E268" s="161"/>
    </row>
    <row r="269" spans="5:5" ht="13">
      <c r="E269" s="161"/>
    </row>
    <row r="270" spans="5:5" ht="13">
      <c r="E270" s="161"/>
    </row>
    <row r="271" spans="5:5" ht="13">
      <c r="E271" s="161"/>
    </row>
    <row r="272" spans="5:5" ht="13">
      <c r="E272" s="161"/>
    </row>
    <row r="273" spans="5:5" ht="13">
      <c r="E273" s="161"/>
    </row>
    <row r="274" spans="5:5" ht="13">
      <c r="E274" s="161"/>
    </row>
    <row r="275" spans="5:5" ht="13">
      <c r="E275" s="161"/>
    </row>
    <row r="276" spans="5:5" ht="13">
      <c r="E276" s="161"/>
    </row>
    <row r="277" spans="5:5" ht="13">
      <c r="E277" s="161"/>
    </row>
    <row r="278" spans="5:5" ht="13">
      <c r="E278" s="161"/>
    </row>
    <row r="279" spans="5:5" ht="13">
      <c r="E279" s="161"/>
    </row>
    <row r="280" spans="5:5" ht="13">
      <c r="E280" s="161"/>
    </row>
    <row r="281" spans="5:5" ht="13">
      <c r="E281" s="161"/>
    </row>
    <row r="282" spans="5:5" ht="13">
      <c r="E282" s="161"/>
    </row>
    <row r="283" spans="5:5" ht="13">
      <c r="E283" s="161"/>
    </row>
    <row r="284" spans="5:5" ht="13">
      <c r="E284" s="161"/>
    </row>
    <row r="285" spans="5:5" ht="13">
      <c r="E285" s="161"/>
    </row>
    <row r="286" spans="5:5" ht="13">
      <c r="E286" s="161"/>
    </row>
    <row r="287" spans="5:5" ht="13">
      <c r="E287" s="161"/>
    </row>
    <row r="288" spans="5:5" ht="13">
      <c r="E288" s="161"/>
    </row>
    <row r="289" spans="5:5" ht="13">
      <c r="E289" s="161"/>
    </row>
    <row r="290" spans="5:5" ht="13">
      <c r="E290" s="161"/>
    </row>
    <row r="291" spans="5:5" ht="13">
      <c r="E291" s="161"/>
    </row>
    <row r="292" spans="5:5" ht="13">
      <c r="E292" s="161"/>
    </row>
    <row r="293" spans="5:5" ht="13">
      <c r="E293" s="161"/>
    </row>
    <row r="294" spans="5:5" ht="13">
      <c r="E294" s="161"/>
    </row>
    <row r="295" spans="5:5" ht="13">
      <c r="E295" s="161"/>
    </row>
    <row r="296" spans="5:5" ht="13">
      <c r="E296" s="161"/>
    </row>
    <row r="297" spans="5:5" ht="13">
      <c r="E297" s="161"/>
    </row>
    <row r="298" spans="5:5" ht="13">
      <c r="E298" s="161"/>
    </row>
    <row r="299" spans="5:5" ht="13">
      <c r="E299" s="161"/>
    </row>
    <row r="300" spans="5:5" ht="13">
      <c r="E300" s="161"/>
    </row>
    <row r="301" spans="5:5" ht="13">
      <c r="E301" s="161"/>
    </row>
    <row r="302" spans="5:5" ht="13">
      <c r="E302" s="161"/>
    </row>
    <row r="303" spans="5:5" ht="13">
      <c r="E303" s="161"/>
    </row>
    <row r="304" spans="5:5" ht="13">
      <c r="E304" s="161"/>
    </row>
    <row r="305" spans="5:5" ht="13">
      <c r="E305" s="161"/>
    </row>
    <row r="306" spans="5:5" ht="13">
      <c r="E306" s="161"/>
    </row>
    <row r="307" spans="5:5" ht="13">
      <c r="E307" s="161"/>
    </row>
    <row r="308" spans="5:5" ht="13">
      <c r="E308" s="161"/>
    </row>
    <row r="309" spans="5:5" ht="13">
      <c r="E309" s="161"/>
    </row>
    <row r="310" spans="5:5" ht="13">
      <c r="E310" s="161"/>
    </row>
    <row r="311" spans="5:5" ht="13">
      <c r="E311" s="161"/>
    </row>
    <row r="312" spans="5:5" ht="13">
      <c r="E312" s="161"/>
    </row>
    <row r="313" spans="5:5" ht="13">
      <c r="E313" s="161"/>
    </row>
    <row r="314" spans="5:5" ht="13">
      <c r="E314" s="161"/>
    </row>
    <row r="315" spans="5:5" ht="13">
      <c r="E315" s="161"/>
    </row>
    <row r="316" spans="5:5" ht="13">
      <c r="E316" s="161"/>
    </row>
    <row r="317" spans="5:5" ht="13">
      <c r="E317" s="161"/>
    </row>
    <row r="318" spans="5:5" ht="13">
      <c r="E318" s="161"/>
    </row>
    <row r="319" spans="5:5" ht="13">
      <c r="E319" s="161"/>
    </row>
    <row r="320" spans="5:5" ht="13">
      <c r="E320" s="161"/>
    </row>
    <row r="321" spans="5:5" ht="13">
      <c r="E321" s="161"/>
    </row>
    <row r="322" spans="5:5" ht="13">
      <c r="E322" s="161"/>
    </row>
    <row r="323" spans="5:5" ht="13">
      <c r="E323" s="161"/>
    </row>
    <row r="324" spans="5:5" ht="13">
      <c r="E324" s="161"/>
    </row>
    <row r="325" spans="5:5" ht="13">
      <c r="E325" s="161"/>
    </row>
    <row r="326" spans="5:5" ht="13">
      <c r="E326" s="161"/>
    </row>
    <row r="327" spans="5:5" ht="13">
      <c r="E327" s="161"/>
    </row>
    <row r="328" spans="5:5" ht="13">
      <c r="E328" s="161"/>
    </row>
    <row r="329" spans="5:5" ht="13">
      <c r="E329" s="161"/>
    </row>
    <row r="330" spans="5:5" ht="13">
      <c r="E330" s="161"/>
    </row>
    <row r="331" spans="5:5" ht="13">
      <c r="E331" s="161"/>
    </row>
    <row r="332" spans="5:5" ht="13">
      <c r="E332" s="161"/>
    </row>
    <row r="333" spans="5:5" ht="13">
      <c r="E333" s="161"/>
    </row>
    <row r="334" spans="5:5" ht="13">
      <c r="E334" s="161"/>
    </row>
    <row r="335" spans="5:5" ht="13">
      <c r="E335" s="161"/>
    </row>
    <row r="336" spans="5:5" ht="13">
      <c r="E336" s="161"/>
    </row>
    <row r="337" spans="5:5" ht="13">
      <c r="E337" s="161"/>
    </row>
    <row r="338" spans="5:5" ht="13">
      <c r="E338" s="161"/>
    </row>
    <row r="339" spans="5:5" ht="13">
      <c r="E339" s="161"/>
    </row>
    <row r="340" spans="5:5" ht="13">
      <c r="E340" s="161"/>
    </row>
    <row r="341" spans="5:5" ht="13">
      <c r="E341" s="161"/>
    </row>
    <row r="342" spans="5:5" ht="13">
      <c r="E342" s="161"/>
    </row>
    <row r="343" spans="5:5" ht="13">
      <c r="E343" s="161"/>
    </row>
    <row r="344" spans="5:5" ht="13">
      <c r="E344" s="161"/>
    </row>
    <row r="345" spans="5:5" ht="13">
      <c r="E345" s="161"/>
    </row>
    <row r="346" spans="5:5" ht="13">
      <c r="E346" s="161"/>
    </row>
    <row r="347" spans="5:5" ht="13">
      <c r="E347" s="161"/>
    </row>
    <row r="348" spans="5:5" ht="13">
      <c r="E348" s="161"/>
    </row>
    <row r="349" spans="5:5" ht="13">
      <c r="E349" s="161"/>
    </row>
    <row r="350" spans="5:5" ht="13">
      <c r="E350" s="161"/>
    </row>
    <row r="351" spans="5:5" ht="13">
      <c r="E351" s="161"/>
    </row>
    <row r="352" spans="5:5" ht="13">
      <c r="E352" s="161"/>
    </row>
    <row r="353" spans="5:5" ht="13">
      <c r="E353" s="161"/>
    </row>
    <row r="354" spans="5:5" ht="13">
      <c r="E354" s="161"/>
    </row>
    <row r="355" spans="5:5" ht="13">
      <c r="E355" s="161"/>
    </row>
    <row r="356" spans="5:5" ht="13">
      <c r="E356" s="161"/>
    </row>
    <row r="357" spans="5:5" ht="13">
      <c r="E357" s="161"/>
    </row>
    <row r="358" spans="5:5" ht="13">
      <c r="E358" s="161"/>
    </row>
    <row r="359" spans="5:5" ht="13">
      <c r="E359" s="161"/>
    </row>
    <row r="360" spans="5:5" ht="13">
      <c r="E360" s="161"/>
    </row>
    <row r="361" spans="5:5" ht="13">
      <c r="E361" s="161"/>
    </row>
    <row r="362" spans="5:5" ht="13">
      <c r="E362" s="161"/>
    </row>
    <row r="363" spans="5:5" ht="13">
      <c r="E363" s="161"/>
    </row>
    <row r="364" spans="5:5" ht="13">
      <c r="E364" s="161"/>
    </row>
    <row r="365" spans="5:5" ht="13">
      <c r="E365" s="161"/>
    </row>
    <row r="366" spans="5:5" ht="13">
      <c r="E366" s="161"/>
    </row>
    <row r="367" spans="5:5" ht="13">
      <c r="E367" s="161"/>
    </row>
    <row r="368" spans="5:5" ht="13">
      <c r="E368" s="161"/>
    </row>
    <row r="369" spans="5:5" ht="13">
      <c r="E369" s="161"/>
    </row>
    <row r="370" spans="5:5" ht="13">
      <c r="E370" s="161"/>
    </row>
    <row r="371" spans="5:5" ht="13">
      <c r="E371" s="161"/>
    </row>
    <row r="372" spans="5:5" ht="13">
      <c r="E372" s="161"/>
    </row>
    <row r="373" spans="5:5" ht="13">
      <c r="E373" s="161"/>
    </row>
    <row r="374" spans="5:5" ht="13">
      <c r="E374" s="161"/>
    </row>
    <row r="375" spans="5:5" ht="13">
      <c r="E375" s="161"/>
    </row>
    <row r="376" spans="5:5" ht="13">
      <c r="E376" s="161"/>
    </row>
    <row r="377" spans="5:5" ht="13">
      <c r="E377" s="161"/>
    </row>
    <row r="378" spans="5:5" ht="13">
      <c r="E378" s="161"/>
    </row>
    <row r="379" spans="5:5" ht="13">
      <c r="E379" s="161"/>
    </row>
    <row r="380" spans="5:5" ht="13">
      <c r="E380" s="161"/>
    </row>
    <row r="381" spans="5:5" ht="13">
      <c r="E381" s="161"/>
    </row>
    <row r="382" spans="5:5" ht="13">
      <c r="E382" s="161"/>
    </row>
    <row r="383" spans="5:5" ht="13">
      <c r="E383" s="161"/>
    </row>
    <row r="384" spans="5:5" ht="13">
      <c r="E384" s="161"/>
    </row>
    <row r="385" spans="5:5" ht="13">
      <c r="E385" s="161"/>
    </row>
    <row r="386" spans="5:5" ht="13">
      <c r="E386" s="161"/>
    </row>
    <row r="387" spans="5:5" ht="13">
      <c r="E387" s="161"/>
    </row>
    <row r="388" spans="5:5" ht="13">
      <c r="E388" s="161"/>
    </row>
    <row r="389" spans="5:5" ht="13">
      <c r="E389" s="161"/>
    </row>
    <row r="390" spans="5:5" ht="13">
      <c r="E390" s="161"/>
    </row>
    <row r="391" spans="5:5" ht="13">
      <c r="E391" s="161"/>
    </row>
    <row r="392" spans="5:5" ht="13">
      <c r="E392" s="161"/>
    </row>
    <row r="393" spans="5:5" ht="13">
      <c r="E393" s="161"/>
    </row>
    <row r="394" spans="5:5" ht="13">
      <c r="E394" s="161"/>
    </row>
    <row r="395" spans="5:5" ht="13">
      <c r="E395" s="161"/>
    </row>
    <row r="396" spans="5:5" ht="13">
      <c r="E396" s="161"/>
    </row>
    <row r="397" spans="5:5" ht="13">
      <c r="E397" s="161"/>
    </row>
    <row r="398" spans="5:5" ht="13">
      <c r="E398" s="161"/>
    </row>
    <row r="399" spans="5:5" ht="13">
      <c r="E399" s="161"/>
    </row>
    <row r="400" spans="5:5" ht="13">
      <c r="E400" s="161"/>
    </row>
    <row r="401" spans="5:5" ht="13">
      <c r="E401" s="161"/>
    </row>
    <row r="402" spans="5:5" ht="13">
      <c r="E402" s="161"/>
    </row>
    <row r="403" spans="5:5" ht="13">
      <c r="E403" s="161"/>
    </row>
    <row r="404" spans="5:5" ht="13">
      <c r="E404" s="161"/>
    </row>
    <row r="405" spans="5:5" ht="13">
      <c r="E405" s="161"/>
    </row>
    <row r="406" spans="5:5" ht="13">
      <c r="E406" s="161"/>
    </row>
    <row r="407" spans="5:5" ht="13">
      <c r="E407" s="161"/>
    </row>
    <row r="408" spans="5:5" ht="13">
      <c r="E408" s="161"/>
    </row>
    <row r="409" spans="5:5" ht="13">
      <c r="E409" s="161"/>
    </row>
    <row r="410" spans="5:5" ht="13">
      <c r="E410" s="161"/>
    </row>
    <row r="411" spans="5:5" ht="13">
      <c r="E411" s="161"/>
    </row>
    <row r="412" spans="5:5" ht="13">
      <c r="E412" s="161"/>
    </row>
    <row r="413" spans="5:5" ht="13">
      <c r="E413" s="161"/>
    </row>
    <row r="414" spans="5:5" ht="13">
      <c r="E414" s="161"/>
    </row>
    <row r="415" spans="5:5" ht="13">
      <c r="E415" s="161"/>
    </row>
    <row r="416" spans="5:5" ht="13">
      <c r="E416" s="161"/>
    </row>
    <row r="417" spans="5:5" ht="13">
      <c r="E417" s="161"/>
    </row>
    <row r="418" spans="5:5" ht="13">
      <c r="E418" s="161"/>
    </row>
    <row r="419" spans="5:5" ht="13">
      <c r="E419" s="161"/>
    </row>
    <row r="420" spans="5:5" ht="13">
      <c r="E420" s="161"/>
    </row>
    <row r="421" spans="5:5" ht="13">
      <c r="E421" s="161"/>
    </row>
    <row r="422" spans="5:5" ht="13">
      <c r="E422" s="161"/>
    </row>
    <row r="423" spans="5:5" ht="13">
      <c r="E423" s="161"/>
    </row>
    <row r="424" spans="5:5" ht="13">
      <c r="E424" s="161"/>
    </row>
    <row r="425" spans="5:5" ht="13">
      <c r="E425" s="161"/>
    </row>
    <row r="426" spans="5:5" ht="13">
      <c r="E426" s="161"/>
    </row>
    <row r="427" spans="5:5" ht="13">
      <c r="E427" s="161"/>
    </row>
    <row r="428" spans="5:5" ht="13">
      <c r="E428" s="161"/>
    </row>
    <row r="429" spans="5:5" ht="13">
      <c r="E429" s="161"/>
    </row>
    <row r="430" spans="5:5" ht="13">
      <c r="E430" s="161"/>
    </row>
    <row r="431" spans="5:5" ht="13">
      <c r="E431" s="161"/>
    </row>
    <row r="432" spans="5:5" ht="13">
      <c r="E432" s="161"/>
    </row>
    <row r="433" spans="5:5" ht="13">
      <c r="E433" s="161"/>
    </row>
    <row r="434" spans="5:5" ht="13">
      <c r="E434" s="161"/>
    </row>
    <row r="435" spans="5:5" ht="13">
      <c r="E435" s="161"/>
    </row>
    <row r="436" spans="5:5" ht="13">
      <c r="E436" s="161"/>
    </row>
    <row r="437" spans="5:5" ht="13">
      <c r="E437" s="161"/>
    </row>
    <row r="438" spans="5:5" ht="13">
      <c r="E438" s="161"/>
    </row>
    <row r="439" spans="5:5" ht="13">
      <c r="E439" s="161"/>
    </row>
    <row r="440" spans="5:5" ht="13">
      <c r="E440" s="161"/>
    </row>
    <row r="441" spans="5:5" ht="13">
      <c r="E441" s="161"/>
    </row>
    <row r="442" spans="5:5" ht="13">
      <c r="E442" s="161"/>
    </row>
    <row r="443" spans="5:5" ht="13">
      <c r="E443" s="161"/>
    </row>
    <row r="444" spans="5:5" ht="13">
      <c r="E444" s="161"/>
    </row>
    <row r="445" spans="5:5" ht="13">
      <c r="E445" s="161"/>
    </row>
    <row r="446" spans="5:5" ht="13">
      <c r="E446" s="161"/>
    </row>
    <row r="447" spans="5:5" ht="13">
      <c r="E447" s="161"/>
    </row>
    <row r="448" spans="5:5" ht="13">
      <c r="E448" s="161"/>
    </row>
    <row r="449" spans="5:5" ht="13">
      <c r="E449" s="161"/>
    </row>
    <row r="450" spans="5:5" ht="13">
      <c r="E450" s="161"/>
    </row>
    <row r="451" spans="5:5" ht="13">
      <c r="E451" s="161"/>
    </row>
    <row r="452" spans="5:5" ht="13">
      <c r="E452" s="161"/>
    </row>
    <row r="453" spans="5:5" ht="13">
      <c r="E453" s="161"/>
    </row>
    <row r="454" spans="5:5" ht="13">
      <c r="E454" s="161"/>
    </row>
    <row r="455" spans="5:5" ht="13">
      <c r="E455" s="161"/>
    </row>
    <row r="456" spans="5:5" ht="13">
      <c r="E456" s="161"/>
    </row>
    <row r="457" spans="5:5" ht="13">
      <c r="E457" s="161"/>
    </row>
    <row r="458" spans="5:5" ht="13">
      <c r="E458" s="161"/>
    </row>
    <row r="459" spans="5:5" ht="13">
      <c r="E459" s="161"/>
    </row>
    <row r="460" spans="5:5" ht="13">
      <c r="E460" s="161"/>
    </row>
    <row r="461" spans="5:5" ht="13">
      <c r="E461" s="161"/>
    </row>
    <row r="462" spans="5:5" ht="13">
      <c r="E462" s="161"/>
    </row>
    <row r="463" spans="5:5" ht="13">
      <c r="E463" s="161"/>
    </row>
    <row r="464" spans="5:5" ht="13">
      <c r="E464" s="161"/>
    </row>
    <row r="465" spans="5:5" ht="13">
      <c r="E465" s="161"/>
    </row>
    <row r="466" spans="5:5" ht="13">
      <c r="E466" s="161"/>
    </row>
    <row r="467" spans="5:5" ht="13">
      <c r="E467" s="161"/>
    </row>
    <row r="468" spans="5:5" ht="13">
      <c r="E468" s="161"/>
    </row>
    <row r="469" spans="5:5" ht="13">
      <c r="E469" s="161"/>
    </row>
    <row r="470" spans="5:5" ht="13">
      <c r="E470" s="161"/>
    </row>
    <row r="471" spans="5:5" ht="13">
      <c r="E471" s="161"/>
    </row>
    <row r="472" spans="5:5" ht="13">
      <c r="E472" s="161"/>
    </row>
    <row r="473" spans="5:5" ht="13">
      <c r="E473" s="161"/>
    </row>
    <row r="474" spans="5:5" ht="13">
      <c r="E474" s="161"/>
    </row>
    <row r="475" spans="5:5" ht="13">
      <c r="E475" s="161"/>
    </row>
    <row r="476" spans="5:5" ht="13">
      <c r="E476" s="161"/>
    </row>
    <row r="477" spans="5:5" ht="13">
      <c r="E477" s="161"/>
    </row>
    <row r="478" spans="5:5" ht="13">
      <c r="E478" s="161"/>
    </row>
    <row r="479" spans="5:5" ht="13">
      <c r="E479" s="161"/>
    </row>
    <row r="480" spans="5:5" ht="13">
      <c r="E480" s="161"/>
    </row>
    <row r="481" spans="5:5" ht="13">
      <c r="E481" s="161"/>
    </row>
    <row r="482" spans="5:5" ht="13">
      <c r="E482" s="161"/>
    </row>
    <row r="483" spans="5:5" ht="13">
      <c r="E483" s="161"/>
    </row>
    <row r="484" spans="5:5" ht="13">
      <c r="E484" s="161"/>
    </row>
    <row r="485" spans="5:5" ht="13">
      <c r="E485" s="161"/>
    </row>
    <row r="486" spans="5:5" ht="13">
      <c r="E486" s="161"/>
    </row>
    <row r="487" spans="5:5" ht="13">
      <c r="E487" s="161"/>
    </row>
    <row r="488" spans="5:5" ht="13">
      <c r="E488" s="161"/>
    </row>
    <row r="489" spans="5:5" ht="13">
      <c r="E489" s="161"/>
    </row>
    <row r="490" spans="5:5" ht="13">
      <c r="E490" s="161"/>
    </row>
    <row r="491" spans="5:5" ht="13">
      <c r="E491" s="161"/>
    </row>
    <row r="492" spans="5:5" ht="13">
      <c r="E492" s="161"/>
    </row>
    <row r="493" spans="5:5" ht="13">
      <c r="E493" s="161"/>
    </row>
    <row r="494" spans="5:5" ht="13">
      <c r="E494" s="161"/>
    </row>
    <row r="495" spans="5:5" ht="13">
      <c r="E495" s="161"/>
    </row>
    <row r="496" spans="5:5" ht="13">
      <c r="E496" s="161"/>
    </row>
    <row r="497" spans="5:5" ht="13">
      <c r="E497" s="161"/>
    </row>
    <row r="498" spans="5:5" ht="13">
      <c r="E498" s="161"/>
    </row>
    <row r="499" spans="5:5" ht="13">
      <c r="E499" s="161"/>
    </row>
    <row r="500" spans="5:5" ht="13">
      <c r="E500" s="161"/>
    </row>
    <row r="501" spans="5:5" ht="13">
      <c r="E501" s="161"/>
    </row>
    <row r="502" spans="5:5" ht="13">
      <c r="E502" s="161"/>
    </row>
    <row r="503" spans="5:5" ht="13">
      <c r="E503" s="161"/>
    </row>
    <row r="504" spans="5:5" ht="13">
      <c r="E504" s="161"/>
    </row>
    <row r="505" spans="5:5" ht="13">
      <c r="E505" s="161"/>
    </row>
    <row r="506" spans="5:5" ht="13">
      <c r="E506" s="161"/>
    </row>
    <row r="507" spans="5:5" ht="13">
      <c r="E507" s="161"/>
    </row>
    <row r="508" spans="5:5" ht="13">
      <c r="E508" s="161"/>
    </row>
    <row r="509" spans="5:5" ht="13">
      <c r="E509" s="161"/>
    </row>
    <row r="510" spans="5:5" ht="13">
      <c r="E510" s="161"/>
    </row>
    <row r="511" spans="5:5" ht="13">
      <c r="E511" s="161"/>
    </row>
    <row r="512" spans="5:5" ht="13">
      <c r="E512" s="161"/>
    </row>
    <row r="513" spans="5:5" ht="13">
      <c r="E513" s="161"/>
    </row>
    <row r="514" spans="5:5" ht="13">
      <c r="E514" s="161"/>
    </row>
    <row r="515" spans="5:5" ht="13">
      <c r="E515" s="161"/>
    </row>
    <row r="516" spans="5:5" ht="13">
      <c r="E516" s="161"/>
    </row>
    <row r="517" spans="5:5" ht="13">
      <c r="E517" s="161"/>
    </row>
    <row r="518" spans="5:5" ht="13">
      <c r="E518" s="161"/>
    </row>
    <row r="519" spans="5:5" ht="13">
      <c r="E519" s="161"/>
    </row>
    <row r="520" spans="5:5" ht="13">
      <c r="E520" s="161"/>
    </row>
    <row r="521" spans="5:5" ht="13">
      <c r="E521" s="161"/>
    </row>
    <row r="522" spans="5:5" ht="13">
      <c r="E522" s="161"/>
    </row>
    <row r="523" spans="5:5" ht="13">
      <c r="E523" s="161"/>
    </row>
    <row r="524" spans="5:5" ht="13">
      <c r="E524" s="161"/>
    </row>
    <row r="525" spans="5:5" ht="13">
      <c r="E525" s="161"/>
    </row>
    <row r="526" spans="5:5" ht="13">
      <c r="E526" s="161"/>
    </row>
    <row r="527" spans="5:5" ht="13">
      <c r="E527" s="161"/>
    </row>
    <row r="528" spans="5:5" ht="13">
      <c r="E528" s="161"/>
    </row>
    <row r="529" spans="5:5" ht="13">
      <c r="E529" s="161"/>
    </row>
    <row r="530" spans="5:5" ht="13">
      <c r="E530" s="161"/>
    </row>
    <row r="531" spans="5:5" ht="13">
      <c r="E531" s="161"/>
    </row>
    <row r="532" spans="5:5" ht="13">
      <c r="E532" s="161"/>
    </row>
    <row r="533" spans="5:5" ht="13">
      <c r="E533" s="161"/>
    </row>
    <row r="534" spans="5:5" ht="13">
      <c r="E534" s="161"/>
    </row>
    <row r="535" spans="5:5" ht="13">
      <c r="E535" s="161"/>
    </row>
    <row r="536" spans="5:5" ht="13">
      <c r="E536" s="161"/>
    </row>
    <row r="537" spans="5:5" ht="13">
      <c r="E537" s="161"/>
    </row>
    <row r="538" spans="5:5" ht="13">
      <c r="E538" s="161"/>
    </row>
    <row r="539" spans="5:5" ht="13">
      <c r="E539" s="161"/>
    </row>
    <row r="540" spans="5:5" ht="13">
      <c r="E540" s="161"/>
    </row>
    <row r="541" spans="5:5" ht="13">
      <c r="E541" s="161"/>
    </row>
    <row r="542" spans="5:5" ht="13">
      <c r="E542" s="161"/>
    </row>
    <row r="543" spans="5:5" ht="13">
      <c r="E543" s="161"/>
    </row>
    <row r="544" spans="5:5" ht="13">
      <c r="E544" s="161"/>
    </row>
    <row r="545" spans="5:5" ht="13">
      <c r="E545" s="161"/>
    </row>
    <row r="546" spans="5:5" ht="13">
      <c r="E546" s="161"/>
    </row>
    <row r="547" spans="5:5" ht="13">
      <c r="E547" s="161"/>
    </row>
    <row r="548" spans="5:5" ht="13">
      <c r="E548" s="161"/>
    </row>
    <row r="549" spans="5:5" ht="13">
      <c r="E549" s="161"/>
    </row>
    <row r="550" spans="5:5" ht="13">
      <c r="E550" s="161"/>
    </row>
    <row r="551" spans="5:5" ht="13">
      <c r="E551" s="161"/>
    </row>
    <row r="552" spans="5:5" ht="13">
      <c r="E552" s="161"/>
    </row>
    <row r="553" spans="5:5" ht="13">
      <c r="E553" s="161"/>
    </row>
    <row r="554" spans="5:5" ht="13">
      <c r="E554" s="161"/>
    </row>
    <row r="555" spans="5:5" ht="13">
      <c r="E555" s="161"/>
    </row>
    <row r="556" spans="5:5" ht="13">
      <c r="E556" s="161"/>
    </row>
    <row r="557" spans="5:5" ht="13">
      <c r="E557" s="161"/>
    </row>
    <row r="558" spans="5:5" ht="13">
      <c r="E558" s="161"/>
    </row>
    <row r="559" spans="5:5" ht="13">
      <c r="E559" s="161"/>
    </row>
    <row r="560" spans="5:5" ht="13">
      <c r="E560" s="161"/>
    </row>
    <row r="561" spans="5:5" ht="13">
      <c r="E561" s="161"/>
    </row>
    <row r="562" spans="5:5" ht="13">
      <c r="E562" s="161"/>
    </row>
    <row r="563" spans="5:5" ht="13">
      <c r="E563" s="161"/>
    </row>
    <row r="564" spans="5:5" ht="13">
      <c r="E564" s="161"/>
    </row>
    <row r="565" spans="5:5" ht="13">
      <c r="E565" s="161"/>
    </row>
    <row r="566" spans="5:5" ht="13">
      <c r="E566" s="161"/>
    </row>
    <row r="567" spans="5:5" ht="13">
      <c r="E567" s="161"/>
    </row>
    <row r="568" spans="5:5" ht="13">
      <c r="E568" s="161"/>
    </row>
    <row r="569" spans="5:5" ht="13">
      <c r="E569" s="161"/>
    </row>
    <row r="570" spans="5:5" ht="13">
      <c r="E570" s="161"/>
    </row>
    <row r="571" spans="5:5" ht="13">
      <c r="E571" s="161"/>
    </row>
    <row r="572" spans="5:5" ht="13">
      <c r="E572" s="161"/>
    </row>
    <row r="573" spans="5:5" ht="13">
      <c r="E573" s="161"/>
    </row>
    <row r="574" spans="5:5" ht="13">
      <c r="E574" s="161"/>
    </row>
    <row r="575" spans="5:5" ht="13">
      <c r="E575" s="161"/>
    </row>
    <row r="576" spans="5:5" ht="13">
      <c r="E576" s="161"/>
    </row>
    <row r="577" spans="5:5" ht="13">
      <c r="E577" s="161"/>
    </row>
    <row r="578" spans="5:5" ht="13">
      <c r="E578" s="161"/>
    </row>
    <row r="579" spans="5:5" ht="13">
      <c r="E579" s="161"/>
    </row>
    <row r="580" spans="5:5" ht="13">
      <c r="E580" s="161"/>
    </row>
    <row r="581" spans="5:5" ht="13">
      <c r="E581" s="161"/>
    </row>
    <row r="582" spans="5:5" ht="13">
      <c r="E582" s="161"/>
    </row>
    <row r="583" spans="5:5" ht="13">
      <c r="E583" s="161"/>
    </row>
    <row r="584" spans="5:5" ht="13">
      <c r="E584" s="161"/>
    </row>
    <row r="585" spans="5:5" ht="13">
      <c r="E585" s="161"/>
    </row>
    <row r="586" spans="5:5" ht="13">
      <c r="E586" s="161"/>
    </row>
    <row r="587" spans="5:5" ht="13">
      <c r="E587" s="161"/>
    </row>
    <row r="588" spans="5:5" ht="13">
      <c r="E588" s="161"/>
    </row>
    <row r="589" spans="5:5" ht="13">
      <c r="E589" s="161"/>
    </row>
    <row r="590" spans="5:5" ht="13">
      <c r="E590" s="161"/>
    </row>
    <row r="591" spans="5:5" ht="13">
      <c r="E591" s="161"/>
    </row>
    <row r="592" spans="5:5" ht="13">
      <c r="E592" s="161"/>
    </row>
    <row r="593" spans="5:5" ht="13">
      <c r="E593" s="161"/>
    </row>
    <row r="594" spans="5:5" ht="13">
      <c r="E594" s="161"/>
    </row>
    <row r="595" spans="5:5" ht="13">
      <c r="E595" s="161"/>
    </row>
    <row r="596" spans="5:5" ht="13">
      <c r="E596" s="161"/>
    </row>
    <row r="597" spans="5:5" ht="13">
      <c r="E597" s="161"/>
    </row>
    <row r="598" spans="5:5" ht="13">
      <c r="E598" s="161"/>
    </row>
    <row r="599" spans="5:5" ht="13">
      <c r="E599" s="161"/>
    </row>
    <row r="600" spans="5:5" ht="13">
      <c r="E600" s="161"/>
    </row>
    <row r="601" spans="5:5" ht="13">
      <c r="E601" s="161"/>
    </row>
    <row r="602" spans="5:5" ht="13">
      <c r="E602" s="161"/>
    </row>
    <row r="603" spans="5:5" ht="13">
      <c r="E603" s="161"/>
    </row>
    <row r="604" spans="5:5" ht="13">
      <c r="E604" s="161"/>
    </row>
    <row r="605" spans="5:5" ht="13">
      <c r="E605" s="161"/>
    </row>
    <row r="606" spans="5:5" ht="13">
      <c r="E606" s="161"/>
    </row>
    <row r="607" spans="5:5" ht="13">
      <c r="E607" s="161"/>
    </row>
    <row r="608" spans="5:5" ht="13">
      <c r="E608" s="161"/>
    </row>
    <row r="609" spans="5:5" ht="13">
      <c r="E609" s="161"/>
    </row>
    <row r="610" spans="5:5" ht="13">
      <c r="E610" s="161"/>
    </row>
    <row r="611" spans="5:5" ht="13">
      <c r="E611" s="161"/>
    </row>
    <row r="612" spans="5:5" ht="13">
      <c r="E612" s="161"/>
    </row>
    <row r="613" spans="5:5" ht="13">
      <c r="E613" s="161"/>
    </row>
    <row r="614" spans="5:5" ht="13">
      <c r="E614" s="161"/>
    </row>
    <row r="615" spans="5:5" ht="13">
      <c r="E615" s="161"/>
    </row>
    <row r="616" spans="5:5" ht="13">
      <c r="E616" s="161"/>
    </row>
    <row r="617" spans="5:5" ht="13">
      <c r="E617" s="161"/>
    </row>
    <row r="618" spans="5:5" ht="13">
      <c r="E618" s="161"/>
    </row>
    <row r="619" spans="5:5" ht="13">
      <c r="E619" s="161"/>
    </row>
    <row r="620" spans="5:5" ht="13">
      <c r="E620" s="161"/>
    </row>
    <row r="621" spans="5:5" ht="13">
      <c r="E621" s="161"/>
    </row>
    <row r="622" spans="5:5" ht="13">
      <c r="E622" s="161"/>
    </row>
    <row r="623" spans="5:5" ht="13">
      <c r="E623" s="161"/>
    </row>
    <row r="624" spans="5:5" ht="13">
      <c r="E624" s="161"/>
    </row>
    <row r="625" spans="5:5" ht="13">
      <c r="E625" s="161"/>
    </row>
    <row r="626" spans="5:5" ht="13">
      <c r="E626" s="161"/>
    </row>
    <row r="627" spans="5:5" ht="13">
      <c r="E627" s="161"/>
    </row>
    <row r="628" spans="5:5" ht="13">
      <c r="E628" s="161"/>
    </row>
    <row r="629" spans="5:5" ht="13">
      <c r="E629" s="161"/>
    </row>
    <row r="630" spans="5:5" ht="13">
      <c r="E630" s="161"/>
    </row>
    <row r="631" spans="5:5" ht="13">
      <c r="E631" s="161"/>
    </row>
    <row r="632" spans="5:5" ht="13">
      <c r="E632" s="161"/>
    </row>
    <row r="633" spans="5:5" ht="13">
      <c r="E633" s="161"/>
    </row>
    <row r="634" spans="5:5" ht="13">
      <c r="E634" s="161"/>
    </row>
    <row r="635" spans="5:5" ht="13">
      <c r="E635" s="161"/>
    </row>
    <row r="636" spans="5:5" ht="13">
      <c r="E636" s="161"/>
    </row>
    <row r="637" spans="5:5" ht="13">
      <c r="E637" s="161"/>
    </row>
    <row r="638" spans="5:5" ht="13">
      <c r="E638" s="161"/>
    </row>
    <row r="639" spans="5:5" ht="13">
      <c r="E639" s="161"/>
    </row>
    <row r="640" spans="5:5" ht="13">
      <c r="E640" s="161"/>
    </row>
    <row r="641" spans="5:5" ht="13">
      <c r="E641" s="161"/>
    </row>
    <row r="642" spans="5:5" ht="13">
      <c r="E642" s="161"/>
    </row>
    <row r="643" spans="5:5" ht="13">
      <c r="E643" s="161"/>
    </row>
    <row r="644" spans="5:5" ht="13">
      <c r="E644" s="161"/>
    </row>
    <row r="645" spans="5:5" ht="13">
      <c r="E645" s="161"/>
    </row>
    <row r="646" spans="5:5" ht="13">
      <c r="E646" s="161"/>
    </row>
    <row r="647" spans="5:5" ht="13">
      <c r="E647" s="161"/>
    </row>
    <row r="648" spans="5:5" ht="13">
      <c r="E648" s="161"/>
    </row>
    <row r="649" spans="5:5" ht="13">
      <c r="E649" s="161"/>
    </row>
    <row r="650" spans="5:5" ht="13">
      <c r="E650" s="161"/>
    </row>
    <row r="651" spans="5:5" ht="13">
      <c r="E651" s="161"/>
    </row>
    <row r="652" spans="5:5" ht="13">
      <c r="E652" s="161"/>
    </row>
    <row r="653" spans="5:5" ht="13">
      <c r="E653" s="161"/>
    </row>
    <row r="654" spans="5:5" ht="13">
      <c r="E654" s="161"/>
    </row>
    <row r="655" spans="5:5" ht="13">
      <c r="E655" s="161"/>
    </row>
    <row r="656" spans="5:5" ht="13">
      <c r="E656" s="161"/>
    </row>
    <row r="657" spans="5:5" ht="13">
      <c r="E657" s="161"/>
    </row>
    <row r="658" spans="5:5" ht="13">
      <c r="E658" s="161"/>
    </row>
    <row r="659" spans="5:5" ht="13">
      <c r="E659" s="161"/>
    </row>
    <row r="660" spans="5:5" ht="13">
      <c r="E660" s="161"/>
    </row>
    <row r="661" spans="5:5" ht="13">
      <c r="E661" s="161"/>
    </row>
    <row r="662" spans="5:5" ht="13">
      <c r="E662" s="161"/>
    </row>
    <row r="663" spans="5:5" ht="13">
      <c r="E663" s="161"/>
    </row>
    <row r="664" spans="5:5" ht="13">
      <c r="E664" s="161"/>
    </row>
    <row r="665" spans="5:5" ht="13">
      <c r="E665" s="161"/>
    </row>
    <row r="666" spans="5:5" ht="13">
      <c r="E666" s="161"/>
    </row>
    <row r="667" spans="5:5" ht="13">
      <c r="E667" s="161"/>
    </row>
    <row r="668" spans="5:5" ht="13">
      <c r="E668" s="161"/>
    </row>
    <row r="669" spans="5:5" ht="13">
      <c r="E669" s="161"/>
    </row>
    <row r="670" spans="5:5" ht="13">
      <c r="E670" s="161"/>
    </row>
    <row r="671" spans="5:5" ht="13">
      <c r="E671" s="161"/>
    </row>
    <row r="672" spans="5:5" ht="13">
      <c r="E672" s="161"/>
    </row>
    <row r="673" spans="5:5" ht="13">
      <c r="E673" s="161"/>
    </row>
    <row r="674" spans="5:5" ht="13">
      <c r="E674" s="161"/>
    </row>
    <row r="675" spans="5:5" ht="13">
      <c r="E675" s="161"/>
    </row>
    <row r="676" spans="5:5" ht="13">
      <c r="E676" s="161"/>
    </row>
    <row r="677" spans="5:5" ht="13">
      <c r="E677" s="161"/>
    </row>
    <row r="678" spans="5:5" ht="13">
      <c r="E678" s="161"/>
    </row>
    <row r="679" spans="5:5" ht="13">
      <c r="E679" s="161"/>
    </row>
    <row r="680" spans="5:5" ht="13">
      <c r="E680" s="161"/>
    </row>
    <row r="681" spans="5:5" ht="13">
      <c r="E681" s="161"/>
    </row>
    <row r="682" spans="5:5" ht="13">
      <c r="E682" s="161"/>
    </row>
    <row r="683" spans="5:5" ht="13">
      <c r="E683" s="161"/>
    </row>
    <row r="684" spans="5:5" ht="13">
      <c r="E684" s="161"/>
    </row>
    <row r="685" spans="5:5" ht="13">
      <c r="E685" s="161"/>
    </row>
    <row r="686" spans="5:5" ht="13">
      <c r="E686" s="161"/>
    </row>
    <row r="687" spans="5:5" ht="13">
      <c r="E687" s="161"/>
    </row>
    <row r="688" spans="5:5" ht="13">
      <c r="E688" s="161"/>
    </row>
    <row r="689" spans="5:5" ht="13">
      <c r="E689" s="161"/>
    </row>
    <row r="690" spans="5:5" ht="13">
      <c r="E690" s="161"/>
    </row>
    <row r="691" spans="5:5" ht="13">
      <c r="E691" s="161"/>
    </row>
    <row r="692" spans="5:5" ht="13">
      <c r="E692" s="161"/>
    </row>
    <row r="693" spans="5:5" ht="13">
      <c r="E693" s="161"/>
    </row>
    <row r="694" spans="5:5" ht="13">
      <c r="E694" s="161"/>
    </row>
    <row r="695" spans="5:5" ht="13">
      <c r="E695" s="161"/>
    </row>
    <row r="696" spans="5:5" ht="13">
      <c r="E696" s="161"/>
    </row>
    <row r="697" spans="5:5" ht="13">
      <c r="E697" s="161"/>
    </row>
    <row r="698" spans="5:5" ht="13">
      <c r="E698" s="161"/>
    </row>
    <row r="699" spans="5:5" ht="13">
      <c r="E699" s="161"/>
    </row>
    <row r="700" spans="5:5" ht="13">
      <c r="E700" s="161"/>
    </row>
    <row r="701" spans="5:5" ht="13">
      <c r="E701" s="161"/>
    </row>
    <row r="702" spans="5:5" ht="13">
      <c r="E702" s="161"/>
    </row>
    <row r="703" spans="5:5" ht="13">
      <c r="E703" s="161"/>
    </row>
    <row r="704" spans="5:5" ht="13">
      <c r="E704" s="161"/>
    </row>
    <row r="705" spans="5:5" ht="13">
      <c r="E705" s="161"/>
    </row>
    <row r="706" spans="5:5" ht="13">
      <c r="E706" s="161"/>
    </row>
    <row r="707" spans="5:5" ht="13">
      <c r="E707" s="161"/>
    </row>
    <row r="708" spans="5:5" ht="13">
      <c r="E708" s="161"/>
    </row>
    <row r="709" spans="5:5" ht="13">
      <c r="E709" s="161"/>
    </row>
    <row r="710" spans="5:5" ht="13">
      <c r="E710" s="161"/>
    </row>
    <row r="711" spans="5:5" ht="13">
      <c r="E711" s="161"/>
    </row>
    <row r="712" spans="5:5" ht="13">
      <c r="E712" s="161"/>
    </row>
    <row r="713" spans="5:5" ht="13">
      <c r="E713" s="161"/>
    </row>
    <row r="714" spans="5:5" ht="13">
      <c r="E714" s="161"/>
    </row>
    <row r="715" spans="5:5" ht="13">
      <c r="E715" s="161"/>
    </row>
    <row r="716" spans="5:5" ht="13">
      <c r="E716" s="161"/>
    </row>
    <row r="717" spans="5:5" ht="13">
      <c r="E717" s="161"/>
    </row>
    <row r="718" spans="5:5" ht="13">
      <c r="E718" s="161"/>
    </row>
    <row r="719" spans="5:5" ht="13">
      <c r="E719" s="161"/>
    </row>
    <row r="720" spans="5:5" ht="13">
      <c r="E720" s="161"/>
    </row>
    <row r="721" spans="5:5" ht="13">
      <c r="E721" s="161"/>
    </row>
    <row r="722" spans="5:5" ht="13">
      <c r="E722" s="161"/>
    </row>
    <row r="723" spans="5:5" ht="13">
      <c r="E723" s="161"/>
    </row>
    <row r="724" spans="5:5" ht="13">
      <c r="E724" s="161"/>
    </row>
    <row r="725" spans="5:5" ht="13">
      <c r="E725" s="161"/>
    </row>
    <row r="726" spans="5:5" ht="13">
      <c r="E726" s="161"/>
    </row>
    <row r="727" spans="5:5" ht="13">
      <c r="E727" s="161"/>
    </row>
    <row r="728" spans="5:5" ht="13">
      <c r="E728" s="161"/>
    </row>
    <row r="729" spans="5:5" ht="13">
      <c r="E729" s="161"/>
    </row>
    <row r="730" spans="5:5" ht="13">
      <c r="E730" s="161"/>
    </row>
    <row r="731" spans="5:5" ht="13">
      <c r="E731" s="161"/>
    </row>
    <row r="732" spans="5:5" ht="13">
      <c r="E732" s="161"/>
    </row>
    <row r="733" spans="5:5" ht="13">
      <c r="E733" s="161"/>
    </row>
    <row r="734" spans="5:5" ht="13">
      <c r="E734" s="161"/>
    </row>
    <row r="735" spans="5:5" ht="13">
      <c r="E735" s="161"/>
    </row>
    <row r="736" spans="5:5" ht="13">
      <c r="E736" s="161"/>
    </row>
    <row r="737" spans="5:5" ht="13">
      <c r="E737" s="161"/>
    </row>
    <row r="738" spans="5:5" ht="13">
      <c r="E738" s="161"/>
    </row>
    <row r="739" spans="5:5" ht="13">
      <c r="E739" s="161"/>
    </row>
    <row r="740" spans="5:5" ht="13">
      <c r="E740" s="161"/>
    </row>
    <row r="741" spans="5:5" ht="13">
      <c r="E741" s="161"/>
    </row>
    <row r="742" spans="5:5" ht="13">
      <c r="E742" s="161"/>
    </row>
    <row r="743" spans="5:5" ht="13">
      <c r="E743" s="161"/>
    </row>
    <row r="744" spans="5:5" ht="13">
      <c r="E744" s="161"/>
    </row>
    <row r="745" spans="5:5" ht="13">
      <c r="E745" s="161"/>
    </row>
    <row r="746" spans="5:5" ht="13">
      <c r="E746" s="161"/>
    </row>
    <row r="747" spans="5:5" ht="13">
      <c r="E747" s="161"/>
    </row>
    <row r="748" spans="5:5" ht="13">
      <c r="E748" s="161"/>
    </row>
    <row r="749" spans="5:5" ht="13">
      <c r="E749" s="161"/>
    </row>
    <row r="750" spans="5:5" ht="13">
      <c r="E750" s="161"/>
    </row>
    <row r="751" spans="5:5" ht="13">
      <c r="E751" s="161"/>
    </row>
    <row r="752" spans="5:5" ht="13">
      <c r="E752" s="161"/>
    </row>
    <row r="753" spans="5:5" ht="13">
      <c r="E753" s="161"/>
    </row>
    <row r="754" spans="5:5" ht="13">
      <c r="E754" s="161"/>
    </row>
    <row r="755" spans="5:5" ht="13">
      <c r="E755" s="161"/>
    </row>
    <row r="756" spans="5:5" ht="13">
      <c r="E756" s="161"/>
    </row>
    <row r="757" spans="5:5" ht="13">
      <c r="E757" s="161"/>
    </row>
    <row r="758" spans="5:5" ht="13">
      <c r="E758" s="161"/>
    </row>
    <row r="759" spans="5:5" ht="13">
      <c r="E759" s="161"/>
    </row>
    <row r="760" spans="5:5" ht="13">
      <c r="E760" s="161"/>
    </row>
    <row r="761" spans="5:5" ht="13">
      <c r="E761" s="161"/>
    </row>
    <row r="762" spans="5:5" ht="13">
      <c r="E762" s="161"/>
    </row>
    <row r="763" spans="5:5" ht="13">
      <c r="E763" s="161"/>
    </row>
    <row r="764" spans="5:5" ht="13">
      <c r="E764" s="161"/>
    </row>
    <row r="765" spans="5:5" ht="13">
      <c r="E765" s="161"/>
    </row>
    <row r="766" spans="5:5" ht="13">
      <c r="E766" s="161"/>
    </row>
    <row r="767" spans="5:5" ht="13">
      <c r="E767" s="161"/>
    </row>
    <row r="768" spans="5:5" ht="13">
      <c r="E768" s="161"/>
    </row>
    <row r="769" spans="5:5" ht="13">
      <c r="E769" s="161"/>
    </row>
    <row r="770" spans="5:5" ht="13">
      <c r="E770" s="161"/>
    </row>
    <row r="771" spans="5:5" ht="13">
      <c r="E771" s="161"/>
    </row>
    <row r="772" spans="5:5" ht="13">
      <c r="E772" s="161"/>
    </row>
    <row r="773" spans="5:5" ht="13">
      <c r="E773" s="161"/>
    </row>
    <row r="774" spans="5:5" ht="13">
      <c r="E774" s="161"/>
    </row>
    <row r="775" spans="5:5" ht="13">
      <c r="E775" s="161"/>
    </row>
    <row r="776" spans="5:5" ht="13">
      <c r="E776" s="161"/>
    </row>
    <row r="777" spans="5:5" ht="13">
      <c r="E777" s="161"/>
    </row>
    <row r="778" spans="5:5" ht="13">
      <c r="E778" s="161"/>
    </row>
    <row r="779" spans="5:5" ht="13">
      <c r="E779" s="161"/>
    </row>
    <row r="780" spans="5:5" ht="13">
      <c r="E780" s="161"/>
    </row>
    <row r="781" spans="5:5" ht="13">
      <c r="E781" s="161"/>
    </row>
    <row r="782" spans="5:5" ht="13">
      <c r="E782" s="161"/>
    </row>
    <row r="783" spans="5:5" ht="13">
      <c r="E783" s="161"/>
    </row>
    <row r="784" spans="5:5" ht="13">
      <c r="E784" s="161"/>
    </row>
    <row r="785" spans="5:5" ht="13">
      <c r="E785" s="161"/>
    </row>
    <row r="786" spans="5:5" ht="13">
      <c r="E786" s="161"/>
    </row>
    <row r="787" spans="5:5" ht="13">
      <c r="E787" s="161"/>
    </row>
    <row r="788" spans="5:5" ht="13">
      <c r="E788" s="161"/>
    </row>
    <row r="789" spans="5:5" ht="13">
      <c r="E789" s="161"/>
    </row>
    <row r="790" spans="5:5" ht="13">
      <c r="E790" s="161"/>
    </row>
    <row r="791" spans="5:5" ht="13">
      <c r="E791" s="161"/>
    </row>
    <row r="792" spans="5:5" ht="13">
      <c r="E792" s="161"/>
    </row>
    <row r="793" spans="5:5" ht="13">
      <c r="E793" s="161"/>
    </row>
    <row r="794" spans="5:5" ht="13">
      <c r="E794" s="161"/>
    </row>
    <row r="795" spans="5:5" ht="13">
      <c r="E795" s="161"/>
    </row>
    <row r="796" spans="5:5" ht="13">
      <c r="E796" s="161"/>
    </row>
    <row r="797" spans="5:5" ht="13">
      <c r="E797" s="161"/>
    </row>
    <row r="798" spans="5:5" ht="13">
      <c r="E798" s="161"/>
    </row>
    <row r="799" spans="5:5" ht="13">
      <c r="E799" s="161"/>
    </row>
    <row r="800" spans="5:5" ht="13">
      <c r="E800" s="161"/>
    </row>
    <row r="801" spans="5:5" ht="13">
      <c r="E801" s="161"/>
    </row>
    <row r="802" spans="5:5" ht="13">
      <c r="E802" s="161"/>
    </row>
    <row r="803" spans="5:5" ht="13">
      <c r="E803" s="161"/>
    </row>
    <row r="804" spans="5:5" ht="13">
      <c r="E804" s="161"/>
    </row>
    <row r="805" spans="5:5" ht="13">
      <c r="E805" s="161"/>
    </row>
    <row r="806" spans="5:5" ht="13">
      <c r="E806" s="161"/>
    </row>
    <row r="807" spans="5:5" ht="13">
      <c r="E807" s="161"/>
    </row>
    <row r="808" spans="5:5" ht="13">
      <c r="E808" s="161"/>
    </row>
    <row r="809" spans="5:5" ht="13">
      <c r="E809" s="161"/>
    </row>
    <row r="810" spans="5:5" ht="13">
      <c r="E810" s="161"/>
    </row>
    <row r="811" spans="5:5" ht="13">
      <c r="E811" s="161"/>
    </row>
    <row r="812" spans="5:5" ht="13">
      <c r="E812" s="161"/>
    </row>
    <row r="813" spans="5:5" ht="13">
      <c r="E813" s="161"/>
    </row>
    <row r="814" spans="5:5" ht="13">
      <c r="E814" s="161"/>
    </row>
    <row r="815" spans="5:5" ht="13">
      <c r="E815" s="161"/>
    </row>
    <row r="816" spans="5:5" ht="13">
      <c r="E816" s="161"/>
    </row>
    <row r="817" spans="5:5" ht="13">
      <c r="E817" s="161"/>
    </row>
    <row r="818" spans="5:5" ht="13">
      <c r="E818" s="161"/>
    </row>
    <row r="819" spans="5:5" ht="13">
      <c r="E819" s="161"/>
    </row>
    <row r="820" spans="5:5" ht="13">
      <c r="E820" s="161"/>
    </row>
    <row r="821" spans="5:5" ht="13">
      <c r="E821" s="161"/>
    </row>
    <row r="822" spans="5:5" ht="13">
      <c r="E822" s="161"/>
    </row>
    <row r="823" spans="5:5" ht="13">
      <c r="E823" s="161"/>
    </row>
    <row r="824" spans="5:5" ht="13">
      <c r="E824" s="161"/>
    </row>
    <row r="825" spans="5:5" ht="13">
      <c r="E825" s="161"/>
    </row>
    <row r="826" spans="5:5" ht="13">
      <c r="E826" s="161"/>
    </row>
    <row r="827" spans="5:5" ht="13">
      <c r="E827" s="161"/>
    </row>
    <row r="828" spans="5:5" ht="13">
      <c r="E828" s="161"/>
    </row>
    <row r="829" spans="5:5" ht="13">
      <c r="E829" s="161"/>
    </row>
    <row r="830" spans="5:5" ht="13">
      <c r="E830" s="161"/>
    </row>
    <row r="831" spans="5:5" ht="13">
      <c r="E831" s="161"/>
    </row>
    <row r="832" spans="5:5" ht="13">
      <c r="E832" s="161"/>
    </row>
    <row r="833" spans="5:5" ht="13">
      <c r="E833" s="161"/>
    </row>
    <row r="834" spans="5:5" ht="13">
      <c r="E834" s="161"/>
    </row>
    <row r="835" spans="5:5" ht="13">
      <c r="E835" s="161"/>
    </row>
    <row r="836" spans="5:5" ht="13">
      <c r="E836" s="161"/>
    </row>
    <row r="837" spans="5:5" ht="13">
      <c r="E837" s="161"/>
    </row>
    <row r="838" spans="5:5" ht="13">
      <c r="E838" s="161"/>
    </row>
    <row r="839" spans="5:5" ht="13">
      <c r="E839" s="161"/>
    </row>
    <row r="840" spans="5:5" ht="13">
      <c r="E840" s="161"/>
    </row>
    <row r="841" spans="5:5" ht="13">
      <c r="E841" s="161"/>
    </row>
    <row r="842" spans="5:5" ht="13">
      <c r="E842" s="161"/>
    </row>
    <row r="843" spans="5:5" ht="13">
      <c r="E843" s="161"/>
    </row>
    <row r="844" spans="5:5" ht="13">
      <c r="E844" s="161"/>
    </row>
    <row r="845" spans="5:5" ht="13">
      <c r="E845" s="161"/>
    </row>
    <row r="846" spans="5:5" ht="13">
      <c r="E846" s="161"/>
    </row>
    <row r="847" spans="5:5" ht="13">
      <c r="E847" s="161"/>
    </row>
    <row r="848" spans="5:5" ht="13">
      <c r="E848" s="161"/>
    </row>
    <row r="849" spans="5:5" ht="13">
      <c r="E849" s="161"/>
    </row>
    <row r="850" spans="5:5" ht="13">
      <c r="E850" s="161"/>
    </row>
    <row r="851" spans="5:5" ht="13">
      <c r="E851" s="161"/>
    </row>
    <row r="852" spans="5:5" ht="13">
      <c r="E852" s="161"/>
    </row>
    <row r="853" spans="5:5" ht="13">
      <c r="E853" s="161"/>
    </row>
    <row r="854" spans="5:5" ht="13">
      <c r="E854" s="161"/>
    </row>
    <row r="855" spans="5:5" ht="13">
      <c r="E855" s="161"/>
    </row>
    <row r="856" spans="5:5" ht="13">
      <c r="E856" s="161"/>
    </row>
    <row r="857" spans="5:5" ht="13">
      <c r="E857" s="161"/>
    </row>
    <row r="858" spans="5:5" ht="13">
      <c r="E858" s="161"/>
    </row>
    <row r="859" spans="5:5" ht="13">
      <c r="E859" s="161"/>
    </row>
    <row r="860" spans="5:5" ht="13">
      <c r="E860" s="161"/>
    </row>
    <row r="861" spans="5:5" ht="13">
      <c r="E861" s="161"/>
    </row>
    <row r="862" spans="5:5" ht="13">
      <c r="E862" s="161"/>
    </row>
    <row r="863" spans="5:5" ht="13">
      <c r="E863" s="161"/>
    </row>
    <row r="864" spans="5:5" ht="13">
      <c r="E864" s="161"/>
    </row>
    <row r="865" spans="5:5" ht="13">
      <c r="E865" s="161"/>
    </row>
    <row r="866" spans="5:5" ht="13">
      <c r="E866" s="161"/>
    </row>
    <row r="867" spans="5:5" ht="13">
      <c r="E867" s="161"/>
    </row>
    <row r="868" spans="5:5" ht="13">
      <c r="E868" s="161"/>
    </row>
    <row r="869" spans="5:5" ht="13">
      <c r="E869" s="161"/>
    </row>
    <row r="870" spans="5:5" ht="13">
      <c r="E870" s="161"/>
    </row>
    <row r="871" spans="5:5" ht="13">
      <c r="E871" s="161"/>
    </row>
    <row r="872" spans="5:5" ht="13">
      <c r="E872" s="161"/>
    </row>
    <row r="873" spans="5:5" ht="13">
      <c r="E873" s="161"/>
    </row>
    <row r="874" spans="5:5" ht="13">
      <c r="E874" s="161"/>
    </row>
    <row r="875" spans="5:5" ht="13">
      <c r="E875" s="161"/>
    </row>
    <row r="876" spans="5:5" ht="13">
      <c r="E876" s="161"/>
    </row>
    <row r="877" spans="5:5" ht="13">
      <c r="E877" s="161"/>
    </row>
    <row r="878" spans="5:5" ht="13">
      <c r="E878" s="161"/>
    </row>
    <row r="879" spans="5:5" ht="13">
      <c r="E879" s="161"/>
    </row>
    <row r="880" spans="5:5" ht="13">
      <c r="E880" s="161"/>
    </row>
    <row r="881" spans="5:5" ht="13">
      <c r="E881" s="161"/>
    </row>
    <row r="882" spans="5:5" ht="13">
      <c r="E882" s="161"/>
    </row>
    <row r="883" spans="5:5" ht="13">
      <c r="E883" s="161"/>
    </row>
    <row r="884" spans="5:5" ht="13">
      <c r="E884" s="161"/>
    </row>
    <row r="885" spans="5:5" ht="13">
      <c r="E885" s="161"/>
    </row>
    <row r="886" spans="5:5" ht="13">
      <c r="E886" s="161"/>
    </row>
    <row r="887" spans="5:5" ht="13">
      <c r="E887" s="161"/>
    </row>
    <row r="888" spans="5:5" ht="13">
      <c r="E888" s="161"/>
    </row>
    <row r="889" spans="5:5" ht="13">
      <c r="E889" s="161"/>
    </row>
    <row r="890" spans="5:5" ht="13">
      <c r="E890" s="161"/>
    </row>
    <row r="891" spans="5:5" ht="13">
      <c r="E891" s="161"/>
    </row>
    <row r="892" spans="5:5" ht="13">
      <c r="E892" s="161"/>
    </row>
    <row r="893" spans="5:5" ht="13">
      <c r="E893" s="161"/>
    </row>
    <row r="894" spans="5:5" ht="13">
      <c r="E894" s="161"/>
    </row>
    <row r="895" spans="5:5" ht="13">
      <c r="E895" s="161"/>
    </row>
    <row r="896" spans="5:5" ht="13">
      <c r="E896" s="161"/>
    </row>
    <row r="897" spans="5:5" ht="13">
      <c r="E897" s="161"/>
    </row>
    <row r="898" spans="5:5" ht="13">
      <c r="E898" s="161"/>
    </row>
    <row r="899" spans="5:5" ht="13">
      <c r="E899" s="161"/>
    </row>
    <row r="900" spans="5:5" ht="13">
      <c r="E900" s="161"/>
    </row>
    <row r="901" spans="5:5" ht="13">
      <c r="E901" s="161"/>
    </row>
    <row r="902" spans="5:5" ht="13">
      <c r="E902" s="161"/>
    </row>
    <row r="903" spans="5:5" ht="13">
      <c r="E903" s="161"/>
    </row>
    <row r="904" spans="5:5" ht="13">
      <c r="E904" s="161"/>
    </row>
    <row r="905" spans="5:5" ht="13">
      <c r="E905" s="161"/>
    </row>
    <row r="906" spans="5:5" ht="13">
      <c r="E906" s="161"/>
    </row>
    <row r="907" spans="5:5" ht="13">
      <c r="E907" s="161"/>
    </row>
    <row r="908" spans="5:5" ht="13">
      <c r="E908" s="161"/>
    </row>
    <row r="909" spans="5:5" ht="13">
      <c r="E909" s="161"/>
    </row>
    <row r="910" spans="5:5" ht="13">
      <c r="E910" s="161"/>
    </row>
    <row r="911" spans="5:5" ht="13">
      <c r="E911" s="161"/>
    </row>
    <row r="912" spans="5:5" ht="13">
      <c r="E912" s="161"/>
    </row>
    <row r="913" spans="5:5" ht="13">
      <c r="E913" s="161"/>
    </row>
    <row r="914" spans="5:5" ht="13">
      <c r="E914" s="161"/>
    </row>
    <row r="915" spans="5:5" ht="13">
      <c r="E915" s="161"/>
    </row>
    <row r="916" spans="5:5" ht="13">
      <c r="E916" s="161"/>
    </row>
    <row r="917" spans="5:5" ht="13">
      <c r="E917" s="161"/>
    </row>
    <row r="918" spans="5:5" ht="13">
      <c r="E918" s="161"/>
    </row>
    <row r="919" spans="5:5" ht="13">
      <c r="E919" s="161"/>
    </row>
    <row r="920" spans="5:5" ht="13">
      <c r="E920" s="161"/>
    </row>
    <row r="921" spans="5:5" ht="13">
      <c r="E921" s="161"/>
    </row>
    <row r="922" spans="5:5" ht="13">
      <c r="E922" s="161"/>
    </row>
    <row r="923" spans="5:5" ht="13">
      <c r="E923" s="161"/>
    </row>
    <row r="924" spans="5:5" ht="13">
      <c r="E924" s="161"/>
    </row>
    <row r="925" spans="5:5" ht="13">
      <c r="E925" s="161"/>
    </row>
    <row r="926" spans="5:5" ht="13">
      <c r="E926" s="161"/>
    </row>
    <row r="927" spans="5:5" ht="13">
      <c r="E927" s="161"/>
    </row>
    <row r="928" spans="5:5" ht="13">
      <c r="E928" s="161"/>
    </row>
    <row r="929" spans="5:5" ht="13">
      <c r="E929" s="161"/>
    </row>
    <row r="930" spans="5:5" ht="13">
      <c r="E930" s="161"/>
    </row>
    <row r="931" spans="5:5" ht="13">
      <c r="E931" s="161"/>
    </row>
    <row r="932" spans="5:5" ht="13">
      <c r="E932" s="161"/>
    </row>
    <row r="933" spans="5:5" ht="13">
      <c r="E933" s="161"/>
    </row>
    <row r="934" spans="5:5" ht="13">
      <c r="E934" s="161"/>
    </row>
    <row r="935" spans="5:5" ht="13">
      <c r="E935" s="161"/>
    </row>
    <row r="936" spans="5:5" ht="13">
      <c r="E936" s="161"/>
    </row>
    <row r="937" spans="5:5" ht="13">
      <c r="E937" s="161"/>
    </row>
    <row r="938" spans="5:5" ht="13">
      <c r="E938" s="161"/>
    </row>
    <row r="939" spans="5:5" ht="13">
      <c r="E939" s="161"/>
    </row>
    <row r="940" spans="5:5" ht="13">
      <c r="E940" s="161"/>
    </row>
    <row r="941" spans="5:5" ht="13">
      <c r="E941" s="161"/>
    </row>
    <row r="942" spans="5:5" ht="13">
      <c r="E942" s="161"/>
    </row>
    <row r="943" spans="5:5" ht="13">
      <c r="E943" s="161"/>
    </row>
    <row r="944" spans="5:5" ht="13">
      <c r="E944" s="161"/>
    </row>
    <row r="945" spans="5:5" ht="13">
      <c r="E945" s="161"/>
    </row>
    <row r="946" spans="5:5" ht="13">
      <c r="E946" s="161"/>
    </row>
    <row r="947" spans="5:5" ht="13">
      <c r="E947" s="161"/>
    </row>
    <row r="948" spans="5:5" ht="13">
      <c r="E948" s="161"/>
    </row>
    <row r="949" spans="5:5" ht="13">
      <c r="E949" s="161"/>
    </row>
    <row r="950" spans="5:5" ht="13">
      <c r="E950" s="161"/>
    </row>
    <row r="951" spans="5:5" ht="13">
      <c r="E951" s="161"/>
    </row>
    <row r="952" spans="5:5" ht="13">
      <c r="E952" s="161"/>
    </row>
    <row r="953" spans="5:5" ht="13">
      <c r="E953" s="161"/>
    </row>
    <row r="954" spans="5:5" ht="13">
      <c r="E954" s="161"/>
    </row>
    <row r="955" spans="5:5" ht="13">
      <c r="E955" s="161"/>
    </row>
    <row r="956" spans="5:5" ht="13">
      <c r="E956" s="161"/>
    </row>
    <row r="957" spans="5:5" ht="13">
      <c r="E957" s="161"/>
    </row>
    <row r="958" spans="5:5" ht="13">
      <c r="E958" s="161"/>
    </row>
    <row r="959" spans="5:5" ht="13">
      <c r="E959" s="161"/>
    </row>
    <row r="960" spans="5:5" ht="13">
      <c r="E960" s="161"/>
    </row>
    <row r="961" spans="5:5" ht="13">
      <c r="E961" s="161"/>
    </row>
    <row r="962" spans="5:5" ht="13">
      <c r="E962" s="161"/>
    </row>
    <row r="963" spans="5:5" ht="13">
      <c r="E963" s="161"/>
    </row>
    <row r="964" spans="5:5" ht="13">
      <c r="E964" s="161"/>
    </row>
    <row r="965" spans="5:5" ht="13">
      <c r="E965" s="161"/>
    </row>
    <row r="966" spans="5:5" ht="13">
      <c r="E966" s="161"/>
    </row>
    <row r="967" spans="5:5" ht="13">
      <c r="E967" s="161"/>
    </row>
    <row r="968" spans="5:5" ht="13">
      <c r="E968" s="161"/>
    </row>
    <row r="969" spans="5:5" ht="13">
      <c r="E969" s="161"/>
    </row>
    <row r="970" spans="5:5" ht="13">
      <c r="E970" s="161"/>
    </row>
    <row r="971" spans="5:5" ht="13">
      <c r="E971" s="161"/>
    </row>
    <row r="972" spans="5:5" ht="13">
      <c r="E972" s="161"/>
    </row>
    <row r="973" spans="5:5" ht="13">
      <c r="E973" s="161"/>
    </row>
    <row r="974" spans="5:5" ht="13">
      <c r="E974" s="161"/>
    </row>
    <row r="975" spans="5:5" ht="13">
      <c r="E975" s="161"/>
    </row>
    <row r="976" spans="5:5" ht="13">
      <c r="E976" s="161"/>
    </row>
    <row r="977" spans="5:5" ht="13">
      <c r="E977" s="161"/>
    </row>
    <row r="978" spans="5:5" ht="13">
      <c r="E978" s="161"/>
    </row>
    <row r="979" spans="5:5" ht="13">
      <c r="E979" s="161"/>
    </row>
    <row r="980" spans="5:5" ht="13">
      <c r="E980" s="161"/>
    </row>
    <row r="981" spans="5:5" ht="13">
      <c r="E981" s="161"/>
    </row>
    <row r="982" spans="5:5" ht="13">
      <c r="E982" s="161"/>
    </row>
    <row r="983" spans="5:5" ht="13">
      <c r="E983" s="161"/>
    </row>
    <row r="984" spans="5:5" ht="13">
      <c r="E984" s="161"/>
    </row>
    <row r="985" spans="5:5" ht="13">
      <c r="E985" s="161"/>
    </row>
    <row r="986" spans="5:5" ht="13">
      <c r="E986" s="161"/>
    </row>
    <row r="987" spans="5:5" ht="13">
      <c r="E987" s="161"/>
    </row>
    <row r="988" spans="5:5" ht="13">
      <c r="E988" s="161"/>
    </row>
    <row r="989" spans="5:5" ht="13">
      <c r="E989" s="161"/>
    </row>
    <row r="990" spans="5:5" ht="13">
      <c r="E990" s="161"/>
    </row>
    <row r="991" spans="5:5" ht="13">
      <c r="E991" s="161"/>
    </row>
    <row r="992" spans="5:5" ht="13">
      <c r="E992" s="161"/>
    </row>
    <row r="993" spans="5:5" ht="13">
      <c r="E993" s="161"/>
    </row>
    <row r="994" spans="5:5" ht="13">
      <c r="E994" s="161"/>
    </row>
    <row r="995" spans="5:5" ht="13">
      <c r="E995" s="161"/>
    </row>
    <row r="996" spans="5:5" ht="13">
      <c r="E996" s="161"/>
    </row>
    <row r="997" spans="5:5" ht="13">
      <c r="E997" s="161"/>
    </row>
    <row r="998" spans="5:5" ht="13">
      <c r="E998" s="161"/>
    </row>
    <row r="999" spans="5:5" ht="13">
      <c r="E999" s="161"/>
    </row>
    <row r="1000" spans="5:5" ht="13">
      <c r="E1000" s="161"/>
    </row>
    <row r="1001" spans="5:5" ht="13">
      <c r="E1001" s="161"/>
    </row>
    <row r="1002" spans="5:5" ht="13">
      <c r="E1002" s="161"/>
    </row>
    <row r="1003" spans="5:5" ht="13">
      <c r="E1003" s="161"/>
    </row>
    <row r="1004" spans="5:5" ht="13">
      <c r="E1004" s="161"/>
    </row>
    <row r="1005" spans="5:5" ht="13">
      <c r="E1005" s="161"/>
    </row>
    <row r="1006" spans="5:5" ht="13">
      <c r="E1006" s="161"/>
    </row>
    <row r="1007" spans="5:5" ht="13">
      <c r="E1007" s="161"/>
    </row>
    <row r="1008" spans="5:5" ht="13">
      <c r="E1008" s="161"/>
    </row>
    <row r="1009" spans="5:5" ht="13">
      <c r="E1009" s="161"/>
    </row>
    <row r="1010" spans="5:5" ht="13">
      <c r="E1010" s="161"/>
    </row>
    <row r="1011" spans="5:5" ht="13">
      <c r="E1011" s="161"/>
    </row>
    <row r="1012" spans="5:5" ht="13">
      <c r="E1012" s="161"/>
    </row>
    <row r="1013" spans="5:5" ht="13">
      <c r="E1013" s="161"/>
    </row>
    <row r="1014" spans="5:5" ht="13">
      <c r="E1014" s="161"/>
    </row>
    <row r="1015" spans="5:5" ht="13">
      <c r="E1015" s="161"/>
    </row>
    <row r="1016" spans="5:5" ht="13">
      <c r="E1016" s="161"/>
    </row>
    <row r="1017" spans="5:5" ht="13">
      <c r="E1017" s="161"/>
    </row>
    <row r="1018" spans="5:5" ht="13">
      <c r="E1018" s="161"/>
    </row>
    <row r="1019" spans="5:5" ht="13">
      <c r="E1019" s="161"/>
    </row>
    <row r="1020" spans="5:5" ht="13">
      <c r="E1020" s="161"/>
    </row>
    <row r="1021" spans="5:5" ht="13">
      <c r="E1021" s="161"/>
    </row>
    <row r="1022" spans="5:5" ht="13">
      <c r="E1022" s="161"/>
    </row>
    <row r="1023" spans="5:5" ht="13">
      <c r="E1023" s="161"/>
    </row>
    <row r="1024" spans="5:5" ht="13">
      <c r="E1024" s="161"/>
    </row>
    <row r="1025" spans="5:5" ht="13">
      <c r="E1025" s="161"/>
    </row>
    <row r="1026" spans="5:5" ht="13">
      <c r="E1026" s="161"/>
    </row>
    <row r="1027" spans="5:5" ht="13">
      <c r="E1027" s="161"/>
    </row>
    <row r="1028" spans="5:5" ht="13">
      <c r="E1028" s="161"/>
    </row>
    <row r="1029" spans="5:5" ht="13">
      <c r="E1029" s="161"/>
    </row>
    <row r="1030" spans="5:5" ht="13">
      <c r="E1030" s="161"/>
    </row>
    <row r="1031" spans="5:5" ht="13">
      <c r="E1031" s="161"/>
    </row>
    <row r="1032" spans="5:5" ht="13">
      <c r="E1032" s="161"/>
    </row>
    <row r="1033" spans="5:5" ht="13">
      <c r="E1033" s="161"/>
    </row>
    <row r="1034" spans="5:5" ht="13">
      <c r="E1034" s="161"/>
    </row>
    <row r="1035" spans="5:5" ht="13">
      <c r="E1035" s="161"/>
    </row>
    <row r="1036" spans="5:5" ht="13">
      <c r="E1036" s="161"/>
    </row>
    <row r="1037" spans="5:5" ht="13">
      <c r="E1037" s="161"/>
    </row>
    <row r="1038" spans="5:5" ht="13">
      <c r="E1038" s="161"/>
    </row>
    <row r="1039" spans="5:5" ht="13">
      <c r="E1039" s="161"/>
    </row>
    <row r="1040" spans="5:5" ht="13">
      <c r="E1040" s="161"/>
    </row>
    <row r="1041" spans="5:5" ht="13">
      <c r="E1041" s="161"/>
    </row>
    <row r="1042" spans="5:5" ht="13">
      <c r="E1042" s="161"/>
    </row>
    <row r="1043" spans="5:5" ht="13">
      <c r="E1043" s="161"/>
    </row>
    <row r="1044" spans="5:5" ht="13">
      <c r="E1044" s="161"/>
    </row>
    <row r="1045" spans="5:5" ht="13">
      <c r="E1045" s="161"/>
    </row>
    <row r="1046" spans="5:5" ht="13">
      <c r="E1046" s="161"/>
    </row>
    <row r="1047" spans="5:5" ht="13">
      <c r="E1047" s="161"/>
    </row>
    <row r="1048" spans="5:5" ht="13">
      <c r="E1048" s="161"/>
    </row>
  </sheetData>
  <conditionalFormatting sqref="F1">
    <cfRule type="cellIs" dxfId="82" priority="5" operator="greaterThan">
      <formula>0</formula>
    </cfRule>
  </conditionalFormatting>
  <conditionalFormatting sqref="J1:J2 J4:J12 V11 V13:V14 J14:J66 V17 U27 V28:V61">
    <cfRule type="cellIs" dxfId="81" priority="12" operator="lessThan">
      <formula>0</formula>
    </cfRule>
    <cfRule type="cellIs" dxfId="80" priority="11" operator="lessThan">
      <formula>-7</formula>
    </cfRule>
  </conditionalFormatting>
  <conditionalFormatting sqref="J1:J2">
    <cfRule type="cellIs" dxfId="79" priority="9" operator="greaterThan">
      <formula>20</formula>
    </cfRule>
    <cfRule type="cellIs" dxfId="78" priority="10" operator="greaterThan">
      <formula>0</formula>
    </cfRule>
  </conditionalFormatting>
  <conditionalFormatting sqref="J4:J12 V11 V13:V14 J14:J66 V17 U27 V28:V61 M2 S5:S8">
    <cfRule type="cellIs" dxfId="77" priority="8" operator="greaterThan">
      <formula>0</formula>
    </cfRule>
  </conditionalFormatting>
  <conditionalFormatting sqref="J4:J12 V11 V13:V14 J14:J66 V17 U27 V28:V61">
    <cfRule type="cellIs" dxfId="76" priority="3" operator="greaterThan">
      <formula>20</formula>
    </cfRule>
  </conditionalFormatting>
  <conditionalFormatting sqref="M2">
    <cfRule type="cellIs" dxfId="75" priority="7" operator="lessThan">
      <formula>0</formula>
    </cfRule>
  </conditionalFormatting>
  <conditionalFormatting sqref="N2">
    <cfRule type="cellIs" dxfId="74" priority="4" operator="greaterThan">
      <formula>100</formula>
    </cfRule>
  </conditionalFormatting>
  <conditionalFormatting sqref="S1:S2">
    <cfRule type="cellIs" dxfId="73" priority="13" operator="greaterThan">
      <formula>0</formula>
    </cfRule>
  </conditionalFormatting>
  <conditionalFormatting sqref="T1:T2">
    <cfRule type="cellIs" dxfId="72" priority="6" operator="lessThan">
      <formula>1</formula>
    </cfRule>
    <cfRule type="cellIs" dxfId="71" priority="2" operator="greaterThan">
      <formula>5</formula>
    </cfRule>
    <cfRule type="cellIs" dxfId="70" priority="1" operator="lessThan">
      <formula>-2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N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sheetData>
    <row r="1" spans="1:40" ht="15.75" customHeight="1">
      <c r="A1" s="9" t="s">
        <v>9</v>
      </c>
      <c r="B1" s="9" t="s">
        <v>92</v>
      </c>
      <c r="C1" s="9" t="s">
        <v>93</v>
      </c>
      <c r="D1" s="9" t="s">
        <v>94</v>
      </c>
      <c r="E1" s="9" t="s">
        <v>89</v>
      </c>
      <c r="F1" s="10" t="s">
        <v>95</v>
      </c>
      <c r="G1" s="11" t="s">
        <v>96</v>
      </c>
      <c r="H1" s="11" t="s">
        <v>97</v>
      </c>
      <c r="I1" s="9" t="s">
        <v>98</v>
      </c>
      <c r="J1" s="29" t="s">
        <v>99</v>
      </c>
      <c r="K1" s="10" t="s">
        <v>100</v>
      </c>
      <c r="L1" s="9" t="s">
        <v>101</v>
      </c>
      <c r="M1" s="13" t="s">
        <v>102</v>
      </c>
      <c r="N1" s="9" t="s">
        <v>103</v>
      </c>
      <c r="O1" s="3" t="s">
        <v>104</v>
      </c>
      <c r="P1" s="14">
        <f ca="1">P4/P2</f>
        <v>0.62068965517241381</v>
      </c>
      <c r="Q1" s="160" t="s">
        <v>527</v>
      </c>
      <c r="R1" s="3" t="s">
        <v>614</v>
      </c>
      <c r="S1" s="15"/>
      <c r="T1" s="50" t="s">
        <v>187</v>
      </c>
      <c r="U1" s="9"/>
      <c r="V1" s="3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15.75" customHeight="1">
      <c r="B2" s="17" t="s">
        <v>105</v>
      </c>
      <c r="C2" s="18">
        <v>45268</v>
      </c>
      <c r="D2" s="19">
        <f ca="1">TODAY()</f>
        <v>45396</v>
      </c>
      <c r="E2" s="20"/>
      <c r="F2" s="21" t="s">
        <v>106</v>
      </c>
      <c r="G2" s="21" t="e">
        <f ca="1">_xludf.DAYS(D2,C2)</f>
        <v>#NAME?</v>
      </c>
      <c r="H2" s="22"/>
      <c r="I2" s="23">
        <f ca="1">SUM(F2:F294)</f>
        <v>179590.65999999995</v>
      </c>
      <c r="J2" s="29"/>
      <c r="K2" s="24"/>
      <c r="L2" s="25">
        <f>SUM(K2:K114)</f>
        <v>3886779.99</v>
      </c>
      <c r="M2" s="26">
        <f ca="1">N2/L2</f>
        <v>4.6205512136538486E-2</v>
      </c>
      <c r="N2" s="25">
        <f ca="1">I2+T6</f>
        <v>179590.65999999995</v>
      </c>
      <c r="O2" s="27" t="s">
        <v>107</v>
      </c>
      <c r="P2" s="28">
        <f ca="1">P3+P4</f>
        <v>29</v>
      </c>
      <c r="Q2" s="160" t="s">
        <v>529</v>
      </c>
      <c r="R2" s="3" t="s">
        <v>615</v>
      </c>
      <c r="S2" s="15"/>
      <c r="T2" s="56">
        <f ca="1">SUM(K3:K42)+I2</f>
        <v>4066370.6500000004</v>
      </c>
      <c r="V2" s="3"/>
    </row>
    <row r="3" spans="1:40">
      <c r="A3" s="3" t="s">
        <v>10</v>
      </c>
      <c r="B3" s="31" t="s">
        <v>346</v>
      </c>
      <c r="C3" s="126">
        <v>464.14</v>
      </c>
      <c r="D3" s="126">
        <v>330</v>
      </c>
      <c r="E3" s="20">
        <f ca="1">IFERROR(__xludf.DUMMYFUNCTION("GOOGLEFINANCE(A3,""price"")"),480)</f>
        <v>480</v>
      </c>
      <c r="F3" s="10">
        <f t="shared" ref="F3:F31" ca="1" si="0">(E3-C3)*D3</f>
        <v>5233.8000000000047</v>
      </c>
      <c r="G3" s="31"/>
      <c r="H3" s="126"/>
      <c r="I3" s="126"/>
      <c r="J3" s="12">
        <f t="shared" ref="J3:J31" ca="1" si="1">(E3-C3)*100/C3</f>
        <v>3.4170724350411543</v>
      </c>
      <c r="K3" s="24">
        <f t="shared" ref="K3:K31" si="2">C3*D3</f>
        <v>153166.19999999998</v>
      </c>
      <c r="L3" s="29" t="s">
        <v>108</v>
      </c>
      <c r="M3" s="17"/>
      <c r="O3" s="28" t="s">
        <v>109</v>
      </c>
      <c r="P3" s="28">
        <f ca="1">COUNTIF(F:F, "&lt;0")</f>
        <v>11</v>
      </c>
      <c r="Q3" s="160" t="s">
        <v>532</v>
      </c>
    </row>
    <row r="4" spans="1:40" ht="16">
      <c r="A4" s="31" t="s">
        <v>15</v>
      </c>
      <c r="B4" s="31" t="s">
        <v>616</v>
      </c>
      <c r="C4" s="126">
        <v>1079.96</v>
      </c>
      <c r="D4" s="126">
        <v>200</v>
      </c>
      <c r="E4" s="20">
        <f ca="1">IFERROR(__xludf.DUMMYFUNCTION("GOOGLEFINANCE(A4,""price"")"),1174)</f>
        <v>1174</v>
      </c>
      <c r="F4" s="10">
        <f t="shared" ca="1" si="0"/>
        <v>18807.999999999993</v>
      </c>
      <c r="G4" s="31"/>
      <c r="H4" s="126"/>
      <c r="I4" s="126"/>
      <c r="J4" s="12">
        <f t="shared" ca="1" si="1"/>
        <v>8.7077299159228083</v>
      </c>
      <c r="K4" s="24">
        <f t="shared" si="2"/>
        <v>215992</v>
      </c>
      <c r="L4" s="17"/>
      <c r="M4" s="162">
        <f ca="1">I2/L2</f>
        <v>4.6205512136538486E-2</v>
      </c>
      <c r="O4" s="28" t="s">
        <v>110</v>
      </c>
      <c r="P4" s="28">
        <f ca="1">COUNTIF(F:F, "&gt;0")</f>
        <v>18</v>
      </c>
      <c r="Q4" s="160" t="s">
        <v>533</v>
      </c>
      <c r="R4" s="3" t="s">
        <v>617</v>
      </c>
    </row>
    <row r="5" spans="1:40">
      <c r="A5" s="31" t="s">
        <v>19</v>
      </c>
      <c r="B5" s="31" t="s">
        <v>618</v>
      </c>
      <c r="C5" s="126">
        <v>186.56</v>
      </c>
      <c r="D5" s="126">
        <v>550</v>
      </c>
      <c r="E5" s="20">
        <f ca="1">IFERROR(__xludf.DUMMYFUNCTION("GOOGLEFINANCE(A5,""price"")"),258)</f>
        <v>258</v>
      </c>
      <c r="F5" s="10">
        <f t="shared" ca="1" si="0"/>
        <v>39292</v>
      </c>
      <c r="G5" s="31"/>
      <c r="H5" s="126"/>
      <c r="I5" s="126"/>
      <c r="J5" s="12">
        <f t="shared" ca="1" si="1"/>
        <v>38.293310463121784</v>
      </c>
      <c r="K5" s="24">
        <f t="shared" si="2"/>
        <v>102608</v>
      </c>
      <c r="Q5" s="160" t="s">
        <v>536</v>
      </c>
      <c r="R5" s="3">
        <v>9820069008</v>
      </c>
    </row>
    <row r="6" spans="1:40">
      <c r="A6" s="31" t="s">
        <v>11</v>
      </c>
      <c r="B6" s="31" t="s">
        <v>538</v>
      </c>
      <c r="C6" s="126">
        <v>115.29</v>
      </c>
      <c r="D6" s="126">
        <v>1000</v>
      </c>
      <c r="E6" s="20">
        <f ca="1">IFERROR(__xludf.DUMMYFUNCTION("GOOGLEFINANCE(A6,""price"")"),143.1)</f>
        <v>143.1</v>
      </c>
      <c r="F6" s="10">
        <f t="shared" ca="1" si="0"/>
        <v>27809.999999999989</v>
      </c>
      <c r="G6" s="31"/>
      <c r="H6" s="126"/>
      <c r="I6" s="126"/>
      <c r="J6" s="12">
        <f t="shared" ca="1" si="1"/>
        <v>24.121779859484764</v>
      </c>
      <c r="K6" s="24">
        <f t="shared" si="2"/>
        <v>115290</v>
      </c>
      <c r="Q6" s="39"/>
      <c r="R6" s="39"/>
      <c r="S6" s="15" t="s">
        <v>111</v>
      </c>
      <c r="T6" s="163">
        <f>SUM(T9:T237)</f>
        <v>0</v>
      </c>
    </row>
    <row r="7" spans="1:40">
      <c r="A7" s="3" t="s">
        <v>13</v>
      </c>
      <c r="B7" s="31" t="s">
        <v>619</v>
      </c>
      <c r="C7" s="126">
        <v>72.989999999999995</v>
      </c>
      <c r="D7" s="126">
        <v>2250</v>
      </c>
      <c r="E7" s="20">
        <f ca="1">IFERROR(__xludf.DUMMYFUNCTION("GOOGLEFINANCE(A7,""price"")"),67.95)</f>
        <v>67.95</v>
      </c>
      <c r="F7" s="10">
        <f t="shared" ca="1" si="0"/>
        <v>-11339.999999999982</v>
      </c>
      <c r="J7" s="12">
        <f t="shared" ca="1" si="1"/>
        <v>-6.9050554870530103</v>
      </c>
      <c r="K7" s="24">
        <f t="shared" si="2"/>
        <v>164227.5</v>
      </c>
      <c r="S7" s="15"/>
    </row>
    <row r="8" spans="1:40" ht="16">
      <c r="A8" s="3" t="s">
        <v>16</v>
      </c>
      <c r="B8" s="31" t="s">
        <v>540</v>
      </c>
      <c r="C8" s="126">
        <v>1988</v>
      </c>
      <c r="D8" s="3">
        <v>65</v>
      </c>
      <c r="E8" s="20">
        <f ca="1">IFERROR(__xludf.DUMMYFUNCTION("GOOGLEFINANCE(A8,""price"")"),1715)</f>
        <v>1715</v>
      </c>
      <c r="F8" s="10">
        <f t="shared" ca="1" si="0"/>
        <v>-17745</v>
      </c>
      <c r="G8" s="31"/>
      <c r="H8" s="126"/>
      <c r="I8" s="126"/>
      <c r="J8" s="12">
        <f t="shared" ca="1" si="1"/>
        <v>-13.732394366197184</v>
      </c>
      <c r="K8" s="24">
        <f t="shared" si="2"/>
        <v>129220</v>
      </c>
      <c r="M8" s="36" t="s">
        <v>112</v>
      </c>
      <c r="N8" s="17" t="s">
        <v>113</v>
      </c>
      <c r="O8" s="17" t="s">
        <v>93</v>
      </c>
      <c r="P8" s="17" t="s">
        <v>114</v>
      </c>
      <c r="Q8" s="3" t="s">
        <v>115</v>
      </c>
      <c r="R8" s="3" t="s">
        <v>116</v>
      </c>
      <c r="S8" s="15" t="s">
        <v>117</v>
      </c>
      <c r="T8" s="17" t="s">
        <v>118</v>
      </c>
      <c r="U8" s="17" t="s">
        <v>119</v>
      </c>
      <c r="V8" s="3" t="s">
        <v>100</v>
      </c>
      <c r="W8" s="17" t="s">
        <v>120</v>
      </c>
    </row>
    <row r="9" spans="1:40">
      <c r="A9" s="3" t="s">
        <v>18</v>
      </c>
      <c r="B9" s="31" t="s">
        <v>620</v>
      </c>
      <c r="C9" s="126">
        <v>105.16</v>
      </c>
      <c r="D9" s="126">
        <v>800</v>
      </c>
      <c r="E9" s="20">
        <f ca="1">IFERROR(__xludf.DUMMYFUNCTION("GOOGLEFINANCE(A9,""price"")"),92.5)</f>
        <v>92.5</v>
      </c>
      <c r="F9" s="10">
        <f t="shared" ca="1" si="0"/>
        <v>-10127.999999999996</v>
      </c>
      <c r="G9" s="31"/>
      <c r="H9" s="126" t="s">
        <v>621</v>
      </c>
      <c r="I9" s="126"/>
      <c r="J9" s="12">
        <f t="shared" ca="1" si="1"/>
        <v>-12.038798022061616</v>
      </c>
      <c r="K9" s="24">
        <f t="shared" si="2"/>
        <v>84128</v>
      </c>
    </row>
    <row r="10" spans="1:40">
      <c r="A10" s="3" t="s">
        <v>21</v>
      </c>
      <c r="B10" s="31" t="s">
        <v>300</v>
      </c>
      <c r="C10" s="126">
        <v>6869.97</v>
      </c>
      <c r="D10" s="126">
        <v>22</v>
      </c>
      <c r="E10" s="20">
        <f ca="1">IFERROR(__xludf.DUMMYFUNCTION("GOOGLEFINANCE(A10,""price"")"),7829.95)</f>
        <v>7829.95</v>
      </c>
      <c r="F10" s="10">
        <f t="shared" ca="1" si="0"/>
        <v>21119.55999999999</v>
      </c>
      <c r="G10" s="31"/>
      <c r="H10" s="126"/>
      <c r="I10" s="126"/>
      <c r="J10" s="12">
        <f t="shared" ca="1" si="1"/>
        <v>13.973569025774488</v>
      </c>
      <c r="K10" s="24">
        <f t="shared" si="2"/>
        <v>151139.34</v>
      </c>
      <c r="M10" s="3" t="s">
        <v>622</v>
      </c>
      <c r="N10" s="31" t="s">
        <v>623</v>
      </c>
      <c r="O10" s="126">
        <v>94.43</v>
      </c>
      <c r="P10" s="126">
        <v>800</v>
      </c>
      <c r="Q10" s="20">
        <f ca="1">IFERROR(__xludf.DUMMYFUNCTION("GOOGLEFINANCE(M10,""price"")"),94.4)</f>
        <v>94.4</v>
      </c>
      <c r="R10" s="10">
        <f t="shared" ref="R10:R39" ca="1" si="3">(Q10-O10)*P10</f>
        <v>-24.000000000000909</v>
      </c>
    </row>
    <row r="11" spans="1:40">
      <c r="A11" s="3" t="s">
        <v>30</v>
      </c>
      <c r="B11" s="31" t="s">
        <v>304</v>
      </c>
      <c r="C11" s="3">
        <v>54.6</v>
      </c>
      <c r="D11" s="3">
        <v>2500</v>
      </c>
      <c r="E11" s="20">
        <f ca="1">IFERROR(__xludf.DUMMYFUNCTION("GOOGLEFINANCE(A11,""price"")"),61.92)</f>
        <v>61.92</v>
      </c>
      <c r="F11" s="10">
        <f t="shared" ca="1" si="0"/>
        <v>18300</v>
      </c>
      <c r="G11" s="31"/>
      <c r="H11" s="126"/>
      <c r="I11" s="126"/>
      <c r="J11" s="12">
        <f t="shared" ca="1" si="1"/>
        <v>13.406593406593407</v>
      </c>
      <c r="K11" s="24">
        <f t="shared" si="2"/>
        <v>136500</v>
      </c>
      <c r="M11" s="31" t="s">
        <v>159</v>
      </c>
      <c r="N11" s="31" t="s">
        <v>548</v>
      </c>
      <c r="O11" s="126">
        <v>170.91</v>
      </c>
      <c r="P11" s="126">
        <v>700</v>
      </c>
      <c r="Q11" s="20">
        <f ca="1">IFERROR(__xludf.DUMMYFUNCTION("GOOGLEFINANCE(M11,""price"")"),218.8)</f>
        <v>218.8</v>
      </c>
      <c r="R11" s="10">
        <f t="shared" ca="1" si="3"/>
        <v>33523.000000000007</v>
      </c>
    </row>
    <row r="12" spans="1:40">
      <c r="A12" s="31" t="s">
        <v>42</v>
      </c>
      <c r="B12" s="31" t="s">
        <v>624</v>
      </c>
      <c r="C12" s="126">
        <v>298.13</v>
      </c>
      <c r="D12" s="126">
        <v>825</v>
      </c>
      <c r="E12" s="20">
        <f ca="1">IFERROR(__xludf.DUMMYFUNCTION("GOOGLEFINANCE(A12,""price"")"),307.95)</f>
        <v>307.95</v>
      </c>
      <c r="F12" s="10">
        <f t="shared" ca="1" si="0"/>
        <v>8101.4999999999945</v>
      </c>
      <c r="G12" s="31"/>
      <c r="H12" s="126"/>
      <c r="I12" s="126"/>
      <c r="J12" s="12">
        <f t="shared" ca="1" si="1"/>
        <v>3.2938650924093493</v>
      </c>
      <c r="K12" s="24">
        <f t="shared" si="2"/>
        <v>245957.25</v>
      </c>
      <c r="M12" s="3" t="s">
        <v>163</v>
      </c>
      <c r="N12" s="31" t="s">
        <v>552</v>
      </c>
      <c r="O12" s="126">
        <v>681.04</v>
      </c>
      <c r="P12" s="126">
        <v>250</v>
      </c>
      <c r="Q12" s="20">
        <f ca="1">IFERROR(__xludf.DUMMYFUNCTION("GOOGLEFINANCE(M12,""price"")"),486.5)</f>
        <v>486.5</v>
      </c>
      <c r="R12" s="10">
        <f t="shared" ca="1" si="3"/>
        <v>-48634.999999999993</v>
      </c>
    </row>
    <row r="13" spans="1:40">
      <c r="A13" s="31" t="s">
        <v>26</v>
      </c>
      <c r="B13" s="31" t="s">
        <v>542</v>
      </c>
      <c r="C13" s="126">
        <v>86.72</v>
      </c>
      <c r="D13" s="126">
        <v>1800</v>
      </c>
      <c r="E13" s="20">
        <f ca="1">IFERROR(__xludf.DUMMYFUNCTION("GOOGLEFINANCE(A13,""price"")"),98.4)</f>
        <v>98.4</v>
      </c>
      <c r="F13" s="10">
        <f t="shared" ca="1" si="0"/>
        <v>21024.000000000011</v>
      </c>
      <c r="G13" s="31"/>
      <c r="H13" s="126"/>
      <c r="I13" s="126"/>
      <c r="J13" s="12">
        <f t="shared" ca="1" si="1"/>
        <v>13.468634686346871</v>
      </c>
      <c r="K13" s="24">
        <f t="shared" si="2"/>
        <v>156096</v>
      </c>
      <c r="M13" s="31" t="s">
        <v>158</v>
      </c>
      <c r="N13" s="31" t="s">
        <v>555</v>
      </c>
      <c r="O13" s="126">
        <v>1591.47</v>
      </c>
      <c r="P13" s="126">
        <v>75</v>
      </c>
      <c r="Q13" s="20">
        <f ca="1">IFERROR(__xludf.DUMMYFUNCTION("GOOGLEFINANCE(M13,""price"")"),1546)</f>
        <v>1546</v>
      </c>
      <c r="R13" s="10">
        <f t="shared" ca="1" si="3"/>
        <v>-3410.2500000000018</v>
      </c>
    </row>
    <row r="14" spans="1:40">
      <c r="A14" s="31" t="s">
        <v>43</v>
      </c>
      <c r="B14" s="31" t="s">
        <v>625</v>
      </c>
      <c r="C14" s="126">
        <v>102.11</v>
      </c>
      <c r="D14" s="126">
        <v>1000</v>
      </c>
      <c r="E14" s="20">
        <f ca="1">IFERROR(__xludf.DUMMYFUNCTION("GOOGLEFINANCE(A14,""price"")"),205)</f>
        <v>205</v>
      </c>
      <c r="F14" s="10">
        <f t="shared" ca="1" si="0"/>
        <v>102890</v>
      </c>
      <c r="G14" s="31"/>
      <c r="H14" s="126"/>
      <c r="I14" s="126"/>
      <c r="J14" s="12">
        <f t="shared" ca="1" si="1"/>
        <v>100.76388208794438</v>
      </c>
      <c r="K14" s="24">
        <f t="shared" si="2"/>
        <v>102110</v>
      </c>
      <c r="M14" s="31" t="s">
        <v>160</v>
      </c>
      <c r="N14" s="31" t="s">
        <v>626</v>
      </c>
      <c r="O14" s="126">
        <v>303.91000000000003</v>
      </c>
      <c r="P14" s="126">
        <v>400</v>
      </c>
      <c r="Q14" s="20">
        <f ca="1">IFERROR(__xludf.DUMMYFUNCTION("GOOGLEFINANCE(M14,""price"")"),267)</f>
        <v>267</v>
      </c>
      <c r="R14" s="10">
        <f t="shared" ca="1" si="3"/>
        <v>-14764.000000000011</v>
      </c>
    </row>
    <row r="15" spans="1:40">
      <c r="A15" s="3" t="s">
        <v>31</v>
      </c>
      <c r="B15" s="31" t="s">
        <v>310</v>
      </c>
      <c r="C15" s="126">
        <v>346.64</v>
      </c>
      <c r="D15" s="3">
        <v>10</v>
      </c>
      <c r="E15" s="20">
        <f ca="1">IFERROR(__xludf.DUMMYFUNCTION("GOOGLEFINANCE(A15,""price"")"),385)</f>
        <v>385</v>
      </c>
      <c r="F15" s="10">
        <f t="shared" ca="1" si="0"/>
        <v>383.60000000000014</v>
      </c>
      <c r="G15" s="31"/>
      <c r="H15" s="126"/>
      <c r="I15" s="126"/>
      <c r="J15" s="12">
        <f t="shared" ca="1" si="1"/>
        <v>11.066235864297258</v>
      </c>
      <c r="K15" s="24">
        <f t="shared" si="2"/>
        <v>3466.3999999999996</v>
      </c>
      <c r="M15" s="3" t="s">
        <v>627</v>
      </c>
      <c r="N15" s="31" t="s">
        <v>628</v>
      </c>
      <c r="O15" s="126">
        <v>611.83000000000004</v>
      </c>
      <c r="P15" s="126">
        <v>250</v>
      </c>
      <c r="Q15" s="20">
        <f ca="1">IFERROR(__xludf.DUMMYFUNCTION("GOOGLEFINANCE(M15,""price"")"),545)</f>
        <v>545</v>
      </c>
      <c r="R15" s="10">
        <f t="shared" ca="1" si="3"/>
        <v>-16707.500000000011</v>
      </c>
    </row>
    <row r="16" spans="1:40">
      <c r="A16" s="3" t="s">
        <v>36</v>
      </c>
      <c r="B16" s="31" t="s">
        <v>311</v>
      </c>
      <c r="C16" s="126">
        <v>540.07000000000005</v>
      </c>
      <c r="D16" s="126">
        <v>280</v>
      </c>
      <c r="E16" s="20">
        <f ca="1">IFERROR(__xludf.DUMMYFUNCTION("GOOGLEFINANCE(A16,""price"")"),524.6)</f>
        <v>524.6</v>
      </c>
      <c r="F16" s="10">
        <f t="shared" ca="1" si="0"/>
        <v>-4331.6000000000076</v>
      </c>
      <c r="G16" s="31"/>
      <c r="H16" s="126"/>
      <c r="I16" s="126"/>
      <c r="J16" s="12">
        <f t="shared" ca="1" si="1"/>
        <v>-2.8644434980650706</v>
      </c>
      <c r="K16" s="24">
        <f t="shared" si="2"/>
        <v>151219.6</v>
      </c>
      <c r="M16" s="3" t="s">
        <v>558</v>
      </c>
      <c r="N16" s="31"/>
      <c r="O16" s="126">
        <v>794.38</v>
      </c>
      <c r="P16" s="126">
        <v>100</v>
      </c>
      <c r="Q16" s="20">
        <f ca="1">IFERROR(__xludf.DUMMYFUNCTION("GOOGLEFINANCE(M16,""price"")"),558)</f>
        <v>558</v>
      </c>
      <c r="R16" s="10">
        <f t="shared" ca="1" si="3"/>
        <v>-23638</v>
      </c>
      <c r="V16" s="12">
        <f t="shared" ref="V16:V39" ca="1" si="4">(Q16-O16)*100/O16</f>
        <v>-29.756539691331604</v>
      </c>
      <c r="W16" s="24">
        <f t="shared" ref="W16:W39" si="5">O16*P16</f>
        <v>79438</v>
      </c>
    </row>
    <row r="17" spans="1:23">
      <c r="A17" s="3" t="s">
        <v>22</v>
      </c>
      <c r="B17" s="31" t="s">
        <v>350</v>
      </c>
      <c r="C17" s="126">
        <v>140.94</v>
      </c>
      <c r="D17" s="126">
        <v>1100</v>
      </c>
      <c r="E17" s="20">
        <f ca="1">IFERROR(__xludf.DUMMYFUNCTION("GOOGLEFINANCE(A17,""price"")"),122)</f>
        <v>122</v>
      </c>
      <c r="F17" s="10">
        <f t="shared" ca="1" si="0"/>
        <v>-20833.999999999996</v>
      </c>
      <c r="G17" s="31"/>
      <c r="H17" s="126"/>
      <c r="I17" s="126"/>
      <c r="J17" s="12">
        <f t="shared" ca="1" si="1"/>
        <v>-13.438342557116503</v>
      </c>
      <c r="K17" s="24">
        <f t="shared" si="2"/>
        <v>155034</v>
      </c>
      <c r="M17" s="31" t="s">
        <v>239</v>
      </c>
      <c r="N17" s="31"/>
      <c r="O17" s="126">
        <v>148.03</v>
      </c>
      <c r="P17" s="126">
        <v>510</v>
      </c>
      <c r="Q17" s="20">
        <f ca="1">IFERROR(__xludf.DUMMYFUNCTION("GOOGLEFINANCE(M17,""price"")"),144.55)</f>
        <v>144.55000000000001</v>
      </c>
      <c r="R17" s="10">
        <f t="shared" ca="1" si="3"/>
        <v>-1774.7999999999947</v>
      </c>
      <c r="V17" s="12">
        <f t="shared" ca="1" si="4"/>
        <v>-2.3508748226710732</v>
      </c>
      <c r="W17" s="24">
        <f t="shared" si="5"/>
        <v>75495.3</v>
      </c>
    </row>
    <row r="18" spans="1:23">
      <c r="A18" s="3" t="s">
        <v>53</v>
      </c>
      <c r="B18" s="31" t="s">
        <v>314</v>
      </c>
      <c r="C18" s="3">
        <v>3460</v>
      </c>
      <c r="D18" s="3">
        <v>10</v>
      </c>
      <c r="E18" s="20">
        <f ca="1">IFERROR(__xludf.DUMMYFUNCTION("GOOGLEFINANCE(A18,""price"")"),3989)</f>
        <v>3989</v>
      </c>
      <c r="F18" s="10">
        <f t="shared" ca="1" si="0"/>
        <v>5290</v>
      </c>
      <c r="G18" s="31"/>
      <c r="H18" s="126"/>
      <c r="I18" s="126"/>
      <c r="J18" s="12">
        <f t="shared" ca="1" si="1"/>
        <v>15.289017341040463</v>
      </c>
      <c r="K18" s="24">
        <f t="shared" si="2"/>
        <v>34600</v>
      </c>
      <c r="L18" s="3">
        <v>2845</v>
      </c>
      <c r="M18" s="3" t="s">
        <v>591</v>
      </c>
      <c r="N18" s="31" t="s">
        <v>629</v>
      </c>
      <c r="O18" s="126">
        <v>2856</v>
      </c>
      <c r="P18" s="126">
        <v>1</v>
      </c>
      <c r="Q18" s="20">
        <f ca="1">IFERROR(__xludf.DUMMYFUNCTION("GOOGLEFINANCE(M18,""price"")"),3375)</f>
        <v>3375</v>
      </c>
      <c r="R18" s="10">
        <f t="shared" ca="1" si="3"/>
        <v>519</v>
      </c>
      <c r="S18" s="31"/>
      <c r="T18" s="126" t="s">
        <v>630</v>
      </c>
      <c r="U18" s="126"/>
      <c r="V18" s="12">
        <f t="shared" ca="1" si="4"/>
        <v>18.172268907563026</v>
      </c>
      <c r="W18" s="24">
        <f t="shared" si="5"/>
        <v>2856</v>
      </c>
    </row>
    <row r="19" spans="1:23">
      <c r="A19" s="3" t="s">
        <v>40</v>
      </c>
      <c r="B19" s="31" t="s">
        <v>318</v>
      </c>
      <c r="C19" s="126">
        <v>25.83</v>
      </c>
      <c r="D19" s="126">
        <v>5000</v>
      </c>
      <c r="E19" s="20">
        <f ca="1">IFERROR(__xludf.DUMMYFUNCTION("GOOGLEFINANCE(A19,""price"")"),20.6)</f>
        <v>20.6</v>
      </c>
      <c r="F19" s="10">
        <f t="shared" ca="1" si="0"/>
        <v>-26149.999999999985</v>
      </c>
      <c r="G19" s="31"/>
      <c r="H19" s="126"/>
      <c r="I19" s="126"/>
      <c r="J19" s="12">
        <f t="shared" ca="1" si="1"/>
        <v>-20.247773906310481</v>
      </c>
      <c r="K19" s="24">
        <f t="shared" si="2"/>
        <v>129149.99999999999</v>
      </c>
      <c r="L19" s="3">
        <v>438.6</v>
      </c>
      <c r="M19" s="31" t="s">
        <v>501</v>
      </c>
      <c r="N19" s="31" t="s">
        <v>631</v>
      </c>
      <c r="O19" s="126">
        <v>430.83</v>
      </c>
      <c r="P19" s="126">
        <v>100</v>
      </c>
      <c r="Q19" s="20">
        <f ca="1">IFERROR(__xludf.DUMMYFUNCTION("GOOGLEFINANCE(M19,""price"")"),451.7)</f>
        <v>451.7</v>
      </c>
      <c r="R19" s="10">
        <f t="shared" ca="1" si="3"/>
        <v>2087.0000000000005</v>
      </c>
      <c r="S19" s="31"/>
      <c r="T19" s="126" t="s">
        <v>630</v>
      </c>
      <c r="U19" s="126"/>
      <c r="V19" s="12">
        <f t="shared" ca="1" si="4"/>
        <v>4.8441380590952363</v>
      </c>
      <c r="W19" s="24">
        <f t="shared" si="5"/>
        <v>43083</v>
      </c>
    </row>
    <row r="20" spans="1:23">
      <c r="A20" s="3" t="s">
        <v>63</v>
      </c>
      <c r="B20" s="31" t="s">
        <v>512</v>
      </c>
      <c r="C20" s="126">
        <v>63.34</v>
      </c>
      <c r="D20" s="126">
        <v>2000</v>
      </c>
      <c r="E20" s="20">
        <f ca="1">IFERROR(__xludf.DUMMYFUNCTION("GOOGLEFINANCE(A20,""price"")"),53)</f>
        <v>53</v>
      </c>
      <c r="F20" s="10">
        <f t="shared" ca="1" si="0"/>
        <v>-20680.000000000007</v>
      </c>
      <c r="G20" s="31"/>
      <c r="H20" s="126"/>
      <c r="I20" s="126"/>
      <c r="J20" s="12">
        <f t="shared" ca="1" si="1"/>
        <v>-16.324597410798869</v>
      </c>
      <c r="K20" s="24">
        <f t="shared" si="2"/>
        <v>126680</v>
      </c>
      <c r="L20" s="3">
        <v>1036.25</v>
      </c>
      <c r="M20" s="3" t="s">
        <v>65</v>
      </c>
      <c r="N20" s="31" t="s">
        <v>632</v>
      </c>
      <c r="O20" s="126">
        <v>807.42</v>
      </c>
      <c r="P20" s="126">
        <v>1</v>
      </c>
      <c r="Q20" s="20">
        <f ca="1">IFERROR(__xludf.DUMMYFUNCTION("GOOGLEFINANCE(M20,""price"")"),1342.55)</f>
        <v>1342.55</v>
      </c>
      <c r="R20" s="10">
        <f t="shared" ca="1" si="3"/>
        <v>535.13</v>
      </c>
      <c r="S20" s="31"/>
      <c r="T20" s="126" t="s">
        <v>630</v>
      </c>
      <c r="U20" s="126"/>
      <c r="V20" s="12">
        <f t="shared" ca="1" si="4"/>
        <v>66.276535136607961</v>
      </c>
      <c r="W20" s="24">
        <f t="shared" si="5"/>
        <v>807.42</v>
      </c>
    </row>
    <row r="21" spans="1:23">
      <c r="A21" s="3" t="s">
        <v>25</v>
      </c>
      <c r="B21" s="31" t="s">
        <v>356</v>
      </c>
      <c r="C21" s="126">
        <v>142.09</v>
      </c>
      <c r="D21" s="126">
        <v>1300</v>
      </c>
      <c r="E21" s="20">
        <f ca="1">IFERROR(__xludf.DUMMYFUNCTION("GOOGLEFINANCE(A21,""price"")"),104.85)</f>
        <v>104.85</v>
      </c>
      <c r="F21" s="10">
        <f t="shared" ca="1" si="0"/>
        <v>-48412.000000000015</v>
      </c>
      <c r="J21" s="12">
        <f t="shared" ca="1" si="1"/>
        <v>-26.208740938841586</v>
      </c>
      <c r="K21" s="24">
        <f t="shared" si="2"/>
        <v>184717</v>
      </c>
      <c r="L21" s="3">
        <v>231.1</v>
      </c>
      <c r="M21" s="31" t="s">
        <v>168</v>
      </c>
      <c r="N21" s="31" t="s">
        <v>633</v>
      </c>
      <c r="O21" s="126">
        <v>162.79</v>
      </c>
      <c r="P21" s="126">
        <v>1000</v>
      </c>
      <c r="Q21" s="20">
        <f ca="1">IFERROR(__xludf.DUMMYFUNCTION("GOOGLEFINANCE(M21,""price"")"),226.25)</f>
        <v>226.25</v>
      </c>
      <c r="R21" s="10">
        <f t="shared" ca="1" si="3"/>
        <v>63460.000000000007</v>
      </c>
      <c r="S21" s="31"/>
      <c r="T21" s="126"/>
      <c r="U21" s="126"/>
      <c r="V21" s="12">
        <f t="shared" ca="1" si="4"/>
        <v>38.982738497450711</v>
      </c>
      <c r="W21" s="24">
        <f t="shared" si="5"/>
        <v>162790</v>
      </c>
    </row>
    <row r="22" spans="1:23">
      <c r="A22" s="129" t="s">
        <v>56</v>
      </c>
      <c r="B22" s="31" t="s">
        <v>322</v>
      </c>
      <c r="C22" s="126">
        <v>423.27</v>
      </c>
      <c r="D22" s="126">
        <v>360</v>
      </c>
      <c r="E22" s="20">
        <f ca="1">IFERROR(__xludf.DUMMYFUNCTION("GOOGLEFINANCE(A22,""price"")"),402)</f>
        <v>402</v>
      </c>
      <c r="F22" s="10">
        <f t="shared" ca="1" si="0"/>
        <v>-7657.1999999999935</v>
      </c>
      <c r="G22" s="31"/>
      <c r="H22" s="126"/>
      <c r="I22" s="126"/>
      <c r="J22" s="12">
        <f t="shared" ca="1" si="1"/>
        <v>-5.025161244595644</v>
      </c>
      <c r="K22" s="24">
        <f t="shared" si="2"/>
        <v>152377.19999999998</v>
      </c>
      <c r="L22" s="3">
        <v>1400</v>
      </c>
      <c r="M22" s="31" t="s">
        <v>634</v>
      </c>
      <c r="N22" s="31" t="s">
        <v>635</v>
      </c>
      <c r="O22" s="126">
        <v>1466.98</v>
      </c>
      <c r="P22" s="126">
        <v>60</v>
      </c>
      <c r="Q22" s="20">
        <f ca="1">IFERROR(__xludf.DUMMYFUNCTION("GOOGLEFINANCE(M22,""price"")"),1462.05)</f>
        <v>1462.05</v>
      </c>
      <c r="R22" s="10">
        <f t="shared" ca="1" si="3"/>
        <v>-295.80000000000382</v>
      </c>
      <c r="S22" s="31"/>
      <c r="T22" s="126" t="s">
        <v>636</v>
      </c>
      <c r="U22" s="126" t="s">
        <v>637</v>
      </c>
      <c r="V22" s="12">
        <f t="shared" ca="1" si="4"/>
        <v>-0.33606456802410828</v>
      </c>
      <c r="W22" s="24">
        <f t="shared" si="5"/>
        <v>88018.8</v>
      </c>
    </row>
    <row r="23" spans="1:23">
      <c r="A23" s="31" t="s">
        <v>59</v>
      </c>
      <c r="B23" s="31" t="s">
        <v>638</v>
      </c>
      <c r="C23" s="126">
        <v>1413.23</v>
      </c>
      <c r="D23" s="126">
        <v>100</v>
      </c>
      <c r="E23" s="20">
        <f ca="1">IFERROR(__xludf.DUMMYFUNCTION("GOOGLEFINANCE(A23,""price"")"),1636.55)</f>
        <v>1636.55</v>
      </c>
      <c r="F23" s="10">
        <f t="shared" ca="1" si="0"/>
        <v>22331.999999999993</v>
      </c>
      <c r="G23" s="31"/>
      <c r="H23" s="126" t="s">
        <v>637</v>
      </c>
      <c r="I23" s="126"/>
      <c r="J23" s="12">
        <f t="shared" ca="1" si="1"/>
        <v>15.802098738351148</v>
      </c>
      <c r="K23" s="24">
        <f t="shared" si="2"/>
        <v>141323</v>
      </c>
      <c r="L23" s="3">
        <v>329.5</v>
      </c>
      <c r="M23" s="31" t="s">
        <v>237</v>
      </c>
      <c r="N23" s="31" t="s">
        <v>639</v>
      </c>
      <c r="O23" s="126">
        <v>297.89</v>
      </c>
      <c r="P23" s="126">
        <v>500</v>
      </c>
      <c r="Q23" s="20">
        <f ca="1">IFERROR(__xludf.DUMMYFUNCTION("GOOGLEFINANCE(M23,""price"")"),318)</f>
        <v>318</v>
      </c>
      <c r="R23" s="10">
        <f t="shared" ca="1" si="3"/>
        <v>10055.000000000007</v>
      </c>
      <c r="V23" s="12">
        <f t="shared" ca="1" si="4"/>
        <v>6.7508140588807999</v>
      </c>
      <c r="W23" s="24">
        <f t="shared" si="5"/>
        <v>148945</v>
      </c>
    </row>
    <row r="24" spans="1:23">
      <c r="A24" s="3" t="s">
        <v>66</v>
      </c>
      <c r="C24" s="3">
        <v>7870</v>
      </c>
      <c r="D24" s="3">
        <v>15</v>
      </c>
      <c r="E24" s="20">
        <f ca="1">IFERROR(__xludf.DUMMYFUNCTION("GOOGLEFINANCE(A24,""price"")"),8540)</f>
        <v>8540</v>
      </c>
      <c r="F24" s="10">
        <f t="shared" ca="1" si="0"/>
        <v>10050</v>
      </c>
      <c r="G24" s="31"/>
      <c r="H24" s="126"/>
      <c r="I24" s="126"/>
      <c r="J24" s="12">
        <f t="shared" ca="1" si="1"/>
        <v>8.5133418043202038</v>
      </c>
      <c r="K24" s="24">
        <f t="shared" si="2"/>
        <v>118050</v>
      </c>
      <c r="L24" s="3">
        <v>146.85</v>
      </c>
      <c r="M24" s="3" t="s">
        <v>201</v>
      </c>
      <c r="N24" s="31" t="s">
        <v>595</v>
      </c>
      <c r="O24" s="126">
        <v>149.15</v>
      </c>
      <c r="P24" s="126">
        <v>100</v>
      </c>
      <c r="Q24" s="20">
        <f ca="1">IFERROR(__xludf.DUMMYFUNCTION("GOOGLEFINANCE(M24,""price"")"),128.65)</f>
        <v>128.65</v>
      </c>
      <c r="R24" s="10">
        <f t="shared" ca="1" si="3"/>
        <v>-2050</v>
      </c>
      <c r="T24" s="3" t="s">
        <v>630</v>
      </c>
      <c r="V24" s="12">
        <f t="shared" ca="1" si="4"/>
        <v>-13.744552463962453</v>
      </c>
      <c r="W24" s="24">
        <f t="shared" si="5"/>
        <v>14915</v>
      </c>
    </row>
    <row r="25" spans="1:23">
      <c r="A25" s="31" t="s">
        <v>68</v>
      </c>
      <c r="B25" s="31" t="s">
        <v>382</v>
      </c>
      <c r="C25" s="126">
        <v>34.04</v>
      </c>
      <c r="D25" s="126">
        <v>5000</v>
      </c>
      <c r="E25" s="20">
        <f ca="1">IFERROR(__xludf.DUMMYFUNCTION("GOOGLEFINANCE(A25,""price"")"),30.2)</f>
        <v>30.2</v>
      </c>
      <c r="F25" s="10">
        <f t="shared" ca="1" si="0"/>
        <v>-19200</v>
      </c>
      <c r="G25" s="31"/>
      <c r="H25" s="126"/>
      <c r="I25" s="126"/>
      <c r="J25" s="12">
        <f t="shared" ca="1" si="1"/>
        <v>-11.28084606345476</v>
      </c>
      <c r="K25" s="24">
        <f t="shared" si="2"/>
        <v>170200</v>
      </c>
      <c r="L25" s="3">
        <v>99.55</v>
      </c>
      <c r="M25" s="31" t="s">
        <v>577</v>
      </c>
      <c r="N25" s="31" t="s">
        <v>640</v>
      </c>
      <c r="O25" s="126">
        <v>112.71</v>
      </c>
      <c r="P25" s="126">
        <v>1300</v>
      </c>
      <c r="Q25" s="20">
        <f ca="1">IFERROR(__xludf.DUMMYFUNCTION("GOOGLEFINANCE(M25,""price"")"),104.35)</f>
        <v>104.35</v>
      </c>
      <c r="R25" s="10">
        <f t="shared" ca="1" si="3"/>
        <v>-10868</v>
      </c>
      <c r="S25" s="31"/>
      <c r="T25" s="126"/>
      <c r="U25" s="126"/>
      <c r="V25" s="12">
        <f t="shared" ca="1" si="4"/>
        <v>-7.4172655487534387</v>
      </c>
      <c r="W25" s="24">
        <f t="shared" si="5"/>
        <v>146523</v>
      </c>
    </row>
    <row r="26" spans="1:23">
      <c r="A26" s="31" t="s">
        <v>71</v>
      </c>
      <c r="B26" s="31" t="s">
        <v>641</v>
      </c>
      <c r="C26" s="126">
        <v>180.54</v>
      </c>
      <c r="D26" s="126">
        <v>650</v>
      </c>
      <c r="E26" s="20">
        <f ca="1">IFERROR(__xludf.DUMMYFUNCTION("GOOGLEFINANCE(A26,""price"")"),228.25)</f>
        <v>228.25</v>
      </c>
      <c r="F26" s="10">
        <f t="shared" ca="1" si="0"/>
        <v>31011.500000000004</v>
      </c>
      <c r="G26" s="31"/>
      <c r="H26" s="126"/>
      <c r="I26" s="126"/>
      <c r="J26" s="12">
        <f t="shared" ca="1" si="1"/>
        <v>26.426276725379424</v>
      </c>
      <c r="K26" s="24">
        <f t="shared" si="2"/>
        <v>117351</v>
      </c>
      <c r="M26" s="31" t="s">
        <v>17</v>
      </c>
      <c r="N26" s="31" t="s">
        <v>642</v>
      </c>
      <c r="O26" s="126">
        <v>259.54000000000002</v>
      </c>
      <c r="P26" s="126">
        <v>200</v>
      </c>
      <c r="Q26" s="20">
        <f ca="1">IFERROR(__xludf.DUMMYFUNCTION("GOOGLEFINANCE(M26,""price"")"),364)</f>
        <v>364</v>
      </c>
      <c r="R26" s="10">
        <f t="shared" ca="1" si="3"/>
        <v>20891.999999999996</v>
      </c>
      <c r="S26" s="31"/>
      <c r="T26" s="126"/>
      <c r="U26" s="126"/>
      <c r="V26" s="12">
        <f t="shared" ca="1" si="4"/>
        <v>40.248131309239412</v>
      </c>
      <c r="W26" s="24">
        <f t="shared" si="5"/>
        <v>51908.000000000007</v>
      </c>
    </row>
    <row r="27" spans="1:23">
      <c r="A27" s="3" t="s">
        <v>54</v>
      </c>
      <c r="B27" s="31" t="s">
        <v>339</v>
      </c>
      <c r="C27" s="126">
        <v>2340</v>
      </c>
      <c r="D27" s="3">
        <v>50</v>
      </c>
      <c r="E27" s="20">
        <f ca="1">IFERROR(__xludf.DUMMYFUNCTION("GOOGLEFINANCE(A27,""price"")"),2410)</f>
        <v>2410</v>
      </c>
      <c r="F27" s="10">
        <f t="shared" ca="1" si="0"/>
        <v>3500</v>
      </c>
      <c r="G27" s="31"/>
      <c r="H27" s="126"/>
      <c r="I27" s="126"/>
      <c r="J27" s="12">
        <f t="shared" ca="1" si="1"/>
        <v>2.9914529914529915</v>
      </c>
      <c r="K27" s="24">
        <f t="shared" si="2"/>
        <v>117000</v>
      </c>
      <c r="M27" s="31" t="s">
        <v>180</v>
      </c>
      <c r="N27" s="31" t="s">
        <v>643</v>
      </c>
      <c r="O27" s="126">
        <v>273.14</v>
      </c>
      <c r="P27" s="126">
        <v>450</v>
      </c>
      <c r="Q27" s="20">
        <f ca="1">IFERROR(__xludf.DUMMYFUNCTION("GOOGLEFINANCE(M27,""price"")"),370.05)</f>
        <v>370.05</v>
      </c>
      <c r="R27" s="10">
        <f t="shared" ca="1" si="3"/>
        <v>43609.500000000015</v>
      </c>
      <c r="S27" s="31"/>
      <c r="T27" s="126"/>
      <c r="U27" s="126"/>
      <c r="V27" s="12">
        <f t="shared" ca="1" si="4"/>
        <v>35.479973639891639</v>
      </c>
      <c r="W27" s="24">
        <f t="shared" si="5"/>
        <v>122913</v>
      </c>
    </row>
    <row r="28" spans="1:23">
      <c r="A28" s="3" t="s">
        <v>73</v>
      </c>
      <c r="C28" s="3">
        <v>4220</v>
      </c>
      <c r="D28" s="3">
        <v>25</v>
      </c>
      <c r="E28" s="20">
        <f ca="1">IFERROR(__xludf.DUMMYFUNCTION("GOOGLEFINANCE(A28,""price"")"),4003.8)</f>
        <v>4003.8</v>
      </c>
      <c r="F28" s="10">
        <f t="shared" ca="1" si="0"/>
        <v>-5404.9999999999955</v>
      </c>
      <c r="G28" s="31"/>
      <c r="H28" s="126"/>
      <c r="I28" s="126"/>
      <c r="J28" s="12">
        <f t="shared" ca="1" si="1"/>
        <v>-5.1232227488151612</v>
      </c>
      <c r="K28" s="24">
        <f t="shared" si="2"/>
        <v>105500</v>
      </c>
      <c r="M28" s="31" t="s">
        <v>178</v>
      </c>
      <c r="N28" s="31" t="s">
        <v>644</v>
      </c>
      <c r="O28" s="126">
        <v>62.32</v>
      </c>
      <c r="P28" s="126">
        <v>3500</v>
      </c>
      <c r="Q28" s="20">
        <f ca="1">IFERROR(__xludf.DUMMYFUNCTION("GOOGLEFINANCE(M28,""price"")"),61.15)</f>
        <v>61.15</v>
      </c>
      <c r="R28" s="10">
        <f t="shared" ca="1" si="3"/>
        <v>-4095.0000000000059</v>
      </c>
      <c r="S28" s="31"/>
      <c r="T28" s="126"/>
      <c r="U28" s="126"/>
      <c r="V28" s="12">
        <f t="shared" ca="1" si="4"/>
        <v>-1.8774069319640592</v>
      </c>
      <c r="W28" s="24">
        <f t="shared" si="5"/>
        <v>218120</v>
      </c>
    </row>
    <row r="29" spans="1:23">
      <c r="A29" s="31" t="s">
        <v>77</v>
      </c>
      <c r="B29" s="31" t="s">
        <v>645</v>
      </c>
      <c r="C29" s="126">
        <v>165.15</v>
      </c>
      <c r="D29" s="126">
        <v>1250</v>
      </c>
      <c r="E29" s="20">
        <f ca="1">IFERROR(__xludf.DUMMYFUNCTION("GOOGLEFINANCE(A29,""price"")"),170.2)</f>
        <v>170.2</v>
      </c>
      <c r="F29" s="10">
        <f t="shared" ca="1" si="0"/>
        <v>6312.4999999999791</v>
      </c>
      <c r="G29" s="31"/>
      <c r="H29" s="126"/>
      <c r="I29" s="126"/>
      <c r="J29" s="12">
        <f t="shared" ca="1" si="1"/>
        <v>3.0578262185891512</v>
      </c>
      <c r="K29" s="24">
        <f t="shared" si="2"/>
        <v>206437.5</v>
      </c>
      <c r="M29" s="31" t="s">
        <v>646</v>
      </c>
      <c r="N29" s="31" t="s">
        <v>647</v>
      </c>
      <c r="O29" s="126">
        <v>1564.68</v>
      </c>
      <c r="P29" s="126">
        <v>60</v>
      </c>
      <c r="Q29" s="20">
        <f ca="1">IFERROR(__xludf.DUMMYFUNCTION("GOOGLEFINANCE(M29,""price"")"),1555)</f>
        <v>1555</v>
      </c>
      <c r="R29" s="10">
        <f t="shared" ca="1" si="3"/>
        <v>-580.80000000000382</v>
      </c>
      <c r="S29" s="31"/>
      <c r="T29" s="126"/>
      <c r="U29" s="126"/>
      <c r="V29" s="12">
        <f t="shared" ca="1" si="4"/>
        <v>-0.6186568499629358</v>
      </c>
      <c r="W29" s="24">
        <f t="shared" si="5"/>
        <v>93880.8</v>
      </c>
    </row>
    <row r="30" spans="1:23">
      <c r="A30" s="3" t="s">
        <v>79</v>
      </c>
      <c r="B30" s="31" t="s">
        <v>648</v>
      </c>
      <c r="C30" s="126">
        <v>394.03</v>
      </c>
      <c r="D30" s="126">
        <v>400</v>
      </c>
      <c r="E30" s="20">
        <f ca="1">IFERROR(__xludf.DUMMYFUNCTION("GOOGLEFINANCE(A30,""price"")"),465)</f>
        <v>465</v>
      </c>
      <c r="F30" s="10">
        <f t="shared" ca="1" si="0"/>
        <v>28388.000000000011</v>
      </c>
      <c r="G30" s="31"/>
      <c r="H30" s="126"/>
      <c r="I30" s="126"/>
      <c r="J30" s="12">
        <f t="shared" ca="1" si="1"/>
        <v>18.011318935106473</v>
      </c>
      <c r="K30" s="24">
        <f t="shared" si="2"/>
        <v>157612</v>
      </c>
      <c r="M30" s="31" t="s">
        <v>172</v>
      </c>
      <c r="N30" s="31" t="s">
        <v>649</v>
      </c>
      <c r="O30" s="126">
        <v>206.67</v>
      </c>
      <c r="P30" s="126">
        <v>700</v>
      </c>
      <c r="Q30" s="20">
        <f ca="1">IFERROR(__xludf.DUMMYFUNCTION("GOOGLEFINANCE(M30,""price"")"),199.25)</f>
        <v>199.25</v>
      </c>
      <c r="R30" s="10">
        <f t="shared" ca="1" si="3"/>
        <v>-5193.9999999999909</v>
      </c>
      <c r="V30" s="12">
        <f t="shared" ca="1" si="4"/>
        <v>-3.5902646731504273</v>
      </c>
      <c r="W30" s="24">
        <f t="shared" si="5"/>
        <v>144669</v>
      </c>
    </row>
    <row r="31" spans="1:23">
      <c r="A31" s="3" t="s">
        <v>58</v>
      </c>
      <c r="B31" s="31" t="s">
        <v>650</v>
      </c>
      <c r="C31" s="126">
        <v>596.28</v>
      </c>
      <c r="D31" s="126">
        <v>100</v>
      </c>
      <c r="E31" s="20">
        <f ca="1">IFERROR(__xludf.DUMMYFUNCTION("GOOGLEFINANCE(A31,""price"")"),612.55)</f>
        <v>612.54999999999995</v>
      </c>
      <c r="F31" s="10">
        <f t="shared" ca="1" si="0"/>
        <v>1626.9999999999982</v>
      </c>
      <c r="G31" s="31"/>
      <c r="H31" s="126"/>
      <c r="I31" s="126"/>
      <c r="J31" s="12">
        <f t="shared" ca="1" si="1"/>
        <v>2.7285838867646044</v>
      </c>
      <c r="K31" s="24">
        <f t="shared" si="2"/>
        <v>59628</v>
      </c>
      <c r="M31" s="31" t="s">
        <v>651</v>
      </c>
      <c r="N31" s="31" t="s">
        <v>652</v>
      </c>
      <c r="O31" s="126">
        <v>292.83</v>
      </c>
      <c r="P31" s="126">
        <v>200</v>
      </c>
      <c r="Q31" s="20">
        <f ca="1">IFERROR(__xludf.DUMMYFUNCTION("GOOGLEFINANCE(M31,""price"")"),319)</f>
        <v>319</v>
      </c>
      <c r="R31" s="10">
        <f t="shared" ca="1" si="3"/>
        <v>5234.0000000000036</v>
      </c>
      <c r="S31" s="31"/>
      <c r="T31" s="126"/>
      <c r="U31" s="126"/>
      <c r="V31" s="12">
        <f t="shared" ca="1" si="4"/>
        <v>8.9369258614213098</v>
      </c>
      <c r="W31" s="24">
        <f t="shared" si="5"/>
        <v>58566</v>
      </c>
    </row>
    <row r="32" spans="1:23">
      <c r="L32" s="3">
        <v>250</v>
      </c>
      <c r="M32" s="31" t="s">
        <v>29</v>
      </c>
      <c r="N32" s="31" t="s">
        <v>653</v>
      </c>
      <c r="O32" s="126">
        <v>268.39999999999998</v>
      </c>
      <c r="P32" s="126">
        <v>650</v>
      </c>
      <c r="Q32" s="20">
        <f ca="1">IFERROR(__xludf.DUMMYFUNCTION("GOOGLEFINANCE(M32,""price"")"),296.25)</f>
        <v>296.25</v>
      </c>
      <c r="R32" s="10">
        <f t="shared" ca="1" si="3"/>
        <v>18102.500000000015</v>
      </c>
      <c r="S32" s="31"/>
      <c r="T32" s="126"/>
      <c r="U32" s="126"/>
      <c r="V32" s="12">
        <f t="shared" ca="1" si="4"/>
        <v>10.376304023845016</v>
      </c>
      <c r="W32" s="24">
        <f t="shared" si="5"/>
        <v>174459.99999999997</v>
      </c>
    </row>
    <row r="33" spans="12:23">
      <c r="L33" s="3">
        <v>239.5</v>
      </c>
      <c r="M33" s="3" t="s">
        <v>200</v>
      </c>
      <c r="N33" s="31" t="s">
        <v>513</v>
      </c>
      <c r="O33" s="126">
        <v>297.64</v>
      </c>
      <c r="P33" s="126">
        <v>450</v>
      </c>
      <c r="Q33" s="20">
        <f ca="1">IFERROR(__xludf.DUMMYFUNCTION("GOOGLEFINANCE(M33,""price"")"),265)</f>
        <v>265</v>
      </c>
      <c r="R33" s="10">
        <f t="shared" ca="1" si="3"/>
        <v>-14687.999999999995</v>
      </c>
      <c r="S33" s="31"/>
      <c r="T33" s="126"/>
      <c r="U33" s="126"/>
      <c r="V33" s="12">
        <f t="shared" ca="1" si="4"/>
        <v>-10.966267974734574</v>
      </c>
      <c r="W33" s="24">
        <f t="shared" si="5"/>
        <v>133938</v>
      </c>
    </row>
    <row r="34" spans="12:23">
      <c r="L34" s="3">
        <v>1030</v>
      </c>
      <c r="M34" s="3" t="s">
        <v>202</v>
      </c>
      <c r="N34" s="31" t="s">
        <v>588</v>
      </c>
      <c r="O34" s="31">
        <v>1082</v>
      </c>
      <c r="P34" s="3">
        <v>100</v>
      </c>
      <c r="Q34" s="20">
        <f ca="1">IFERROR(__xludf.DUMMYFUNCTION("GOOGLEFINANCE(M34,""price"")"),1136.5)</f>
        <v>1136.5</v>
      </c>
      <c r="R34" s="10">
        <f t="shared" ca="1" si="3"/>
        <v>5450</v>
      </c>
      <c r="S34" s="31"/>
      <c r="T34" s="126"/>
      <c r="U34" s="126"/>
      <c r="V34" s="12">
        <f t="shared" ca="1" si="4"/>
        <v>5.0369685767097963</v>
      </c>
      <c r="W34" s="24">
        <f t="shared" si="5"/>
        <v>108200</v>
      </c>
    </row>
    <row r="35" spans="12:23">
      <c r="L35" s="3">
        <v>410</v>
      </c>
      <c r="M35" s="3" t="s">
        <v>241</v>
      </c>
      <c r="N35" s="31" t="s">
        <v>654</v>
      </c>
      <c r="O35" s="126">
        <v>295.68</v>
      </c>
      <c r="P35" s="126">
        <v>400</v>
      </c>
      <c r="Q35" s="20">
        <f ca="1">IFERROR(__xludf.DUMMYFUNCTION("GOOGLEFINANCE(M35,""price"")"),399.8)</f>
        <v>399.8</v>
      </c>
      <c r="R35" s="10">
        <f t="shared" ca="1" si="3"/>
        <v>41648</v>
      </c>
      <c r="V35" s="12">
        <f t="shared" ca="1" si="4"/>
        <v>35.213744588744589</v>
      </c>
      <c r="W35" s="24">
        <f t="shared" si="5"/>
        <v>118272</v>
      </c>
    </row>
    <row r="36" spans="12:23">
      <c r="M36" s="31" t="s">
        <v>520</v>
      </c>
      <c r="N36" s="31" t="s">
        <v>521</v>
      </c>
      <c r="O36" s="126">
        <v>35.31</v>
      </c>
      <c r="P36" s="126">
        <v>3000</v>
      </c>
      <c r="Q36" s="20">
        <f ca="1">IFERROR(__xludf.DUMMYFUNCTION("GOOGLEFINANCE(M36,""price"")"),32.7)</f>
        <v>32.700000000000003</v>
      </c>
      <c r="R36" s="10">
        <f t="shared" ca="1" si="3"/>
        <v>-7829.9999999999982</v>
      </c>
      <c r="S36" s="31"/>
      <c r="T36" s="126"/>
      <c r="U36" s="126"/>
      <c r="V36" s="12">
        <f t="shared" ca="1" si="4"/>
        <v>-7.3916737468139315</v>
      </c>
      <c r="W36" s="24">
        <f t="shared" si="5"/>
        <v>105930</v>
      </c>
    </row>
    <row r="37" spans="12:23">
      <c r="M37" s="3" t="s">
        <v>185</v>
      </c>
      <c r="N37" s="31" t="s">
        <v>655</v>
      </c>
      <c r="O37" s="126">
        <v>71.209999999999994</v>
      </c>
      <c r="P37" s="126">
        <v>2000</v>
      </c>
      <c r="Q37" s="20">
        <f ca="1">IFERROR(__xludf.DUMMYFUNCTION("GOOGLEFINANCE(M37,""price"")"),84.85)</f>
        <v>84.85</v>
      </c>
      <c r="R37" s="10">
        <f t="shared" ca="1" si="3"/>
        <v>27280</v>
      </c>
      <c r="V37" s="12">
        <f t="shared" ca="1" si="4"/>
        <v>19.154613116135376</v>
      </c>
      <c r="W37" s="24">
        <f t="shared" si="5"/>
        <v>142420</v>
      </c>
    </row>
    <row r="38" spans="12:23">
      <c r="M38" s="31" t="s">
        <v>596</v>
      </c>
      <c r="N38" s="31" t="s">
        <v>656</v>
      </c>
      <c r="O38" s="126">
        <v>170.51</v>
      </c>
      <c r="P38" s="126">
        <v>1000</v>
      </c>
      <c r="Q38" s="20">
        <f ca="1">IFERROR(__xludf.DUMMYFUNCTION("GOOGLEFINANCE(M38,""price"")"),220.45)</f>
        <v>220.45</v>
      </c>
      <c r="R38" s="10">
        <f t="shared" ca="1" si="3"/>
        <v>49940</v>
      </c>
      <c r="S38" s="31"/>
      <c r="T38" s="126"/>
      <c r="U38" s="126"/>
      <c r="V38" s="12">
        <f t="shared" ca="1" si="4"/>
        <v>29.288604773913555</v>
      </c>
      <c r="W38" s="24">
        <f t="shared" si="5"/>
        <v>170510</v>
      </c>
    </row>
    <row r="39" spans="12:23">
      <c r="L39" s="3">
        <v>841</v>
      </c>
      <c r="M39" s="31" t="s">
        <v>657</v>
      </c>
      <c r="N39" s="31" t="s">
        <v>658</v>
      </c>
      <c r="O39" s="126">
        <v>528.58000000000004</v>
      </c>
      <c r="P39" s="126">
        <v>225</v>
      </c>
      <c r="Q39" s="20">
        <f ca="1">IFERROR(__xludf.DUMMYFUNCTION("GOOGLEFINANCE(M39,""price"")"),893.75)</f>
        <v>893.75</v>
      </c>
      <c r="R39" s="10">
        <f t="shared" ca="1" si="3"/>
        <v>82163.249999999985</v>
      </c>
      <c r="S39" s="31"/>
      <c r="T39" s="126"/>
      <c r="U39" s="126"/>
      <c r="V39" s="12">
        <f t="shared" ca="1" si="4"/>
        <v>69.085095917363489</v>
      </c>
      <c r="W39" s="24">
        <f t="shared" si="5"/>
        <v>118930.50000000001</v>
      </c>
    </row>
  </sheetData>
  <conditionalFormatting sqref="F1">
    <cfRule type="cellIs" dxfId="69" priority="5" operator="greaterThan">
      <formula>0</formula>
    </cfRule>
  </conditionalFormatting>
  <conditionalFormatting sqref="J1:J2">
    <cfRule type="cellIs" dxfId="68" priority="9" operator="greaterThan">
      <formula>20</formula>
    </cfRule>
    <cfRule type="cellIs" dxfId="67" priority="10" operator="greaterThan">
      <formula>0</formula>
    </cfRule>
  </conditionalFormatting>
  <conditionalFormatting sqref="J1:J4 J6:J10 J12:J42 V16:V39">
    <cfRule type="cellIs" dxfId="66" priority="11" operator="lessThan">
      <formula>-7</formula>
    </cfRule>
    <cfRule type="cellIs" dxfId="65" priority="12" operator="lessThan">
      <formula>0</formula>
    </cfRule>
  </conditionalFormatting>
  <conditionalFormatting sqref="J3:J4 J6:J10 J12:J42 V16:V39 M2 S5:S8">
    <cfRule type="cellIs" dxfId="64" priority="8" operator="greaterThan">
      <formula>0</formula>
    </cfRule>
  </conditionalFormatting>
  <conditionalFormatting sqref="J3:J4 J6:J10 J12:J42 V16:V39">
    <cfRule type="cellIs" dxfId="63" priority="3" operator="greaterThan">
      <formula>20</formula>
    </cfRule>
  </conditionalFormatting>
  <conditionalFormatting sqref="M2">
    <cfRule type="cellIs" dxfId="62" priority="7" operator="lessThan">
      <formula>0</formula>
    </cfRule>
  </conditionalFormatting>
  <conditionalFormatting sqref="N2">
    <cfRule type="cellIs" dxfId="61" priority="4" operator="greaterThan">
      <formula>100</formula>
    </cfRule>
  </conditionalFormatting>
  <conditionalFormatting sqref="S1:S2">
    <cfRule type="cellIs" dxfId="60" priority="13" operator="greaterThan">
      <formula>0</formula>
    </cfRule>
  </conditionalFormatting>
  <conditionalFormatting sqref="T1:T2">
    <cfRule type="cellIs" dxfId="59" priority="6" operator="lessThan">
      <formula>1</formula>
    </cfRule>
    <cfRule type="cellIs" dxfId="58" priority="2" operator="greaterThan">
      <formula>5</formula>
    </cfRule>
    <cfRule type="cellIs" dxfId="57" priority="1" operator="lessThan">
      <formula>-2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CLIENT SECTOR ALLOC</vt:lpstr>
      <vt:lpstr>Hold_flagmap</vt:lpstr>
      <vt:lpstr>Vikaas</vt:lpstr>
      <vt:lpstr>NikhilZ1</vt:lpstr>
      <vt:lpstr>kredent-new</vt:lpstr>
      <vt:lpstr>Rohit</vt:lpstr>
      <vt:lpstr>Rajesh sir</vt:lpstr>
      <vt:lpstr>sheela maam</vt:lpstr>
      <vt:lpstr>Tanvi Gupta</vt:lpstr>
      <vt:lpstr>Arushi Gupta</vt:lpstr>
      <vt:lpstr>Taarini</vt:lpstr>
      <vt:lpstr>akhilesh</vt:lpstr>
      <vt:lpstr>MTM TRACKER</vt:lpstr>
      <vt:lpstr>fno testing</vt:lpstr>
      <vt:lpstr>rough_check</vt:lpstr>
      <vt:lpstr>khaitan_fund</vt:lpstr>
      <vt:lpstr>all stocks &gt; 500 cr</vt:lpstr>
      <vt:lpstr>trail 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Akash7 Gupta</cp:lastModifiedBy>
  <dcterms:modified xsi:type="dcterms:W3CDTF">2024-04-14T11:56:39Z</dcterms:modified>
</cp:coreProperties>
</file>