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614f1ae874751d/Documents/MAKALELERİM/M-PToPI (CoSRev)/"/>
    </mc:Choice>
  </mc:AlternateContent>
  <xr:revisionPtr revIDLastSave="27" documentId="13_ncr:1_{4B3E2F5C-143F-6E41-BCA3-727BF86E4F59}" xr6:coauthVersionLast="47" xr6:coauthVersionMax="47" xr10:uidLastSave="{BD9D7DB1-46A2-034D-8917-9C591D41FAFC}"/>
  <bookViews>
    <workbookView xWindow="0" yWindow="460" windowWidth="28800" windowHeight="15460" xr2:uid="{00000000-000D-0000-FFFF-FFFF00000000}"/>
  </bookViews>
  <sheets>
    <sheet name="1.PToPI plain" sheetId="3" r:id="rId1"/>
    <sheet name="2.PToPI full" sheetId="12" r:id="rId2"/>
    <sheet name="3.1.instrument list" sheetId="7" r:id="rId3"/>
    <sheet name="3.2.error instruments" sheetId="19" r:id="rId4"/>
    <sheet name="4.1.BenchMetrics Prob" sheetId="20" r:id="rId5"/>
    <sheet name="4.2.simulations" sheetId="21" r:id="rId6"/>
    <sheet name="Sheet1" sheetId="23" state="hidden" r:id="rId7"/>
    <sheet name="0.1.PToPI geometry groups" sheetId="17" r:id="rId8"/>
    <sheet name="0.2.PToPI geometry levels (BW)" sheetId="18" r:id="rId9"/>
    <sheet name="0.3.PToPI geometry levels" sheetId="15" r:id="rId10"/>
    <sheet name="0.4.PToPI (names only)" sheetId="14" r:id="rId11"/>
    <sheet name="0.5.PToPI (names with numbers)" sheetId="13" r:id="rId12"/>
    <sheet name="0.6.measures &amp; additivity" sheetId="24" r:id="rId13"/>
    <sheet name="licence for use" sheetId="22" r:id="rId14"/>
  </sheets>
  <definedNames>
    <definedName name="_xlnm._FilterDatabase" localSheetId="2" hidden="1">'3.1.instrument list'!$A$2:$U$60</definedName>
    <definedName name="_xlnm._FilterDatabase" localSheetId="3" hidden="1">'3.2.error instruments'!$A$4:$AA$4</definedName>
    <definedName name="CN">'4.1.BenchMetrics Prob'!$C$8</definedName>
    <definedName name="CP">'4.1.BenchMetrics Prob'!$C$10</definedName>
    <definedName name="End_i">'4.1.BenchMetrics Prob'!$A$19</definedName>
    <definedName name="MaxP">'4.1.BenchMetrics Prob'!$I$10</definedName>
    <definedName name="Mean_c">'4.1.BenchMetrics Prob'!$F$17</definedName>
    <definedName name="Mean_p">'4.1.BenchMetrics Prob'!$O$19</definedName>
    <definedName name="MinP">'4.1.BenchMetrics Prob'!$I$8</definedName>
    <definedName name="MinTNR">'4.1.BenchMetrics Prob'!$I$19</definedName>
    <definedName name="MinTPR">'4.1.BenchMetrics Prob'!$C$19</definedName>
    <definedName name="Range">'4.1.BenchMetrics Prob'!$N$10</definedName>
    <definedName name="RangeA">'4.1.BenchMetrics Prob'!$I$51</definedName>
    <definedName name="RangeB">'4.1.BenchMetrics Prob'!$I$52</definedName>
    <definedName name="Start_i">'4.1.BenchMetrics Prob'!$A$17</definedName>
    <definedName name="THETA">'4.1.BenchMetrics Prob'!$I$9</definedName>
    <definedName name="_xlnm.Print_Area" localSheetId="11">'0.5.PToPI (names with numbers)'!$A$1:$V$29</definedName>
    <definedName name="_xlnm.Print_Area" localSheetId="0">'1.PToPI plain'!$A$1:$V$41</definedName>
    <definedName name="_xlnm.Print_Area" localSheetId="1">'2.PToPI full'!$A$1:$AE$41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O154" i="21" l="1"/>
  <c r="BN154" i="21"/>
  <c r="BL154" i="21"/>
  <c r="BK154" i="21"/>
  <c r="BI154" i="21"/>
  <c r="BH154" i="21"/>
  <c r="BG154" i="21"/>
  <c r="BE154" i="21"/>
  <c r="BD154" i="21"/>
  <c r="BC154" i="21"/>
  <c r="BB154" i="21"/>
  <c r="BA154" i="21"/>
  <c r="AZ154" i="21"/>
  <c r="AY154" i="21"/>
  <c r="AX154" i="21"/>
  <c r="AQ154" i="21"/>
  <c r="AP154" i="21"/>
  <c r="AO154" i="21"/>
  <c r="AN154" i="21"/>
  <c r="AM154" i="21"/>
  <c r="AL154" i="21"/>
  <c r="AK154" i="21"/>
  <c r="AJ154" i="21"/>
  <c r="AI154" i="21"/>
  <c r="AH154" i="21"/>
  <c r="AG154" i="21"/>
  <c r="AF154" i="21"/>
  <c r="AE154" i="21"/>
  <c r="AD154" i="21"/>
  <c r="AC154" i="21"/>
  <c r="AB154" i="21"/>
  <c r="AA154" i="21"/>
  <c r="Z154" i="21"/>
  <c r="Y154" i="21"/>
  <c r="X154" i="21"/>
  <c r="W154" i="21"/>
  <c r="V154" i="21"/>
  <c r="U154" i="21"/>
  <c r="T154" i="21"/>
  <c r="S154" i="21"/>
  <c r="R154" i="21"/>
  <c r="Q154" i="21"/>
  <c r="P154" i="21"/>
  <c r="O154" i="21"/>
  <c r="N154" i="21"/>
  <c r="M154" i="21"/>
  <c r="L154" i="21"/>
  <c r="K154" i="21"/>
  <c r="J154" i="21"/>
  <c r="I154" i="21"/>
  <c r="H154" i="21"/>
  <c r="G154" i="21"/>
  <c r="F154" i="21"/>
  <c r="E154" i="21"/>
  <c r="D154" i="21"/>
  <c r="C154" i="21"/>
  <c r="BO142" i="21"/>
  <c r="BN142" i="21"/>
  <c r="BL142" i="21"/>
  <c r="BK142" i="21"/>
  <c r="BI142" i="21"/>
  <c r="BH142" i="21"/>
  <c r="BG142" i="21"/>
  <c r="BE142" i="21"/>
  <c r="BD142" i="21"/>
  <c r="BC142" i="21"/>
  <c r="BB142" i="21"/>
  <c r="BA142" i="21"/>
  <c r="AZ142" i="21"/>
  <c r="AY142" i="21"/>
  <c r="AX142" i="21"/>
  <c r="Z38" i="24" l="1"/>
  <c r="Z37" i="24"/>
  <c r="X38" i="24"/>
  <c r="X37" i="24"/>
  <c r="Z32" i="24"/>
  <c r="Z31" i="24"/>
  <c r="X32" i="24"/>
  <c r="X31" i="24"/>
  <c r="Z26" i="24"/>
  <c r="Z25" i="24"/>
  <c r="X26" i="24"/>
  <c r="X25" i="24"/>
  <c r="Z20" i="24"/>
  <c r="Z19" i="24"/>
  <c r="X20" i="24"/>
  <c r="X19" i="24"/>
  <c r="Z14" i="24"/>
  <c r="Z13" i="24"/>
  <c r="X14" i="24"/>
  <c r="X13" i="24"/>
  <c r="Z8" i="24"/>
  <c r="Z7" i="24"/>
  <c r="X8" i="24"/>
  <c r="X7" i="24"/>
  <c r="AD27" i="24"/>
  <c r="AB27" i="24"/>
  <c r="AD21" i="24"/>
  <c r="AB21" i="24"/>
  <c r="AB15" i="24"/>
  <c r="AD9" i="24"/>
  <c r="AB9" i="24"/>
  <c r="AD3" i="24"/>
  <c r="AB3" i="24"/>
  <c r="Z39" i="24"/>
  <c r="X39" i="24"/>
  <c r="Z33" i="24"/>
  <c r="X33" i="24"/>
  <c r="Z27" i="24"/>
  <c r="X27" i="24"/>
  <c r="Z21" i="24"/>
  <c r="X21" i="24"/>
  <c r="Z15" i="24"/>
  <c r="X15" i="24"/>
  <c r="Z9" i="24"/>
  <c r="X9" i="24"/>
  <c r="Z3" i="24"/>
  <c r="X3" i="24"/>
  <c r="Z2" i="24"/>
  <c r="Z1" i="24"/>
  <c r="X2" i="24"/>
  <c r="X1" i="24"/>
  <c r="E28" i="24" l="1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9" i="24"/>
  <c r="F13" i="24" l="1"/>
  <c r="F17" i="24"/>
  <c r="F18" i="24"/>
  <c r="F26" i="24"/>
  <c r="F9" i="24"/>
  <c r="F10" i="24"/>
  <c r="F25" i="24"/>
  <c r="F23" i="24"/>
  <c r="F15" i="24"/>
  <c r="F14" i="24"/>
  <c r="F27" i="24"/>
  <c r="F19" i="24"/>
  <c r="F22" i="24"/>
  <c r="F21" i="24"/>
  <c r="F12" i="24"/>
  <c r="F11" i="24"/>
  <c r="F16" i="24"/>
  <c r="F24" i="24"/>
  <c r="F28" i="24"/>
  <c r="F20" i="24"/>
  <c r="G1" i="7"/>
  <c r="E1" i="7"/>
  <c r="B4" i="19"/>
  <c r="B1" i="24" l="1"/>
  <c r="M27" i="24" s="1"/>
  <c r="F1" i="24"/>
  <c r="M28" i="24" s="1"/>
  <c r="D1" i="24"/>
  <c r="O27" i="24" s="1"/>
  <c r="H1" i="24"/>
  <c r="O28" i="24" s="1"/>
  <c r="B4" i="24"/>
  <c r="I27" i="24" s="1"/>
  <c r="F4" i="24"/>
  <c r="I28" i="24" s="1"/>
  <c r="D4" i="24"/>
  <c r="K27" i="24" s="1"/>
  <c r="H4" i="24"/>
  <c r="K28" i="24" s="1"/>
  <c r="D2" i="24"/>
  <c r="S27" i="24" s="1"/>
  <c r="F2" i="24"/>
  <c r="Q28" i="24" s="1"/>
  <c r="H2" i="24"/>
  <c r="S28" i="24" s="1"/>
  <c r="B2" i="24"/>
  <c r="Q27" i="24" s="1"/>
  <c r="B1" i="7"/>
  <c r="L1" i="7" s="1"/>
  <c r="B29" i="13"/>
  <c r="B17" i="14"/>
  <c r="B17" i="15"/>
  <c r="B17" i="18"/>
  <c r="B41" i="12"/>
  <c r="B28" i="13"/>
  <c r="B16" i="14"/>
  <c r="B16" i="15"/>
  <c r="B16" i="18"/>
  <c r="B40" i="12"/>
  <c r="C4" i="19"/>
  <c r="N1" i="24" l="1"/>
  <c r="AA13" i="24"/>
  <c r="M30" i="24" s="1"/>
  <c r="T1" i="24"/>
  <c r="R1" i="24"/>
  <c r="P1" i="24"/>
  <c r="J1" i="24"/>
  <c r="Y37" i="24"/>
  <c r="AA37" i="24" s="1"/>
  <c r="V1" i="24"/>
  <c r="L1" i="24"/>
  <c r="AA16" i="24"/>
  <c r="I30" i="24" s="1"/>
  <c r="I31" i="24" s="1"/>
  <c r="Y40" i="24"/>
  <c r="AA40" i="24" s="1"/>
  <c r="Y38" i="24"/>
  <c r="AA38" i="24" s="1"/>
  <c r="AA14" i="24"/>
  <c r="Q30" i="24" s="1"/>
  <c r="R4" i="24"/>
  <c r="J4" i="24"/>
  <c r="T4" i="24"/>
  <c r="L4" i="24"/>
  <c r="P4" i="24"/>
  <c r="N4" i="24"/>
  <c r="V4" i="24"/>
  <c r="V2" i="24"/>
  <c r="R2" i="24"/>
  <c r="N2" i="24"/>
  <c r="J2" i="24"/>
  <c r="P2" i="24"/>
  <c r="T2" i="24"/>
  <c r="L2" i="24"/>
  <c r="BT5" i="21"/>
  <c r="BT27" i="21"/>
  <c r="BT48" i="21"/>
  <c r="M31" i="24" l="1"/>
  <c r="L31" i="24" s="1"/>
  <c r="Z34" i="24"/>
  <c r="AB2" i="24"/>
  <c r="AB1" i="24"/>
  <c r="AA15" i="24"/>
  <c r="Z17" i="24" s="1"/>
  <c r="AA2" i="24"/>
  <c r="AA20" i="24" s="1"/>
  <c r="Y7" i="24"/>
  <c r="AA7" i="24"/>
  <c r="Y1" i="24"/>
  <c r="Y19" i="24" s="1"/>
  <c r="AD25" i="24"/>
  <c r="AA1" i="24"/>
  <c r="AA31" i="24" s="1"/>
  <c r="Y25" i="24"/>
  <c r="AA8" i="24"/>
  <c r="AA25" i="24"/>
  <c r="Y31" i="24"/>
  <c r="AE7" i="24"/>
  <c r="Y13" i="24"/>
  <c r="Y28" i="24"/>
  <c r="Y26" i="24"/>
  <c r="AA10" i="24"/>
  <c r="AC13" i="24"/>
  <c r="Y34" i="24"/>
  <c r="Y32" i="24"/>
  <c r="AA39" i="24"/>
  <c r="Z41" i="24" s="1"/>
  <c r="Z40" i="24"/>
  <c r="X34" i="24"/>
  <c r="Y39" i="24"/>
  <c r="X41" i="24" s="1"/>
  <c r="Z16" i="24"/>
  <c r="X40" i="24"/>
  <c r="AD26" i="24"/>
  <c r="AD28" i="24"/>
  <c r="AB25" i="24"/>
  <c r="AB20" i="24"/>
  <c r="X16" i="24"/>
  <c r="AB28" i="24"/>
  <c r="Z28" i="24"/>
  <c r="AB8" i="24"/>
  <c r="AB4" i="24"/>
  <c r="AB19" i="24"/>
  <c r="X4" i="24"/>
  <c r="AD8" i="24"/>
  <c r="X28" i="24"/>
  <c r="AD22" i="24"/>
  <c r="AD19" i="24"/>
  <c r="AB13" i="24"/>
  <c r="Z4" i="24"/>
  <c r="AB22" i="24"/>
  <c r="AD4" i="24"/>
  <c r="AB26" i="24"/>
  <c r="Z22" i="24"/>
  <c r="AD10" i="24"/>
  <c r="AD7" i="24"/>
  <c r="AD2" i="24"/>
  <c r="Z10" i="24"/>
  <c r="AB14" i="24"/>
  <c r="AD1" i="24"/>
  <c r="X22" i="24"/>
  <c r="AB10" i="24"/>
  <c r="AB7" i="24"/>
  <c r="AD20" i="24"/>
  <c r="AB16" i="24"/>
  <c r="X10" i="24"/>
  <c r="AA28" i="24"/>
  <c r="AE28" i="24"/>
  <c r="AE25" i="24"/>
  <c r="AE26" i="24"/>
  <c r="AC25" i="24"/>
  <c r="AA26" i="24"/>
  <c r="AC28" i="24"/>
  <c r="AC26" i="24"/>
  <c r="AC16" i="24"/>
  <c r="AC14" i="24"/>
  <c r="Y16" i="24"/>
  <c r="Y14" i="24"/>
  <c r="AC7" i="24"/>
  <c r="Y10" i="24"/>
  <c r="Y8" i="24"/>
  <c r="AC1" i="24"/>
  <c r="AC19" i="24" s="1"/>
  <c r="AE4" i="24"/>
  <c r="AE22" i="24" s="1"/>
  <c r="AE2" i="24"/>
  <c r="AE20" i="24" s="1"/>
  <c r="AE1" i="24"/>
  <c r="AE19" i="24" s="1"/>
  <c r="AC4" i="24"/>
  <c r="AC22" i="24" s="1"/>
  <c r="AC2" i="24"/>
  <c r="AC20" i="24" s="1"/>
  <c r="Y4" i="24"/>
  <c r="Y22" i="24" s="1"/>
  <c r="Y2" i="24"/>
  <c r="Y20" i="24" s="1"/>
  <c r="AA4" i="24"/>
  <c r="AA22" i="24" s="1"/>
  <c r="AC8" i="24"/>
  <c r="AC10" i="24"/>
  <c r="AE10" i="24"/>
  <c r="AE8" i="24"/>
  <c r="BX172" i="21"/>
  <c r="BR172" i="21"/>
  <c r="BV178" i="21"/>
  <c r="BR178" i="21"/>
  <c r="I32" i="24" l="1"/>
  <c r="O43" i="24"/>
  <c r="Y9" i="24"/>
  <c r="X11" i="24" s="1"/>
  <c r="Y15" i="24"/>
  <c r="X17" i="24" s="1"/>
  <c r="AA9" i="24"/>
  <c r="Z11" i="24" s="1"/>
  <c r="Y33" i="24"/>
  <c r="X35" i="24" s="1"/>
  <c r="Y27" i="24"/>
  <c r="X29" i="24" s="1"/>
  <c r="AA27" i="24"/>
  <c r="Z29" i="24" s="1"/>
  <c r="AA34" i="24"/>
  <c r="AA32" i="24"/>
  <c r="AA33" i="24" s="1"/>
  <c r="AE27" i="24"/>
  <c r="AD29" i="24" s="1"/>
  <c r="AE21" i="24"/>
  <c r="AD23" i="24" s="1"/>
  <c r="AC15" i="24"/>
  <c r="AB17" i="24" s="1"/>
  <c r="AA19" i="24"/>
  <c r="AA21" i="24" s="1"/>
  <c r="Z23" i="24" s="1"/>
  <c r="AC21" i="24"/>
  <c r="AB23" i="24" s="1"/>
  <c r="AE9" i="24"/>
  <c r="AD11" i="24" s="1"/>
  <c r="AC3" i="24"/>
  <c r="AB5" i="24" s="1"/>
  <c r="AE3" i="24"/>
  <c r="AD5" i="24" s="1"/>
  <c r="Y21" i="24"/>
  <c r="X23" i="24" s="1"/>
  <c r="AC9" i="24"/>
  <c r="AB11" i="24" s="1"/>
  <c r="Y3" i="24"/>
  <c r="X5" i="24" s="1"/>
  <c r="AC27" i="24"/>
  <c r="AB29" i="24" s="1"/>
  <c r="BJ178" i="21"/>
  <c r="BA178" i="21"/>
  <c r="AZ178" i="21"/>
  <c r="AW178" i="21"/>
  <c r="BO178" i="21"/>
  <c r="BN178" i="21"/>
  <c r="BM178" i="21"/>
  <c r="BL178" i="21"/>
  <c r="BK178" i="21"/>
  <c r="BB178" i="21"/>
  <c r="BD178" i="21"/>
  <c r="BC178" i="21"/>
  <c r="BE178" i="21"/>
  <c r="BW178" i="21"/>
  <c r="BI178" i="21"/>
  <c r="BH178" i="21"/>
  <c r="BG178" i="21"/>
  <c r="AY178" i="21"/>
  <c r="AX178" i="21"/>
  <c r="AQ178" i="21"/>
  <c r="AP178" i="21"/>
  <c r="AO178" i="21"/>
  <c r="AN178" i="21"/>
  <c r="AM178" i="21"/>
  <c r="AL178" i="21"/>
  <c r="AK178" i="21"/>
  <c r="AJ178" i="21"/>
  <c r="AI178" i="21"/>
  <c r="AH178" i="21"/>
  <c r="AG178" i="21"/>
  <c r="AF178" i="21"/>
  <c r="AE178" i="21"/>
  <c r="AD178" i="21"/>
  <c r="AC178" i="21"/>
  <c r="AB178" i="21"/>
  <c r="AA178" i="21"/>
  <c r="Z178" i="21"/>
  <c r="Y178" i="21"/>
  <c r="X178" i="21"/>
  <c r="W178" i="21"/>
  <c r="V178" i="21"/>
  <c r="U178" i="21"/>
  <c r="T178" i="21"/>
  <c r="S178" i="21"/>
  <c r="R178" i="21"/>
  <c r="Q178" i="21"/>
  <c r="P178" i="21"/>
  <c r="O178" i="21"/>
  <c r="N178" i="21"/>
  <c r="M178" i="21"/>
  <c r="L178" i="21"/>
  <c r="K178" i="21"/>
  <c r="J178" i="21"/>
  <c r="I178" i="21"/>
  <c r="H178" i="21"/>
  <c r="G178" i="21"/>
  <c r="F178" i="21"/>
  <c r="E178" i="21"/>
  <c r="D178" i="21"/>
  <c r="C178" i="21"/>
  <c r="BJ172" i="21"/>
  <c r="BA172" i="21"/>
  <c r="AZ172" i="21"/>
  <c r="AW172" i="21"/>
  <c r="BO172" i="21"/>
  <c r="BN172" i="21"/>
  <c r="BM172" i="21"/>
  <c r="BL172" i="21"/>
  <c r="BK172" i="21"/>
  <c r="BB172" i="21"/>
  <c r="BD172" i="21"/>
  <c r="BC172" i="21"/>
  <c r="BE172" i="21"/>
  <c r="BW172" i="21"/>
  <c r="BV172" i="21"/>
  <c r="BI172" i="21"/>
  <c r="BH172" i="21"/>
  <c r="BG172" i="21"/>
  <c r="AY172" i="21"/>
  <c r="AX172" i="21"/>
  <c r="AQ172" i="21"/>
  <c r="AP172" i="21"/>
  <c r="AO172" i="21"/>
  <c r="AN172" i="21"/>
  <c r="AM172" i="21"/>
  <c r="AL172" i="21"/>
  <c r="AK172" i="21"/>
  <c r="AJ172" i="21"/>
  <c r="AI172" i="21"/>
  <c r="AH172" i="21"/>
  <c r="AG172" i="21"/>
  <c r="AF172" i="21"/>
  <c r="AE172" i="21"/>
  <c r="AD172" i="21"/>
  <c r="AC172" i="21"/>
  <c r="AB172" i="21"/>
  <c r="AA172" i="21"/>
  <c r="Z172" i="21"/>
  <c r="Y172" i="21"/>
  <c r="X172" i="21"/>
  <c r="W172" i="21"/>
  <c r="V172" i="21"/>
  <c r="U172" i="21"/>
  <c r="T172" i="21"/>
  <c r="S172" i="21"/>
  <c r="R172" i="21"/>
  <c r="Q172" i="21"/>
  <c r="P172" i="21"/>
  <c r="O172" i="21"/>
  <c r="N172" i="21"/>
  <c r="M172" i="21"/>
  <c r="L172" i="21"/>
  <c r="K172" i="21"/>
  <c r="J172" i="21"/>
  <c r="I172" i="21"/>
  <c r="H172" i="21"/>
  <c r="G172" i="21"/>
  <c r="F172" i="21"/>
  <c r="E172" i="21"/>
  <c r="D172" i="21"/>
  <c r="C172" i="21"/>
  <c r="Z35" i="24" l="1"/>
  <c r="AA3" i="24"/>
  <c r="Z5" i="24" s="1"/>
  <c r="AY166" i="21"/>
  <c r="BG166" i="21"/>
  <c r="BH166" i="21"/>
  <c r="BI166" i="21"/>
  <c r="BV166" i="21"/>
  <c r="BW166" i="21"/>
  <c r="BE166" i="21"/>
  <c r="BC166" i="21"/>
  <c r="BD166" i="21"/>
  <c r="BB166" i="21"/>
  <c r="BK166" i="21"/>
  <c r="BL166" i="21"/>
  <c r="BM166" i="21"/>
  <c r="BN166" i="21"/>
  <c r="BO166" i="21"/>
  <c r="AW166" i="21"/>
  <c r="AZ166" i="21"/>
  <c r="BA166" i="21"/>
  <c r="BJ166" i="21"/>
  <c r="AY160" i="21"/>
  <c r="BG160" i="21"/>
  <c r="BH160" i="21"/>
  <c r="BI160" i="21"/>
  <c r="BV160" i="21"/>
  <c r="BW160" i="21"/>
  <c r="BE160" i="21"/>
  <c r="BC160" i="21"/>
  <c r="BD160" i="21"/>
  <c r="BB160" i="21"/>
  <c r="BK160" i="21"/>
  <c r="BL160" i="21"/>
  <c r="BM160" i="21"/>
  <c r="BN160" i="21"/>
  <c r="BO160" i="21"/>
  <c r="AW160" i="21"/>
  <c r="AZ160" i="21"/>
  <c r="BA160" i="21"/>
  <c r="BJ160" i="21"/>
  <c r="AX166" i="21"/>
  <c r="AX160" i="21"/>
  <c r="AQ166" i="21"/>
  <c r="AP166" i="21"/>
  <c r="AO166" i="21"/>
  <c r="AN166" i="21"/>
  <c r="AM166" i="21"/>
  <c r="AL166" i="21"/>
  <c r="AK166" i="21"/>
  <c r="AJ166" i="21"/>
  <c r="AI166" i="21"/>
  <c r="AH166" i="21"/>
  <c r="AG166" i="21"/>
  <c r="AF166" i="21"/>
  <c r="AE166" i="21"/>
  <c r="AD166" i="21"/>
  <c r="AC166" i="21"/>
  <c r="AB166" i="21"/>
  <c r="AA166" i="21"/>
  <c r="Z166" i="21"/>
  <c r="Y166" i="21"/>
  <c r="X166" i="21"/>
  <c r="W166" i="21"/>
  <c r="V166" i="21"/>
  <c r="U166" i="21"/>
  <c r="T166" i="21"/>
  <c r="S166" i="21"/>
  <c r="R166" i="21"/>
  <c r="Q166" i="21"/>
  <c r="P166" i="21"/>
  <c r="O166" i="21"/>
  <c r="N166" i="21"/>
  <c r="M166" i="21"/>
  <c r="L166" i="21"/>
  <c r="K166" i="21"/>
  <c r="J166" i="21"/>
  <c r="I166" i="21"/>
  <c r="H166" i="21"/>
  <c r="G166" i="21"/>
  <c r="F166" i="21"/>
  <c r="E166" i="21"/>
  <c r="D166" i="21"/>
  <c r="C166" i="21"/>
  <c r="D160" i="21"/>
  <c r="E160" i="21"/>
  <c r="F160" i="21"/>
  <c r="G160" i="21"/>
  <c r="H160" i="21"/>
  <c r="I160" i="21"/>
  <c r="J160" i="21"/>
  <c r="K160" i="21"/>
  <c r="L160" i="21"/>
  <c r="M160" i="21"/>
  <c r="N160" i="21"/>
  <c r="O160" i="21"/>
  <c r="P160" i="21"/>
  <c r="Q160" i="21"/>
  <c r="R160" i="21"/>
  <c r="S160" i="21"/>
  <c r="T160" i="21"/>
  <c r="U160" i="21"/>
  <c r="V160" i="21"/>
  <c r="W160" i="21"/>
  <c r="X160" i="21"/>
  <c r="Y160" i="21"/>
  <c r="Z160" i="21"/>
  <c r="AA160" i="21"/>
  <c r="AB160" i="21"/>
  <c r="AC160" i="21"/>
  <c r="AD160" i="21"/>
  <c r="AE160" i="21"/>
  <c r="AF160" i="21"/>
  <c r="AG160" i="21"/>
  <c r="AH160" i="21"/>
  <c r="AI160" i="21"/>
  <c r="AJ160" i="21"/>
  <c r="AK160" i="21"/>
  <c r="AL160" i="21"/>
  <c r="AM160" i="21"/>
  <c r="AN160" i="21"/>
  <c r="AO160" i="21"/>
  <c r="AP160" i="21"/>
  <c r="AQ160" i="21"/>
  <c r="C160" i="21"/>
  <c r="C41" i="20"/>
  <c r="D41" i="20" s="1"/>
  <c r="C42" i="20"/>
  <c r="D42" i="20" s="1"/>
  <c r="C43" i="20"/>
  <c r="D43" i="20" s="1"/>
  <c r="E43" i="20" s="1"/>
  <c r="C44" i="20"/>
  <c r="D44" i="20" s="1"/>
  <c r="I44" i="20" s="1"/>
  <c r="J44" i="20" s="1"/>
  <c r="Q44" i="20" s="1"/>
  <c r="C45" i="20"/>
  <c r="D45" i="20" s="1"/>
  <c r="P45" i="20" s="1"/>
  <c r="C46" i="20"/>
  <c r="D46" i="20" s="1"/>
  <c r="E46" i="20" s="1"/>
  <c r="C47" i="20"/>
  <c r="D47" i="20" s="1"/>
  <c r="E47" i="20" s="1"/>
  <c r="C48" i="20"/>
  <c r="D48" i="20" s="1"/>
  <c r="C49" i="20"/>
  <c r="D49" i="20" s="1"/>
  <c r="C50" i="20"/>
  <c r="D50" i="20" s="1"/>
  <c r="C51" i="20"/>
  <c r="D51" i="20" s="1"/>
  <c r="E51" i="20" s="1"/>
  <c r="C52" i="20"/>
  <c r="D52" i="20" s="1"/>
  <c r="I52" i="20" s="1"/>
  <c r="J52" i="20" s="1"/>
  <c r="Q52" i="20" s="1"/>
  <c r="C53" i="20"/>
  <c r="D53" i="20" s="1"/>
  <c r="P53" i="20" s="1"/>
  <c r="C54" i="20"/>
  <c r="D54" i="20" s="1"/>
  <c r="E54" i="20" s="1"/>
  <c r="C55" i="20"/>
  <c r="D55" i="20" s="1"/>
  <c r="C56" i="20"/>
  <c r="D56" i="20" s="1"/>
  <c r="E56" i="20" s="1"/>
  <c r="C57" i="20"/>
  <c r="D57" i="20" s="1"/>
  <c r="I57" i="20" s="1"/>
  <c r="J57" i="20" s="1"/>
  <c r="Q57" i="20" s="1"/>
  <c r="C58" i="20"/>
  <c r="D58" i="20" s="1"/>
  <c r="P58" i="20" s="1"/>
  <c r="C59" i="20"/>
  <c r="D59" i="20" s="1"/>
  <c r="E59" i="20" s="1"/>
  <c r="C60" i="20"/>
  <c r="D60" i="20" s="1"/>
  <c r="I60" i="20" s="1"/>
  <c r="J60" i="20" s="1"/>
  <c r="C61" i="20"/>
  <c r="D61" i="20" s="1"/>
  <c r="I61" i="20" s="1"/>
  <c r="J61" i="20" s="1"/>
  <c r="Q61" i="20" s="1"/>
  <c r="C62" i="20"/>
  <c r="D62" i="20" s="1"/>
  <c r="E62" i="20" s="1"/>
  <c r="C63" i="20"/>
  <c r="D63" i="20" s="1"/>
  <c r="C64" i="20"/>
  <c r="D64" i="20" s="1"/>
  <c r="E64" i="20" s="1"/>
  <c r="C65" i="20"/>
  <c r="D65" i="20" s="1"/>
  <c r="C66" i="20"/>
  <c r="D66" i="20" s="1"/>
  <c r="E66" i="20" s="1"/>
  <c r="C67" i="20"/>
  <c r="D67" i="20" s="1"/>
  <c r="E67" i="20" s="1"/>
  <c r="C68" i="20"/>
  <c r="D68" i="20" s="1"/>
  <c r="I68" i="20" s="1"/>
  <c r="J68" i="20" s="1"/>
  <c r="C69" i="20"/>
  <c r="D69" i="20" s="1"/>
  <c r="P69" i="20" s="1"/>
  <c r="C70" i="20"/>
  <c r="D70" i="20" s="1"/>
  <c r="I65" i="20" l="1"/>
  <c r="J65" i="20" s="1"/>
  <c r="Q65" i="20" s="1"/>
  <c r="P65" i="20"/>
  <c r="E70" i="20"/>
  <c r="P70" i="20"/>
  <c r="P56" i="20"/>
  <c r="I56" i="20"/>
  <c r="J56" i="20" s="1"/>
  <c r="Q56" i="20" s="1"/>
  <c r="AA60" i="20"/>
  <c r="I70" i="20"/>
  <c r="J70" i="20" s="1"/>
  <c r="AA70" i="20" s="1"/>
  <c r="Y57" i="20"/>
  <c r="P48" i="20"/>
  <c r="P54" i="20"/>
  <c r="P46" i="20"/>
  <c r="I54" i="20"/>
  <c r="J54" i="20" s="1"/>
  <c r="AA54" i="20" s="1"/>
  <c r="I46" i="20"/>
  <c r="J46" i="20" s="1"/>
  <c r="Y46" i="20" s="1"/>
  <c r="E60" i="20"/>
  <c r="I48" i="20"/>
  <c r="J48" i="20" s="1"/>
  <c r="Y48" i="20" s="1"/>
  <c r="N68" i="20"/>
  <c r="P64" i="20"/>
  <c r="P62" i="20"/>
  <c r="P52" i="20"/>
  <c r="R52" i="20" s="1"/>
  <c r="E48" i="20"/>
  <c r="P44" i="20"/>
  <c r="R44" i="20" s="1"/>
  <c r="I59" i="20"/>
  <c r="J59" i="20" s="1"/>
  <c r="Q59" i="20" s="1"/>
  <c r="AA57" i="20"/>
  <c r="E52" i="20"/>
  <c r="P50" i="20"/>
  <c r="I43" i="20"/>
  <c r="J43" i="20" s="1"/>
  <c r="Q43" i="20" s="1"/>
  <c r="I62" i="20"/>
  <c r="J62" i="20" s="1"/>
  <c r="S62" i="20" s="1"/>
  <c r="K62" i="20" s="1"/>
  <c r="S60" i="20"/>
  <c r="K60" i="20" s="1"/>
  <c r="L60" i="20" s="1"/>
  <c r="I64" i="20"/>
  <c r="J64" i="20" s="1"/>
  <c r="AA64" i="20" s="1"/>
  <c r="E69" i="20"/>
  <c r="P60" i="20"/>
  <c r="I53" i="20"/>
  <c r="J53" i="20" s="1"/>
  <c r="I51" i="20"/>
  <c r="J51" i="20" s="1"/>
  <c r="AA51" i="20" s="1"/>
  <c r="I45" i="20"/>
  <c r="J45" i="20" s="1"/>
  <c r="S45" i="20" s="1"/>
  <c r="K45" i="20" s="1"/>
  <c r="M45" i="20" s="1"/>
  <c r="P68" i="20"/>
  <c r="N60" i="20"/>
  <c r="I69" i="20"/>
  <c r="J69" i="20" s="1"/>
  <c r="Q69" i="20" s="1"/>
  <c r="R69" i="20" s="1"/>
  <c r="E68" i="20"/>
  <c r="P66" i="20"/>
  <c r="Q60" i="20"/>
  <c r="Y60" i="20"/>
  <c r="T60" i="20"/>
  <c r="AB60" i="20"/>
  <c r="T57" i="20"/>
  <c r="E55" i="20"/>
  <c r="P55" i="20"/>
  <c r="I55" i="20"/>
  <c r="J55" i="20" s="1"/>
  <c r="Q55" i="20" s="1"/>
  <c r="I66" i="20"/>
  <c r="J66" i="20" s="1"/>
  <c r="AB66" i="20" s="1"/>
  <c r="E63" i="20"/>
  <c r="I63" i="20"/>
  <c r="J63" i="20" s="1"/>
  <c r="AA63" i="20" s="1"/>
  <c r="P63" i="20"/>
  <c r="S61" i="20"/>
  <c r="K61" i="20" s="1"/>
  <c r="T61" i="20"/>
  <c r="AB57" i="20"/>
  <c r="E57" i="20"/>
  <c r="N57" i="20"/>
  <c r="P57" i="20"/>
  <c r="R57" i="20" s="1"/>
  <c r="T68" i="20"/>
  <c r="Y61" i="20"/>
  <c r="AB68" i="20"/>
  <c r="S68" i="20"/>
  <c r="K68" i="20" s="1"/>
  <c r="Q68" i="20"/>
  <c r="Y68" i="20"/>
  <c r="P67" i="20"/>
  <c r="E65" i="20"/>
  <c r="S57" i="20"/>
  <c r="K57" i="20" s="1"/>
  <c r="I67" i="20"/>
  <c r="J67" i="20" s="1"/>
  <c r="S67" i="20" s="1"/>
  <c r="K67" i="20" s="1"/>
  <c r="L67" i="20" s="1"/>
  <c r="AA68" i="20"/>
  <c r="P61" i="20"/>
  <c r="R61" i="20" s="1"/>
  <c r="AA61" i="20"/>
  <c r="AB61" i="20"/>
  <c r="E61" i="20"/>
  <c r="N61" i="20"/>
  <c r="P59" i="20"/>
  <c r="I58" i="20"/>
  <c r="J58" i="20" s="1"/>
  <c r="AA58" i="20" s="1"/>
  <c r="E53" i="20"/>
  <c r="P51" i="20"/>
  <c r="I50" i="20"/>
  <c r="J50" i="20" s="1"/>
  <c r="E45" i="20"/>
  <c r="P43" i="20"/>
  <c r="I42" i="20"/>
  <c r="J42" i="20" s="1"/>
  <c r="Y42" i="20" s="1"/>
  <c r="N52" i="20"/>
  <c r="I49" i="20"/>
  <c r="J49" i="20" s="1"/>
  <c r="AB49" i="20" s="1"/>
  <c r="N44" i="20"/>
  <c r="E44" i="20"/>
  <c r="P42" i="20"/>
  <c r="I41" i="20"/>
  <c r="J41" i="20" s="1"/>
  <c r="AA41" i="20" s="1"/>
  <c r="P49" i="20"/>
  <c r="P41" i="20"/>
  <c r="E58" i="20"/>
  <c r="AB52" i="20"/>
  <c r="T52" i="20"/>
  <c r="E50" i="20"/>
  <c r="I47" i="20"/>
  <c r="J47" i="20" s="1"/>
  <c r="N47" i="20" s="1"/>
  <c r="AB44" i="20"/>
  <c r="T44" i="20"/>
  <c r="E42" i="20"/>
  <c r="AA52" i="20"/>
  <c r="S52" i="20"/>
  <c r="K52" i="20" s="1"/>
  <c r="E49" i="20"/>
  <c r="P47" i="20"/>
  <c r="AA44" i="20"/>
  <c r="S44" i="20"/>
  <c r="K44" i="20" s="1"/>
  <c r="E41" i="20"/>
  <c r="Y52" i="20"/>
  <c r="Y44" i="20"/>
  <c r="M5" i="21"/>
  <c r="L5" i="21"/>
  <c r="K5" i="21"/>
  <c r="J5" i="21"/>
  <c r="I5" i="21"/>
  <c r="Y65" i="20" l="1"/>
  <c r="S65" i="20"/>
  <c r="K65" i="20" s="1"/>
  <c r="L65" i="20" s="1"/>
  <c r="N70" i="20"/>
  <c r="T70" i="20"/>
  <c r="W70" i="20" s="1"/>
  <c r="AA65" i="20"/>
  <c r="T65" i="20"/>
  <c r="Z65" i="20" s="1"/>
  <c r="N65" i="20"/>
  <c r="L45" i="20"/>
  <c r="AA56" i="20"/>
  <c r="T45" i="20"/>
  <c r="Z45" i="20" s="1"/>
  <c r="N45" i="20"/>
  <c r="N59" i="20"/>
  <c r="R43" i="20"/>
  <c r="R59" i="20"/>
  <c r="Y70" i="20"/>
  <c r="AB65" i="20"/>
  <c r="N69" i="20"/>
  <c r="AB55" i="20"/>
  <c r="S55" i="20"/>
  <c r="K55" i="20" s="1"/>
  <c r="L55" i="20" s="1"/>
  <c r="AA43" i="20"/>
  <c r="T59" i="20"/>
  <c r="W59" i="20" s="1"/>
  <c r="Y59" i="20"/>
  <c r="T67" i="20"/>
  <c r="W67" i="20" s="1"/>
  <c r="N42" i="20"/>
  <c r="N58" i="20"/>
  <c r="AA55" i="20"/>
  <c r="Y55" i="20"/>
  <c r="R55" i="20"/>
  <c r="AB58" i="20"/>
  <c r="T43" i="20"/>
  <c r="W43" i="20" s="1"/>
  <c r="N49" i="20"/>
  <c r="N43" i="20"/>
  <c r="AA62" i="20"/>
  <c r="Y41" i="20"/>
  <c r="Y49" i="20"/>
  <c r="AA49" i="20"/>
  <c r="Q66" i="20"/>
  <c r="R66" i="20" s="1"/>
  <c r="Q70" i="20"/>
  <c r="R70" i="20" s="1"/>
  <c r="AA69" i="20"/>
  <c r="T41" i="20"/>
  <c r="U41" i="20" s="1"/>
  <c r="AA59" i="20"/>
  <c r="S70" i="20"/>
  <c r="K70" i="20" s="1"/>
  <c r="M70" i="20" s="1"/>
  <c r="AB70" i="20"/>
  <c r="AB43" i="20"/>
  <c r="R56" i="20"/>
  <c r="Q45" i="20"/>
  <c r="R45" i="20" s="1"/>
  <c r="N62" i="20"/>
  <c r="AA45" i="20"/>
  <c r="AB45" i="20"/>
  <c r="Q58" i="20"/>
  <c r="R58" i="20" s="1"/>
  <c r="Y66" i="20"/>
  <c r="S66" i="20"/>
  <c r="K66" i="20" s="1"/>
  <c r="L66" i="20" s="1"/>
  <c r="N66" i="20"/>
  <c r="AA67" i="20"/>
  <c r="AA66" i="20"/>
  <c r="T66" i="20"/>
  <c r="U66" i="20" s="1"/>
  <c r="S69" i="20"/>
  <c r="K69" i="20" s="1"/>
  <c r="L69" i="20" s="1"/>
  <c r="Y62" i="20"/>
  <c r="AB62" i="20"/>
  <c r="T58" i="20"/>
  <c r="U58" i="20" s="1"/>
  <c r="AB67" i="20"/>
  <c r="Y45" i="20"/>
  <c r="N67" i="20"/>
  <c r="S59" i="20"/>
  <c r="K59" i="20" s="1"/>
  <c r="M59" i="20" s="1"/>
  <c r="Y43" i="20"/>
  <c r="S43" i="20"/>
  <c r="K43" i="20" s="1"/>
  <c r="R65" i="20"/>
  <c r="T49" i="20"/>
  <c r="Z49" i="20" s="1"/>
  <c r="AA50" i="20"/>
  <c r="S50" i="20"/>
  <c r="K50" i="20" s="1"/>
  <c r="Q50" i="20"/>
  <c r="R50" i="20" s="1"/>
  <c r="N50" i="20"/>
  <c r="Y53" i="20"/>
  <c r="S53" i="20"/>
  <c r="K53" i="20" s="1"/>
  <c r="M53" i="20" s="1"/>
  <c r="N53" i="20"/>
  <c r="AB53" i="20"/>
  <c r="Q53" i="20"/>
  <c r="R53" i="20" s="1"/>
  <c r="AB64" i="20"/>
  <c r="T64" i="20"/>
  <c r="U64" i="20" s="1"/>
  <c r="S64" i="20"/>
  <c r="K64" i="20" s="1"/>
  <c r="M64" i="20" s="1"/>
  <c r="N64" i="20"/>
  <c r="Y64" i="20"/>
  <c r="Q48" i="20"/>
  <c r="R48" i="20" s="1"/>
  <c r="AA48" i="20"/>
  <c r="N48" i="20"/>
  <c r="N54" i="20"/>
  <c r="T54" i="20"/>
  <c r="Q54" i="20"/>
  <c r="R54" i="20" s="1"/>
  <c r="S54" i="20"/>
  <c r="K54" i="20" s="1"/>
  <c r="T47" i="20"/>
  <c r="U47" i="20" s="1"/>
  <c r="O47" i="20" s="1"/>
  <c r="Q47" i="20"/>
  <c r="R47" i="20" s="1"/>
  <c r="AB47" i="20"/>
  <c r="S47" i="20"/>
  <c r="K47" i="20" s="1"/>
  <c r="L47" i="20" s="1"/>
  <c r="Y47" i="20"/>
  <c r="AA53" i="20"/>
  <c r="T53" i="20"/>
  <c r="U53" i="20" s="1"/>
  <c r="S41" i="20"/>
  <c r="K41" i="20" s="1"/>
  <c r="M41" i="20" s="1"/>
  <c r="Q41" i="20"/>
  <c r="R41" i="20" s="1"/>
  <c r="N41" i="20"/>
  <c r="AB41" i="20"/>
  <c r="AA47" i="20"/>
  <c r="Q42" i="20"/>
  <c r="R42" i="20" s="1"/>
  <c r="AA42" i="20"/>
  <c r="S48" i="20"/>
  <c r="K48" i="20" s="1"/>
  <c r="M48" i="20" s="1"/>
  <c r="Y50" i="20"/>
  <c r="Q63" i="20"/>
  <c r="R63" i="20" s="1"/>
  <c r="S63" i="20"/>
  <c r="K63" i="20" s="1"/>
  <c r="L63" i="20" s="1"/>
  <c r="N63" i="20"/>
  <c r="AB63" i="20"/>
  <c r="Y63" i="20"/>
  <c r="T63" i="20"/>
  <c r="U63" i="20" s="1"/>
  <c r="Q51" i="20"/>
  <c r="R51" i="20" s="1"/>
  <c r="Y51" i="20"/>
  <c r="T51" i="20"/>
  <c r="U51" i="20" s="1"/>
  <c r="AB51" i="20"/>
  <c r="N51" i="20"/>
  <c r="T48" i="20"/>
  <c r="U48" i="20" s="1"/>
  <c r="AB48" i="20"/>
  <c r="S51" i="20"/>
  <c r="K51" i="20" s="1"/>
  <c r="T50" i="20"/>
  <c r="S42" i="20"/>
  <c r="K42" i="20" s="1"/>
  <c r="AB50" i="20"/>
  <c r="Y54" i="20"/>
  <c r="AB54" i="20"/>
  <c r="Q64" i="20"/>
  <c r="R64" i="20" s="1"/>
  <c r="Q46" i="20"/>
  <c r="R46" i="20" s="1"/>
  <c r="N46" i="20"/>
  <c r="S46" i="20"/>
  <c r="K46" i="20" s="1"/>
  <c r="AB46" i="20"/>
  <c r="AA46" i="20"/>
  <c r="T46" i="20"/>
  <c r="T42" i="20"/>
  <c r="U42" i="20" s="1"/>
  <c r="AB42" i="20"/>
  <c r="Y56" i="20"/>
  <c r="S56" i="20"/>
  <c r="K56" i="20" s="1"/>
  <c r="M56" i="20" s="1"/>
  <c r="S49" i="20"/>
  <c r="K49" i="20" s="1"/>
  <c r="M49" i="20" s="1"/>
  <c r="Y58" i="20"/>
  <c r="S58" i="20"/>
  <c r="K58" i="20" s="1"/>
  <c r="L58" i="20" s="1"/>
  <c r="Y67" i="20"/>
  <c r="N55" i="20"/>
  <c r="AB69" i="20"/>
  <c r="T69" i="20"/>
  <c r="U69" i="20" s="1"/>
  <c r="AB56" i="20"/>
  <c r="Q62" i="20"/>
  <c r="R62" i="20" s="1"/>
  <c r="Q67" i="20"/>
  <c r="R67" i="20" s="1"/>
  <c r="T62" i="20"/>
  <c r="Z62" i="20" s="1"/>
  <c r="AB59" i="20"/>
  <c r="T55" i="20"/>
  <c r="U55" i="20" s="1"/>
  <c r="T56" i="20"/>
  <c r="Y69" i="20"/>
  <c r="N56" i="20"/>
  <c r="Q49" i="20"/>
  <c r="R49" i="20" s="1"/>
  <c r="R68" i="20"/>
  <c r="M67" i="20"/>
  <c r="M62" i="20"/>
  <c r="L62" i="20"/>
  <c r="M60" i="20"/>
  <c r="R60" i="20"/>
  <c r="L68" i="20"/>
  <c r="M68" i="20"/>
  <c r="U60" i="20"/>
  <c r="O60" i="20" s="1"/>
  <c r="W60" i="20"/>
  <c r="X60" i="20" s="1"/>
  <c r="Z60" i="20"/>
  <c r="L52" i="20"/>
  <c r="M52" i="20"/>
  <c r="U61" i="20"/>
  <c r="O61" i="20" s="1"/>
  <c r="W61" i="20"/>
  <c r="X61" i="20" s="1"/>
  <c r="Z61" i="20"/>
  <c r="L57" i="20"/>
  <c r="M57" i="20"/>
  <c r="L61" i="20"/>
  <c r="M61" i="20"/>
  <c r="L44" i="20"/>
  <c r="M44" i="20"/>
  <c r="U52" i="20"/>
  <c r="O52" i="20" s="1"/>
  <c r="W52" i="20"/>
  <c r="X52" i="20" s="1"/>
  <c r="Z52" i="20"/>
  <c r="U68" i="20"/>
  <c r="O68" i="20" s="1"/>
  <c r="W68" i="20"/>
  <c r="X68" i="20" s="1"/>
  <c r="Z68" i="20"/>
  <c r="W57" i="20"/>
  <c r="X57" i="20" s="1"/>
  <c r="Z57" i="20"/>
  <c r="U57" i="20"/>
  <c r="O57" i="20" s="1"/>
  <c r="Z44" i="20"/>
  <c r="U44" i="20"/>
  <c r="O44" i="20" s="1"/>
  <c r="W44" i="20"/>
  <c r="X44" i="20" s="1"/>
  <c r="D142" i="21"/>
  <c r="E142" i="21"/>
  <c r="F142" i="21"/>
  <c r="G142" i="21"/>
  <c r="H142" i="21"/>
  <c r="I142" i="21"/>
  <c r="J142" i="21"/>
  <c r="K142" i="21"/>
  <c r="L142" i="21"/>
  <c r="M142" i="21"/>
  <c r="N142" i="21"/>
  <c r="O142" i="21"/>
  <c r="P142" i="21"/>
  <c r="Q142" i="21"/>
  <c r="R142" i="21"/>
  <c r="S142" i="21"/>
  <c r="T142" i="21"/>
  <c r="U142" i="21"/>
  <c r="V142" i="21"/>
  <c r="W142" i="21"/>
  <c r="X142" i="21"/>
  <c r="Y142" i="21"/>
  <c r="Z142" i="21"/>
  <c r="AA142" i="21"/>
  <c r="AB142" i="21"/>
  <c r="AC142" i="21"/>
  <c r="AD142" i="21"/>
  <c r="AE142" i="21"/>
  <c r="AF142" i="21"/>
  <c r="AG142" i="21"/>
  <c r="AH142" i="21"/>
  <c r="AI142" i="21"/>
  <c r="AJ142" i="21"/>
  <c r="AK142" i="21"/>
  <c r="AL142" i="21"/>
  <c r="AM142" i="21"/>
  <c r="AN142" i="21"/>
  <c r="AO142" i="21"/>
  <c r="AP142" i="21"/>
  <c r="AQ142" i="21"/>
  <c r="C142" i="21"/>
  <c r="AX48" i="21"/>
  <c r="BP27" i="21"/>
  <c r="BS27" i="21"/>
  <c r="BU27" i="21"/>
  <c r="BA27" i="21"/>
  <c r="BJ27" i="21"/>
  <c r="AZ27" i="21"/>
  <c r="AW27" i="21"/>
  <c r="BF27" i="21"/>
  <c r="BB27" i="21"/>
  <c r="AY27" i="21"/>
  <c r="BG27" i="21"/>
  <c r="BH27" i="21"/>
  <c r="BI27" i="21"/>
  <c r="BQ27" i="21"/>
  <c r="BR27" i="21"/>
  <c r="BV27" i="21"/>
  <c r="BW27" i="21"/>
  <c r="BE27" i="21"/>
  <c r="AX27" i="21"/>
  <c r="BW130" i="21"/>
  <c r="BW109" i="21"/>
  <c r="BW48" i="21"/>
  <c r="W45" i="20" l="1"/>
  <c r="M65" i="20"/>
  <c r="U70" i="20"/>
  <c r="O70" i="20" s="1"/>
  <c r="Z70" i="20"/>
  <c r="L59" i="20"/>
  <c r="BW3" i="21"/>
  <c r="U65" i="20"/>
  <c r="O65" i="20" s="1"/>
  <c r="W65" i="20"/>
  <c r="X65" i="20" s="1"/>
  <c r="O58" i="20"/>
  <c r="L64" i="20"/>
  <c r="Z43" i="20"/>
  <c r="Z59" i="20"/>
  <c r="X43" i="20"/>
  <c r="U45" i="20"/>
  <c r="O45" i="20" s="1"/>
  <c r="U59" i="20"/>
  <c r="O59" i="20" s="1"/>
  <c r="M55" i="20"/>
  <c r="W53" i="20"/>
  <c r="X53" i="20" s="1"/>
  <c r="L49" i="20"/>
  <c r="W58" i="20"/>
  <c r="X58" i="20" s="1"/>
  <c r="W42" i="20"/>
  <c r="X42" i="20" s="1"/>
  <c r="O69" i="20"/>
  <c r="X70" i="20"/>
  <c r="X67" i="20"/>
  <c r="X59" i="20"/>
  <c r="W66" i="20"/>
  <c r="X66" i="20" s="1"/>
  <c r="M58" i="20"/>
  <c r="M66" i="20"/>
  <c r="Z53" i="20"/>
  <c r="L48" i="20"/>
  <c r="Z41" i="20"/>
  <c r="W41" i="20"/>
  <c r="X41" i="20" s="1"/>
  <c r="Z69" i="20"/>
  <c r="O41" i="20"/>
  <c r="M63" i="20"/>
  <c r="W63" i="20"/>
  <c r="X63" i="20" s="1"/>
  <c r="M47" i="20"/>
  <c r="W51" i="20"/>
  <c r="X51" i="20" s="1"/>
  <c r="O42" i="20"/>
  <c r="L41" i="20"/>
  <c r="M69" i="20"/>
  <c r="Z63" i="20"/>
  <c r="U43" i="20"/>
  <c r="O43" i="20" s="1"/>
  <c r="Z67" i="20"/>
  <c r="U67" i="20"/>
  <c r="O67" i="20" s="1"/>
  <c r="Z66" i="20"/>
  <c r="L56" i="20"/>
  <c r="X45" i="20"/>
  <c r="L70" i="20"/>
  <c r="Z58" i="20"/>
  <c r="L53" i="20"/>
  <c r="O51" i="20"/>
  <c r="O63" i="20"/>
  <c r="O48" i="20"/>
  <c r="O64" i="20"/>
  <c r="O66" i="20"/>
  <c r="W64" i="20"/>
  <c r="X64" i="20" s="1"/>
  <c r="Z51" i="20"/>
  <c r="U49" i="20"/>
  <c r="O49" i="20" s="1"/>
  <c r="W49" i="20"/>
  <c r="X49" i="20" s="1"/>
  <c r="M43" i="20"/>
  <c r="L43" i="20"/>
  <c r="U56" i="20"/>
  <c r="O56" i="20" s="1"/>
  <c r="W56" i="20"/>
  <c r="X56" i="20" s="1"/>
  <c r="M46" i="20"/>
  <c r="L46" i="20"/>
  <c r="M42" i="20"/>
  <c r="L42" i="20"/>
  <c r="L51" i="20"/>
  <c r="M51" i="20"/>
  <c r="L54" i="20"/>
  <c r="M54" i="20"/>
  <c r="W54" i="20"/>
  <c r="X54" i="20" s="1"/>
  <c r="U54" i="20"/>
  <c r="O54" i="20" s="1"/>
  <c r="L50" i="20"/>
  <c r="M50" i="20"/>
  <c r="O53" i="20"/>
  <c r="Z64" i="20"/>
  <c r="Z48" i="20"/>
  <c r="W48" i="20"/>
  <c r="X48" i="20" s="1"/>
  <c r="O55" i="20"/>
  <c r="Z56" i="20"/>
  <c r="Z54" i="20"/>
  <c r="W69" i="20"/>
  <c r="X69" i="20" s="1"/>
  <c r="Z42" i="20"/>
  <c r="W55" i="20"/>
  <c r="X55" i="20" s="1"/>
  <c r="Z55" i="20"/>
  <c r="W62" i="20"/>
  <c r="X62" i="20" s="1"/>
  <c r="U62" i="20"/>
  <c r="O62" i="20" s="1"/>
  <c r="W46" i="20"/>
  <c r="X46" i="20" s="1"/>
  <c r="Z46" i="20"/>
  <c r="U46" i="20"/>
  <c r="O46" i="20" s="1"/>
  <c r="U50" i="20"/>
  <c r="O50" i="20" s="1"/>
  <c r="Z50" i="20"/>
  <c r="W50" i="20"/>
  <c r="X50" i="20" s="1"/>
  <c r="W47" i="20"/>
  <c r="X47" i="20" s="1"/>
  <c r="Z47" i="20"/>
  <c r="D130" i="21"/>
  <c r="E130" i="21"/>
  <c r="F130" i="21"/>
  <c r="G130" i="21"/>
  <c r="H130" i="21"/>
  <c r="I130" i="21"/>
  <c r="J130" i="21"/>
  <c r="K130" i="21"/>
  <c r="L130" i="21"/>
  <c r="M130" i="21"/>
  <c r="N130" i="21"/>
  <c r="O130" i="21"/>
  <c r="P130" i="21"/>
  <c r="Q130" i="21"/>
  <c r="R130" i="21"/>
  <c r="S130" i="21"/>
  <c r="T130" i="21"/>
  <c r="U130" i="21"/>
  <c r="V130" i="21"/>
  <c r="W130" i="21"/>
  <c r="X130" i="21"/>
  <c r="Y130" i="21"/>
  <c r="Z130" i="21"/>
  <c r="AA130" i="21"/>
  <c r="AB130" i="21"/>
  <c r="AC130" i="21"/>
  <c r="AD130" i="21"/>
  <c r="AE130" i="21"/>
  <c r="AF130" i="21"/>
  <c r="AG130" i="21"/>
  <c r="AH130" i="21"/>
  <c r="AI130" i="21"/>
  <c r="AJ130" i="21"/>
  <c r="AK130" i="21"/>
  <c r="AL130" i="21"/>
  <c r="AM130" i="21"/>
  <c r="AN130" i="21"/>
  <c r="AO130" i="21"/>
  <c r="AP130" i="21"/>
  <c r="AQ130" i="21"/>
  <c r="AX130" i="21"/>
  <c r="AY130" i="21"/>
  <c r="BG130" i="21"/>
  <c r="BH130" i="21"/>
  <c r="BI130" i="21"/>
  <c r="BR130" i="21"/>
  <c r="BV130" i="21"/>
  <c r="BE130" i="21"/>
  <c r="BC130" i="21"/>
  <c r="BD130" i="21"/>
  <c r="BB130" i="21"/>
  <c r="BK130" i="21"/>
  <c r="BL130" i="21"/>
  <c r="BM130" i="21"/>
  <c r="BN130" i="21"/>
  <c r="BO130" i="21"/>
  <c r="AW130" i="21"/>
  <c r="AZ130" i="21"/>
  <c r="BA130" i="21"/>
  <c r="BJ130" i="21"/>
  <c r="BX130" i="21"/>
  <c r="C130" i="21"/>
  <c r="D109" i="21"/>
  <c r="E109" i="21"/>
  <c r="F109" i="21"/>
  <c r="G109" i="21"/>
  <c r="H109" i="21"/>
  <c r="I109" i="21"/>
  <c r="J109" i="21"/>
  <c r="K109" i="21"/>
  <c r="L109" i="21"/>
  <c r="M109" i="21"/>
  <c r="N109" i="21"/>
  <c r="O109" i="21"/>
  <c r="P109" i="21"/>
  <c r="Q109" i="21"/>
  <c r="R109" i="21"/>
  <c r="S109" i="21"/>
  <c r="T109" i="21"/>
  <c r="U109" i="21"/>
  <c r="V109" i="21"/>
  <c r="W109" i="21"/>
  <c r="X109" i="21"/>
  <c r="Y109" i="21"/>
  <c r="Z109" i="21"/>
  <c r="AA109" i="21"/>
  <c r="AB109" i="21"/>
  <c r="AC109" i="21"/>
  <c r="AD109" i="21"/>
  <c r="AE109" i="21"/>
  <c r="AF109" i="21"/>
  <c r="AG109" i="21"/>
  <c r="AH109" i="21"/>
  <c r="AI109" i="21"/>
  <c r="AJ109" i="21"/>
  <c r="AK109" i="21"/>
  <c r="AL109" i="21"/>
  <c r="AX109" i="21"/>
  <c r="AY109" i="21"/>
  <c r="BG109" i="21"/>
  <c r="BH109" i="21"/>
  <c r="BI109" i="21"/>
  <c r="BR109" i="21"/>
  <c r="BV109" i="21"/>
  <c r="BE109" i="21"/>
  <c r="BC109" i="21"/>
  <c r="BD109" i="21"/>
  <c r="BB109" i="21"/>
  <c r="BK109" i="21"/>
  <c r="BL109" i="21"/>
  <c r="BL3" i="21" s="1"/>
  <c r="BM109" i="21"/>
  <c r="BN109" i="21"/>
  <c r="BN3" i="21" s="1"/>
  <c r="BO109" i="21"/>
  <c r="AW109" i="21"/>
  <c r="AZ109" i="21"/>
  <c r="BA109" i="21"/>
  <c r="BJ109" i="21"/>
  <c r="BX109" i="21"/>
  <c r="BX3" i="21" s="1"/>
  <c r="C109" i="21"/>
  <c r="BK3" i="21" l="1"/>
  <c r="BD3" i="21"/>
  <c r="BC3" i="21"/>
  <c r="AX3" i="21"/>
  <c r="BM3" i="21"/>
  <c r="BO3" i="21"/>
  <c r="A7" i="20"/>
  <c r="AY48" i="21"/>
  <c r="AY3" i="21" s="1"/>
  <c r="BG48" i="21"/>
  <c r="BG3" i="21" s="1"/>
  <c r="BH48" i="21"/>
  <c r="BH3" i="21" s="1"/>
  <c r="BI48" i="21"/>
  <c r="BI3" i="21" s="1"/>
  <c r="BQ48" i="21"/>
  <c r="BQ3" i="21" s="1"/>
  <c r="BR48" i="21"/>
  <c r="BR3" i="21" s="1"/>
  <c r="BV48" i="21"/>
  <c r="BV3" i="21" s="1"/>
  <c r="BE48" i="21"/>
  <c r="BE3" i="21" s="1"/>
  <c r="BB48" i="21"/>
  <c r="BB3" i="21" s="1"/>
  <c r="BF48" i="21"/>
  <c r="BF3" i="21" s="1"/>
  <c r="AW48" i="21"/>
  <c r="AW3" i="21" s="1"/>
  <c r="AZ48" i="21"/>
  <c r="AZ3" i="21" s="1"/>
  <c r="BA48" i="21"/>
  <c r="BA3" i="21" s="1"/>
  <c r="BJ48" i="21"/>
  <c r="BJ3" i="21" s="1"/>
  <c r="BP48" i="21"/>
  <c r="BP3" i="21" s="1"/>
  <c r="BS48" i="21"/>
  <c r="BS3" i="21" s="1"/>
  <c r="BT3" i="21"/>
  <c r="BU48" i="21"/>
  <c r="BU3" i="21" s="1"/>
  <c r="AL5" i="21" l="1"/>
  <c r="AK5" i="21"/>
  <c r="AJ5" i="21"/>
  <c r="AI5" i="21"/>
  <c r="AH5" i="21"/>
  <c r="AG5" i="21"/>
  <c r="AF5" i="21"/>
  <c r="AE5" i="21"/>
  <c r="AB5" i="21"/>
  <c r="Q5" i="21"/>
  <c r="P5" i="21"/>
  <c r="AD5" i="21"/>
  <c r="AC5" i="21"/>
  <c r="AA5" i="21"/>
  <c r="Z5" i="21"/>
  <c r="Y5" i="21"/>
  <c r="X5" i="21"/>
  <c r="W5" i="21"/>
  <c r="V5" i="21"/>
  <c r="U5" i="21"/>
  <c r="T5" i="21"/>
  <c r="S5" i="21"/>
  <c r="R5" i="21"/>
  <c r="O5" i="21"/>
  <c r="N5" i="21"/>
  <c r="H5" i="21"/>
  <c r="G5" i="21"/>
  <c r="F5" i="21"/>
  <c r="E5" i="21"/>
  <c r="D5" i="21"/>
  <c r="C5" i="21"/>
  <c r="BX5" i="21"/>
  <c r="BU5" i="21"/>
  <c r="BW5" i="21"/>
  <c r="BV5" i="21"/>
  <c r="BO5" i="21"/>
  <c r="BN5" i="21"/>
  <c r="BM5" i="21"/>
  <c r="BL5" i="21"/>
  <c r="BK5" i="21"/>
  <c r="AW5" i="21" l="1"/>
  <c r="BS5" i="21"/>
  <c r="BP5" i="21"/>
  <c r="BJ5" i="21"/>
  <c r="BA5" i="21"/>
  <c r="AZ5" i="21"/>
  <c r="BI5" i="21"/>
  <c r="BR5" i="21"/>
  <c r="BQ5" i="21"/>
  <c r="BH5" i="21"/>
  <c r="BG5" i="21"/>
  <c r="AY5" i="21"/>
  <c r="AX5" i="21"/>
  <c r="F3" i="19" l="1"/>
  <c r="R3" i="19"/>
  <c r="Q3" i="19"/>
  <c r="P3" i="19"/>
  <c r="O3" i="19"/>
  <c r="N3" i="19"/>
  <c r="M3" i="19"/>
  <c r="L3" i="19"/>
  <c r="K3" i="19"/>
  <c r="J3" i="19"/>
  <c r="I3" i="19"/>
  <c r="H3" i="19"/>
  <c r="G3" i="19"/>
  <c r="AS6" i="21" l="1"/>
  <c r="AR6" i="21"/>
  <c r="AQ6" i="21"/>
  <c r="AP6" i="21"/>
  <c r="AO6" i="21"/>
  <c r="AN6" i="21"/>
  <c r="AM6" i="21"/>
  <c r="C40" i="20"/>
  <c r="C39" i="20"/>
  <c r="C38" i="20"/>
  <c r="C37" i="20"/>
  <c r="C36" i="20"/>
  <c r="C35" i="20"/>
  <c r="C34" i="20"/>
  <c r="C33" i="20"/>
  <c r="C32" i="20"/>
  <c r="C31" i="20"/>
  <c r="C30" i="20"/>
  <c r="C29" i="20"/>
  <c r="C28" i="20"/>
  <c r="C27" i="20"/>
  <c r="C26" i="20"/>
  <c r="C25" i="20"/>
  <c r="C24" i="20"/>
  <c r="C23" i="20"/>
  <c r="C22" i="20"/>
  <c r="C21" i="20"/>
  <c r="I20" i="20"/>
  <c r="C20" i="20"/>
  <c r="D22" i="20" l="1"/>
  <c r="P22" i="20" s="1"/>
  <c r="D24" i="20"/>
  <c r="I24" i="20" s="1"/>
  <c r="J24" i="20" s="1"/>
  <c r="D26" i="20"/>
  <c r="I26" i="20" s="1"/>
  <c r="J26" i="20" s="1"/>
  <c r="D28" i="20"/>
  <c r="I28" i="20" s="1"/>
  <c r="J28" i="20" s="1"/>
  <c r="D30" i="20"/>
  <c r="I30" i="20" s="1"/>
  <c r="D32" i="20"/>
  <c r="I32" i="20" s="1"/>
  <c r="D34" i="20"/>
  <c r="I34" i="20" s="1"/>
  <c r="J34" i="20" s="1"/>
  <c r="D36" i="20"/>
  <c r="I36" i="20" s="1"/>
  <c r="D38" i="20"/>
  <c r="I38" i="20" s="1"/>
  <c r="J38" i="20" s="1"/>
  <c r="D40" i="20"/>
  <c r="I40" i="20" s="1"/>
  <c r="D21" i="20"/>
  <c r="E21" i="20" s="1"/>
  <c r="D23" i="20"/>
  <c r="I23" i="20" s="1"/>
  <c r="D25" i="20"/>
  <c r="I25" i="20" s="1"/>
  <c r="D27" i="20"/>
  <c r="I27" i="20" s="1"/>
  <c r="D29" i="20"/>
  <c r="I29" i="20" s="1"/>
  <c r="D31" i="20"/>
  <c r="I31" i="20" s="1"/>
  <c r="J31" i="20" s="1"/>
  <c r="D33" i="20"/>
  <c r="I33" i="20" s="1"/>
  <c r="J33" i="20" s="1"/>
  <c r="D35" i="20"/>
  <c r="I35" i="20" s="1"/>
  <c r="J35" i="20" s="1"/>
  <c r="T35" i="20" s="1"/>
  <c r="Z35" i="20" s="1"/>
  <c r="D37" i="20"/>
  <c r="I37" i="20" s="1"/>
  <c r="J37" i="20" s="1"/>
  <c r="AB37" i="20" s="1"/>
  <c r="D39" i="20"/>
  <c r="I39" i="20" s="1"/>
  <c r="J39" i="20" s="1"/>
  <c r="Y39" i="20" s="1"/>
  <c r="F17" i="20"/>
  <c r="F47" i="20" l="1"/>
  <c r="F48" i="20"/>
  <c r="F56" i="20"/>
  <c r="F51" i="20"/>
  <c r="F45" i="20"/>
  <c r="F53" i="20"/>
  <c r="F65" i="20"/>
  <c r="F59" i="20"/>
  <c r="F69" i="20"/>
  <c r="F55" i="20"/>
  <c r="F64" i="20"/>
  <c r="F61" i="20"/>
  <c r="F57" i="20"/>
  <c r="F44" i="20"/>
  <c r="F60" i="20"/>
  <c r="F52" i="20"/>
  <c r="F58" i="20"/>
  <c r="F50" i="20"/>
  <c r="F41" i="20"/>
  <c r="F62" i="20"/>
  <c r="F46" i="20"/>
  <c r="F43" i="20"/>
  <c r="F42" i="20"/>
  <c r="F70" i="20"/>
  <c r="F67" i="20"/>
  <c r="F66" i="20"/>
  <c r="F63" i="20"/>
  <c r="F68" i="20"/>
  <c r="F54" i="20"/>
  <c r="F49" i="20"/>
  <c r="P32" i="20"/>
  <c r="E24" i="20"/>
  <c r="P24" i="20"/>
  <c r="E32" i="20"/>
  <c r="E28" i="20"/>
  <c r="E22" i="20"/>
  <c r="E38" i="20"/>
  <c r="P38" i="20"/>
  <c r="P34" i="20"/>
  <c r="E34" i="20"/>
  <c r="P27" i="20"/>
  <c r="E25" i="20"/>
  <c r="E30" i="20"/>
  <c r="P25" i="20"/>
  <c r="P30" i="20"/>
  <c r="E33" i="20"/>
  <c r="P36" i="20"/>
  <c r="P23" i="20"/>
  <c r="P29" i="20"/>
  <c r="P28" i="20"/>
  <c r="E40" i="20"/>
  <c r="P35" i="20"/>
  <c r="P33" i="20"/>
  <c r="E39" i="20"/>
  <c r="P39" i="20"/>
  <c r="E29" i="20"/>
  <c r="P40" i="20"/>
  <c r="P31" i="20"/>
  <c r="P26" i="20"/>
  <c r="E27" i="20"/>
  <c r="P37" i="20"/>
  <c r="E35" i="20"/>
  <c r="E26" i="20"/>
  <c r="E23" i="20"/>
  <c r="F34" i="20"/>
  <c r="G34" i="20" s="1"/>
  <c r="E31" i="20"/>
  <c r="E36" i="20"/>
  <c r="E37" i="20"/>
  <c r="I21" i="20"/>
  <c r="J21" i="20" s="1"/>
  <c r="P21" i="20"/>
  <c r="I22" i="20"/>
  <c r="J22" i="20" s="1"/>
  <c r="AA22" i="20" s="1"/>
  <c r="J29" i="20"/>
  <c r="N29" i="20" s="1"/>
  <c r="J30" i="20"/>
  <c r="T30" i="20" s="1"/>
  <c r="Z30" i="20" s="1"/>
  <c r="J32" i="20"/>
  <c r="S32" i="20" s="1"/>
  <c r="F40" i="20"/>
  <c r="G40" i="20" s="1"/>
  <c r="F30" i="20"/>
  <c r="G30" i="20" s="1"/>
  <c r="F32" i="20"/>
  <c r="G32" i="20" s="1"/>
  <c r="F37" i="20"/>
  <c r="G37" i="20" s="1"/>
  <c r="F24" i="20"/>
  <c r="G24" i="20" s="1"/>
  <c r="F29" i="20"/>
  <c r="G29" i="20" s="1"/>
  <c r="F23" i="20"/>
  <c r="G23" i="20" s="1"/>
  <c r="F36" i="20"/>
  <c r="G36" i="20" s="1"/>
  <c r="F26" i="20"/>
  <c r="G26" i="20" s="1"/>
  <c r="F28" i="20"/>
  <c r="G28" i="20" s="1"/>
  <c r="F33" i="20"/>
  <c r="G33" i="20" s="1"/>
  <c r="F39" i="20"/>
  <c r="G39" i="20" s="1"/>
  <c r="F27" i="20"/>
  <c r="G27" i="20" s="1"/>
  <c r="F25" i="20"/>
  <c r="G25" i="20" s="1"/>
  <c r="F31" i="20"/>
  <c r="G31" i="20" s="1"/>
  <c r="F35" i="20"/>
  <c r="G35" i="20" s="1"/>
  <c r="F22" i="20"/>
  <c r="G22" i="20" s="1"/>
  <c r="F38" i="20"/>
  <c r="G38" i="20" s="1"/>
  <c r="F21" i="20"/>
  <c r="G21" i="20" s="1"/>
  <c r="J36" i="20"/>
  <c r="N36" i="20" s="1"/>
  <c r="J40" i="20"/>
  <c r="N40" i="20" s="1"/>
  <c r="J23" i="20"/>
  <c r="J25" i="20"/>
  <c r="AB25" i="20" s="1"/>
  <c r="J27" i="20"/>
  <c r="Q27" i="20" s="1"/>
  <c r="AB35" i="20"/>
  <c r="Q39" i="20"/>
  <c r="N37" i="20"/>
  <c r="S37" i="20"/>
  <c r="AA37" i="20"/>
  <c r="Y37" i="20"/>
  <c r="Q37" i="20"/>
  <c r="S33" i="20"/>
  <c r="T33" i="20"/>
  <c r="Z33" i="20" s="1"/>
  <c r="AB33" i="20"/>
  <c r="N33" i="20"/>
  <c r="AA33" i="20"/>
  <c r="Y33" i="20"/>
  <c r="Q38" i="20"/>
  <c r="N38" i="20"/>
  <c r="S38" i="20"/>
  <c r="T38" i="20"/>
  <c r="Z38" i="20" s="1"/>
  <c r="AA38" i="20"/>
  <c r="Y38" i="20"/>
  <c r="N28" i="20"/>
  <c r="S28" i="20"/>
  <c r="AA28" i="20"/>
  <c r="Y28" i="20"/>
  <c r="Q28" i="20"/>
  <c r="T28" i="20"/>
  <c r="Z28" i="20" s="1"/>
  <c r="AB28" i="20"/>
  <c r="AA24" i="20"/>
  <c r="Y24" i="20"/>
  <c r="Q24" i="20"/>
  <c r="N24" i="20"/>
  <c r="S24" i="20"/>
  <c r="T24" i="20"/>
  <c r="Z24" i="20" s="1"/>
  <c r="AB24" i="20"/>
  <c r="AB38" i="20"/>
  <c r="T37" i="20"/>
  <c r="Z37" i="20" s="1"/>
  <c r="Q33" i="20"/>
  <c r="N39" i="20"/>
  <c r="S39" i="20"/>
  <c r="AA39" i="20"/>
  <c r="T39" i="20"/>
  <c r="Z39" i="20" s="1"/>
  <c r="AB39" i="20"/>
  <c r="Y35" i="20"/>
  <c r="Q35" i="20"/>
  <c r="N35" i="20"/>
  <c r="S35" i="20"/>
  <c r="AA35" i="20"/>
  <c r="N31" i="20"/>
  <c r="AA31" i="20"/>
  <c r="T31" i="20"/>
  <c r="Z31" i="20" s="1"/>
  <c r="AB31" i="20"/>
  <c r="S31" i="20"/>
  <c r="Y31" i="20"/>
  <c r="Q31" i="20"/>
  <c r="N34" i="20"/>
  <c r="S34" i="20"/>
  <c r="T34" i="20"/>
  <c r="Z34" i="20" s="1"/>
  <c r="Y34" i="20"/>
  <c r="AB34" i="20"/>
  <c r="AA34" i="20"/>
  <c r="Q34" i="20"/>
  <c r="AA26" i="20"/>
  <c r="Y26" i="20"/>
  <c r="Q26" i="20"/>
  <c r="N26" i="20"/>
  <c r="S26" i="20"/>
  <c r="T26" i="20"/>
  <c r="Z26" i="20" s="1"/>
  <c r="AB26" i="20"/>
  <c r="W35" i="20"/>
  <c r="U35" i="20"/>
  <c r="AT6" i="21"/>
  <c r="O19" i="20"/>
  <c r="R28" i="20" l="1"/>
  <c r="R34" i="20"/>
  <c r="R33" i="20"/>
  <c r="G50" i="20"/>
  <c r="V50" i="20"/>
  <c r="G61" i="20"/>
  <c r="V61" i="20"/>
  <c r="G64" i="20"/>
  <c r="V64" i="20"/>
  <c r="G65" i="20"/>
  <c r="V65" i="20"/>
  <c r="G49" i="20"/>
  <c r="V49" i="20"/>
  <c r="G52" i="20"/>
  <c r="V52" i="20"/>
  <c r="G55" i="20"/>
  <c r="V55" i="20"/>
  <c r="G53" i="20"/>
  <c r="V53" i="20"/>
  <c r="G45" i="20"/>
  <c r="V45" i="20"/>
  <c r="G60" i="20"/>
  <c r="V60" i="20"/>
  <c r="G68" i="20"/>
  <c r="V68" i="20"/>
  <c r="G43" i="20"/>
  <c r="V43" i="20"/>
  <c r="G59" i="20"/>
  <c r="V59" i="20"/>
  <c r="G51" i="20"/>
  <c r="V51" i="20"/>
  <c r="G58" i="20"/>
  <c r="V58" i="20"/>
  <c r="V54" i="20"/>
  <c r="G54" i="20"/>
  <c r="G63" i="20"/>
  <c r="V63" i="20"/>
  <c r="G46" i="20"/>
  <c r="V46" i="20"/>
  <c r="G56" i="20"/>
  <c r="V56" i="20"/>
  <c r="G70" i="20"/>
  <c r="V70" i="20"/>
  <c r="G42" i="20"/>
  <c r="V42" i="20"/>
  <c r="G66" i="20"/>
  <c r="V66" i="20"/>
  <c r="G62" i="20"/>
  <c r="V62" i="20"/>
  <c r="G44" i="20"/>
  <c r="V44" i="20"/>
  <c r="V48" i="20"/>
  <c r="G48" i="20"/>
  <c r="G69" i="20"/>
  <c r="V69" i="20"/>
  <c r="G67" i="20"/>
  <c r="V67" i="20"/>
  <c r="G41" i="20"/>
  <c r="V41" i="20"/>
  <c r="G57" i="20"/>
  <c r="V57" i="20"/>
  <c r="G47" i="20"/>
  <c r="V47" i="20"/>
  <c r="R35" i="20"/>
  <c r="R24" i="20"/>
  <c r="R37" i="20"/>
  <c r="R38" i="20"/>
  <c r="R27" i="20"/>
  <c r="R31" i="20"/>
  <c r="R26" i="20"/>
  <c r="O35" i="20"/>
  <c r="Q21" i="20"/>
  <c r="Y21" i="20"/>
  <c r="R39" i="20"/>
  <c r="S22" i="20"/>
  <c r="K22" i="20" s="1"/>
  <c r="AB22" i="20"/>
  <c r="T22" i="20"/>
  <c r="Z22" i="20" s="1"/>
  <c r="Q22" i="20"/>
  <c r="N22" i="20"/>
  <c r="Y22" i="20"/>
  <c r="S21" i="20"/>
  <c r="N30" i="20"/>
  <c r="K39" i="20"/>
  <c r="K38" i="20"/>
  <c r="K33" i="20"/>
  <c r="K37" i="20"/>
  <c r="K26" i="20"/>
  <c r="K34" i="20"/>
  <c r="K31" i="20"/>
  <c r="K35" i="20"/>
  <c r="K24" i="20"/>
  <c r="K28" i="20"/>
  <c r="K32" i="20"/>
  <c r="T23" i="20"/>
  <c r="Z23" i="20" s="1"/>
  <c r="N32" i="20"/>
  <c r="T29" i="20"/>
  <c r="U29" i="20" s="1"/>
  <c r="O29" i="20" s="1"/>
  <c r="Y32" i="20"/>
  <c r="AB32" i="20"/>
  <c r="T32" i="20"/>
  <c r="V32" i="20" s="1"/>
  <c r="AA29" i="20"/>
  <c r="Q29" i="20"/>
  <c r="R29" i="20" s="1"/>
  <c r="Q32" i="20"/>
  <c r="R32" i="20" s="1"/>
  <c r="AA32" i="20"/>
  <c r="AB29" i="20"/>
  <c r="Y29" i="20"/>
  <c r="S29" i="20"/>
  <c r="K29" i="20" s="1"/>
  <c r="AB30" i="20"/>
  <c r="Q30" i="20"/>
  <c r="R30" i="20" s="1"/>
  <c r="AA30" i="20"/>
  <c r="Y30" i="20"/>
  <c r="S30" i="20"/>
  <c r="K30" i="20" s="1"/>
  <c r="V30" i="20"/>
  <c r="AB36" i="20"/>
  <c r="T36" i="20"/>
  <c r="S36" i="20"/>
  <c r="K36" i="20" s="1"/>
  <c r="Y36" i="20"/>
  <c r="Q36" i="20"/>
  <c r="R36" i="20" s="1"/>
  <c r="T25" i="20"/>
  <c r="S25" i="20"/>
  <c r="AA36" i="20"/>
  <c r="Y25" i="20"/>
  <c r="N25" i="20"/>
  <c r="U26" i="20"/>
  <c r="O26" i="20" s="1"/>
  <c r="V26" i="20"/>
  <c r="U31" i="20"/>
  <c r="O31" i="20" s="1"/>
  <c r="V31" i="20"/>
  <c r="W28" i="20"/>
  <c r="X28" i="20" s="1"/>
  <c r="V28" i="20"/>
  <c r="U38" i="20"/>
  <c r="O38" i="20" s="1"/>
  <c r="V38" i="20"/>
  <c r="U33" i="20"/>
  <c r="O33" i="20" s="1"/>
  <c r="V33" i="20"/>
  <c r="U34" i="20"/>
  <c r="O34" i="20" s="1"/>
  <c r="V34" i="20"/>
  <c r="W39" i="20"/>
  <c r="X39" i="20" s="1"/>
  <c r="V39" i="20"/>
  <c r="U24" i="20"/>
  <c r="O24" i="20" s="1"/>
  <c r="V24" i="20"/>
  <c r="U37" i="20"/>
  <c r="O37" i="20" s="1"/>
  <c r="V37" i="20"/>
  <c r="V35" i="20"/>
  <c r="AA25" i="20"/>
  <c r="Q25" i="20"/>
  <c r="R25" i="20" s="1"/>
  <c r="AB23" i="20"/>
  <c r="Q23" i="20"/>
  <c r="S40" i="20"/>
  <c r="K40" i="20" s="1"/>
  <c r="S23" i="20"/>
  <c r="Q40" i="20"/>
  <c r="R40" i="20" s="1"/>
  <c r="Y40" i="20"/>
  <c r="N23" i="20"/>
  <c r="AB40" i="20"/>
  <c r="Y23" i="20"/>
  <c r="AA40" i="20"/>
  <c r="AA23" i="20"/>
  <c r="T40" i="20"/>
  <c r="Z40" i="20" s="1"/>
  <c r="AA21" i="20"/>
  <c r="T21" i="20"/>
  <c r="AB21" i="20"/>
  <c r="AA27" i="20"/>
  <c r="N27" i="20"/>
  <c r="S27" i="20"/>
  <c r="Y27" i="20"/>
  <c r="AB27" i="20"/>
  <c r="T27" i="20"/>
  <c r="Z27" i="20" s="1"/>
  <c r="N21" i="20"/>
  <c r="W34" i="20"/>
  <c r="X34" i="20" s="1"/>
  <c r="W24" i="20"/>
  <c r="X24" i="20" s="1"/>
  <c r="W26" i="20"/>
  <c r="X26" i="20" s="1"/>
  <c r="U39" i="20"/>
  <c r="O39" i="20" s="1"/>
  <c r="W37" i="20"/>
  <c r="X37" i="20" s="1"/>
  <c r="U28" i="20"/>
  <c r="O28" i="20" s="1"/>
  <c r="W33" i="20"/>
  <c r="X33" i="20" s="1"/>
  <c r="W31" i="20"/>
  <c r="X31" i="20" s="1"/>
  <c r="W38" i="20"/>
  <c r="X38" i="20" s="1"/>
  <c r="X35" i="20"/>
  <c r="W30" i="20"/>
  <c r="U30" i="20"/>
  <c r="AU6" i="21"/>
  <c r="R17" i="20"/>
  <c r="T19" i="20"/>
  <c r="T17" i="20"/>
  <c r="S17" i="20"/>
  <c r="S19" i="20"/>
  <c r="Y19" i="20"/>
  <c r="R21" i="20" l="1"/>
  <c r="O30" i="20"/>
  <c r="R22" i="20"/>
  <c r="U22" i="20"/>
  <c r="O22" i="20" s="1"/>
  <c r="W22" i="20"/>
  <c r="V22" i="20"/>
  <c r="BJ6" i="21"/>
  <c r="AW6" i="21"/>
  <c r="BI6" i="21"/>
  <c r="R23" i="20"/>
  <c r="BH6" i="21"/>
  <c r="BG6" i="21"/>
  <c r="V25" i="20"/>
  <c r="Z25" i="20"/>
  <c r="V36" i="20"/>
  <c r="Z36" i="20"/>
  <c r="W32" i="20"/>
  <c r="X32" i="20" s="1"/>
  <c r="Z32" i="20"/>
  <c r="V29" i="20"/>
  <c r="Z29" i="20"/>
  <c r="W21" i="20"/>
  <c r="Z21" i="20"/>
  <c r="M40" i="20"/>
  <c r="L40" i="20"/>
  <c r="M36" i="20"/>
  <c r="L36" i="20"/>
  <c r="M30" i="20"/>
  <c r="L30" i="20"/>
  <c r="M29" i="20"/>
  <c r="L29" i="20"/>
  <c r="M32" i="20"/>
  <c r="L32" i="20"/>
  <c r="M24" i="20"/>
  <c r="L24" i="20"/>
  <c r="M31" i="20"/>
  <c r="L31" i="20"/>
  <c r="M26" i="20"/>
  <c r="L26" i="20"/>
  <c r="M37" i="20"/>
  <c r="L37" i="20"/>
  <c r="M38" i="20"/>
  <c r="L38" i="20"/>
  <c r="M28" i="20"/>
  <c r="L28" i="20"/>
  <c r="M35" i="20"/>
  <c r="L35" i="20"/>
  <c r="M34" i="20"/>
  <c r="L34" i="20"/>
  <c r="M22" i="20"/>
  <c r="L22" i="20"/>
  <c r="M33" i="20"/>
  <c r="L33" i="20"/>
  <c r="M39" i="20"/>
  <c r="L39" i="20"/>
  <c r="K27" i="20"/>
  <c r="K25" i="20"/>
  <c r="K23" i="20"/>
  <c r="K21" i="20"/>
  <c r="V21" i="20"/>
  <c r="U23" i="20"/>
  <c r="O23" i="20" s="1"/>
  <c r="V23" i="20"/>
  <c r="W23" i="20"/>
  <c r="U32" i="20"/>
  <c r="O32" i="20" s="1"/>
  <c r="W29" i="20"/>
  <c r="X29" i="20" s="1"/>
  <c r="X30" i="20"/>
  <c r="W36" i="20"/>
  <c r="X36" i="20" s="1"/>
  <c r="U36" i="20"/>
  <c r="O36" i="20" s="1"/>
  <c r="U25" i="20"/>
  <c r="O25" i="20" s="1"/>
  <c r="W25" i="20"/>
  <c r="W27" i="20"/>
  <c r="X27" i="20" s="1"/>
  <c r="V27" i="20"/>
  <c r="U40" i="20"/>
  <c r="O40" i="20" s="1"/>
  <c r="V40" i="20"/>
  <c r="U21" i="20"/>
  <c r="W40" i="20"/>
  <c r="X40" i="20" s="1"/>
  <c r="U27" i="20"/>
  <c r="O27" i="20" s="1"/>
  <c r="P15" i="20"/>
  <c r="V17" i="20"/>
  <c r="R19" i="20"/>
  <c r="R6" i="20"/>
  <c r="Z17" i="20"/>
  <c r="V19" i="20"/>
  <c r="W17" i="20"/>
  <c r="V15" i="20"/>
  <c r="Q6" i="20"/>
  <c r="Z19" i="20"/>
  <c r="AV6" i="21"/>
  <c r="Q8" i="20"/>
  <c r="W19" i="20"/>
  <c r="U19" i="20"/>
  <c r="W15" i="20"/>
  <c r="P17" i="20"/>
  <c r="R8" i="20"/>
  <c r="Y10" i="20" l="1"/>
  <c r="S10" i="20"/>
  <c r="Q4" i="20"/>
  <c r="O21" i="20"/>
  <c r="U17" i="20"/>
  <c r="X22" i="20"/>
  <c r="BO6" i="21"/>
  <c r="BN6" i="21"/>
  <c r="BM6" i="21"/>
  <c r="BL6" i="21"/>
  <c r="BK6" i="21"/>
  <c r="BP6" i="21"/>
  <c r="BA6" i="21"/>
  <c r="AZ6" i="21"/>
  <c r="AX6" i="21"/>
  <c r="X23" i="20"/>
  <c r="M25" i="20"/>
  <c r="L25" i="20"/>
  <c r="M23" i="20"/>
  <c r="L23" i="20"/>
  <c r="M27" i="20"/>
  <c r="L27" i="20"/>
  <c r="M21" i="20"/>
  <c r="L21" i="20"/>
  <c r="X25" i="20"/>
  <c r="X21" i="20"/>
  <c r="D6" i="21"/>
  <c r="C6" i="21"/>
  <c r="F6" i="21"/>
  <c r="E6" i="21"/>
  <c r="P19" i="20"/>
  <c r="T15" i="20"/>
  <c r="Q15" i="20"/>
  <c r="Q19" i="20"/>
  <c r="R15" i="20"/>
  <c r="Q17" i="20"/>
  <c r="S15" i="20"/>
  <c r="BT6" i="21" l="1"/>
  <c r="AY6" i="21"/>
  <c r="BW6" i="21"/>
  <c r="BF6" i="21"/>
  <c r="BD6" i="21"/>
  <c r="BC6" i="21"/>
  <c r="BE6" i="21"/>
  <c r="BU6" i="21"/>
  <c r="BS6" i="21"/>
  <c r="BV6" i="21"/>
  <c r="BR6" i="21"/>
  <c r="X19" i="20"/>
  <c r="U15" i="20"/>
  <c r="P6" i="20"/>
  <c r="BQ6" i="21"/>
  <c r="Y17" i="20"/>
  <c r="P4" i="20"/>
  <c r="R4" i="20"/>
  <c r="W8" i="20" s="1"/>
  <c r="S6" i="21" s="1"/>
  <c r="P8" i="20"/>
  <c r="G6" i="21"/>
  <c r="S4" i="20"/>
  <c r="T4" i="20" l="1"/>
  <c r="BB6" i="21"/>
  <c r="Q6" i="21"/>
  <c r="L6" i="21"/>
  <c r="U8" i="20"/>
  <c r="W6" i="21" s="1"/>
  <c r="J6" i="21"/>
  <c r="K6" i="21"/>
  <c r="U4" i="20"/>
  <c r="AF6" i="21" s="1"/>
  <c r="T8" i="20"/>
  <c r="V6" i="21" s="1"/>
  <c r="I6" i="21"/>
  <c r="U10" i="20"/>
  <c r="Y6" i="21" s="1"/>
  <c r="V8" i="20"/>
  <c r="R6" i="21" s="1"/>
  <c r="H6" i="21"/>
  <c r="P10" i="20"/>
  <c r="T10" i="20"/>
  <c r="W10" i="20"/>
  <c r="U6" i="21" s="1"/>
  <c r="V10" i="20"/>
  <c r="T6" i="21" s="1"/>
  <c r="AA19" i="20"/>
  <c r="Z10" i="20" l="1"/>
  <c r="AG6" i="21"/>
  <c r="X6" i="21"/>
  <c r="Q10" i="20"/>
  <c r="N6" i="21" s="1"/>
  <c r="V4" i="20"/>
  <c r="AE6" i="21" s="1"/>
  <c r="S6" i="20"/>
  <c r="U6" i="20"/>
  <c r="AD6" i="21" s="1"/>
  <c r="M6" i="21"/>
  <c r="R10" i="20"/>
  <c r="O6" i="21" s="1"/>
  <c r="AA8" i="20"/>
  <c r="AJ6" i="21" s="1"/>
  <c r="T6" i="20"/>
  <c r="AC6" i="21" s="1"/>
  <c r="W6" i="20"/>
  <c r="V6" i="20"/>
  <c r="Z6" i="21" s="1"/>
  <c r="W4" i="20"/>
  <c r="AB6" i="21" s="1"/>
  <c r="AA6" i="20" l="1"/>
  <c r="AK6" i="21" s="1"/>
  <c r="AA6" i="21"/>
  <c r="Y14" i="20"/>
  <c r="BX6" i="21"/>
  <c r="P6" i="21"/>
  <c r="AB8" i="20"/>
  <c r="AH6" i="21" s="1"/>
  <c r="Y4" i="20"/>
  <c r="AA10" i="20"/>
  <c r="AI6" i="21" s="1"/>
  <c r="AB6" i="20" l="1"/>
  <c r="AL6" i="21" s="1"/>
</calcChain>
</file>

<file path=xl/sharedStrings.xml><?xml version="1.0" encoding="utf-8"?>
<sst xmlns="http://schemas.openxmlformats.org/spreadsheetml/2006/main" count="2835" uniqueCount="851">
  <si>
    <t>MCC</t>
  </si>
  <si>
    <t>CK</t>
  </si>
  <si>
    <t>nMI</t>
  </si>
  <si>
    <t>F1</t>
  </si>
  <si>
    <t>F0.5</t>
  </si>
  <si>
    <t>F2</t>
  </si>
  <si>
    <t>ACC</t>
  </si>
  <si>
    <t>ACCBAR</t>
  </si>
  <si>
    <t>DR</t>
  </si>
  <si>
    <t>CRR</t>
  </si>
  <si>
    <t>TPR</t>
  </si>
  <si>
    <t>FPR</t>
  </si>
  <si>
    <t>FNR</t>
  </si>
  <si>
    <t>TNR</t>
  </si>
  <si>
    <t>TC</t>
  </si>
  <si>
    <t>P</t>
  </si>
  <si>
    <t>N</t>
  </si>
  <si>
    <t>FC</t>
  </si>
  <si>
    <t>OP</t>
  </si>
  <si>
    <t>ON</t>
  </si>
  <si>
    <t>TP</t>
  </si>
  <si>
    <t>FP</t>
  </si>
  <si>
    <t>FN</t>
  </si>
  <si>
    <t>TN</t>
  </si>
  <si>
    <t>PPV</t>
  </si>
  <si>
    <t>FDR</t>
  </si>
  <si>
    <t>FOR</t>
  </si>
  <si>
    <t>NPV</t>
  </si>
  <si>
    <t>Sn</t>
  </si>
  <si>
    <t>PREV</t>
  </si>
  <si>
    <t>BIAS</t>
  </si>
  <si>
    <t>INFORM</t>
  </si>
  <si>
    <t>BACC</t>
  </si>
  <si>
    <t>wACC</t>
  </si>
  <si>
    <t>G</t>
  </si>
  <si>
    <t>MARK</t>
  </si>
  <si>
    <t>HOC</t>
  </si>
  <si>
    <t>MI</t>
  </si>
  <si>
    <t>MCR</t>
  </si>
  <si>
    <t>DPR</t>
  </si>
  <si>
    <t>LRP</t>
  </si>
  <si>
    <t>LRN</t>
  </si>
  <si>
    <t>OR</t>
  </si>
  <si>
    <t>DP</t>
  </si>
  <si>
    <t>HO</t>
  </si>
  <si>
    <t>HC</t>
  </si>
  <si>
    <t>CKc</t>
  </si>
  <si>
    <t>NIR</t>
  </si>
  <si>
    <t>NER</t>
  </si>
  <si>
    <t>SKEW</t>
  </si>
  <si>
    <t>DET</t>
  </si>
  <si>
    <t>Matthews Correlation Coefficient</t>
  </si>
  <si>
    <t>Cohen's Kappa</t>
  </si>
  <si>
    <t>Normalized Mutual Information</t>
  </si>
  <si>
    <t>F metric</t>
  </si>
  <si>
    <t>Informedness</t>
  </si>
  <si>
    <t>G metric</t>
  </si>
  <si>
    <t>Area-Under-ROC-Curve</t>
  </si>
  <si>
    <t>Detection Rate</t>
  </si>
  <si>
    <t>(Correct) Rejection Rate</t>
  </si>
  <si>
    <t>False Positive Rate</t>
  </si>
  <si>
    <t>False Negative Rate</t>
  </si>
  <si>
    <t># True Classification</t>
  </si>
  <si>
    <t>#Positives</t>
  </si>
  <si>
    <t>#Negatives</t>
  </si>
  <si>
    <t>#False Classification</t>
  </si>
  <si>
    <t># Outcome Positives</t>
  </si>
  <si>
    <t># Outcome Negatives</t>
  </si>
  <si>
    <t># True Positives</t>
  </si>
  <si>
    <t># True Negatives</t>
  </si>
  <si>
    <t># Sample Size</t>
  </si>
  <si>
    <t>Prevalence</t>
  </si>
  <si>
    <t>Determinant</t>
  </si>
  <si>
    <t>(Class) Skewness</t>
  </si>
  <si>
    <t>Cohen's Kappa Chance</t>
  </si>
  <si>
    <t>Joint Entropy</t>
  </si>
  <si>
    <t>Mutual Information</t>
  </si>
  <si>
    <t>False Discovery Rate</t>
  </si>
  <si>
    <t>False Omission Rate</t>
  </si>
  <si>
    <t>Negative Predictive Value</t>
  </si>
  <si>
    <t>Markedness</t>
  </si>
  <si>
    <t>D Prime (d')</t>
  </si>
  <si>
    <t>Discriminant Power</t>
  </si>
  <si>
    <t>Odds Ratio</t>
  </si>
  <si>
    <t>Bias</t>
  </si>
  <si>
    <t>No Information Rate</t>
  </si>
  <si>
    <t>Null Error Rate</t>
  </si>
  <si>
    <t>Mis-classification Rate</t>
  </si>
  <si>
    <t>Outcome Entropy</t>
  </si>
  <si>
    <t>Class Entropy</t>
  </si>
  <si>
    <t>Fβ</t>
  </si>
  <si>
    <t>1st level</t>
  </si>
  <si>
    <t>2nd level</t>
  </si>
  <si>
    <t>3rd level</t>
  </si>
  <si>
    <t>HC*</t>
  </si>
  <si>
    <t>HO*</t>
  </si>
  <si>
    <t>BIAS*</t>
  </si>
  <si>
    <t>PREV*</t>
  </si>
  <si>
    <r>
      <rPr>
        <i/>
        <sz val="18"/>
        <color theme="1"/>
        <rFont val="Calibri"/>
        <family val="2"/>
        <scheme val="minor"/>
      </rPr>
      <t>MARK</t>
    </r>
    <r>
      <rPr>
        <sz val="16"/>
        <color theme="1" tint="0.499984740745262"/>
        <rFont val="Calibri (Gövde)"/>
        <charset val="162"/>
      </rPr>
      <t xml:space="preserve"> ±</t>
    </r>
  </si>
  <si>
    <r>
      <rPr>
        <i/>
        <sz val="18"/>
        <color theme="1"/>
        <rFont val="Calibri"/>
        <family val="2"/>
        <scheme val="minor"/>
      </rPr>
      <t>MCC</t>
    </r>
    <r>
      <rPr>
        <sz val="16"/>
        <color theme="1" tint="0.499984740745262"/>
        <rFont val="Calibri (Gövde)"/>
        <charset val="162"/>
      </rPr>
      <t xml:space="preserve"> ±</t>
    </r>
  </si>
  <si>
    <r>
      <rPr>
        <i/>
        <sz val="18"/>
        <color theme="1"/>
        <rFont val="Calibri"/>
        <family val="2"/>
        <scheme val="minor"/>
      </rPr>
      <t>CK</t>
    </r>
    <r>
      <rPr>
        <sz val="16"/>
        <color theme="1" tint="0.499984740745262"/>
        <rFont val="Calibri (Gövde)"/>
        <charset val="162"/>
      </rPr>
      <t xml:space="preserve"> ±</t>
    </r>
  </si>
  <si>
    <t>[0, ∞)</t>
  </si>
  <si>
    <t>NaN</t>
  </si>
  <si>
    <t>i</t>
  </si>
  <si>
    <t>Area-Under-Precision-Recall Curve</t>
  </si>
  <si>
    <t>Accuracy Barrier</t>
  </si>
  <si>
    <t>I</t>
  </si>
  <si>
    <t>True Positive Rate, Recall, Sensitivity</t>
  </si>
  <si>
    <t>True Negative Rate, Specificity</t>
  </si>
  <si>
    <t>Positive Predictive Value, Precision, Confidence</t>
  </si>
  <si>
    <t>Positive Predictive Value, Precision</t>
  </si>
  <si>
    <t>Balanced Accuracy, Strength</t>
  </si>
  <si>
    <t>Accuracy, Efficiency, Rand Index</t>
  </si>
  <si>
    <t>Markedness,
Delta P, Clayton Skill Score, Predictive Summary Index</t>
  </si>
  <si>
    <t>True Positive Rate, Recall, Sensitivity, Hit Rate</t>
  </si>
  <si>
    <t>True Negative Rate, Specificity, Selectivity</t>
  </si>
  <si>
    <r>
      <t>Weighted Accuracy
(</t>
    </r>
    <r>
      <rPr>
        <i/>
        <sz val="8"/>
        <color theme="1"/>
        <rFont val="Century Gothic"/>
        <family val="1"/>
      </rPr>
      <t>parametric</t>
    </r>
    <r>
      <rPr>
        <sz val="8"/>
        <color theme="1"/>
        <rFont val="Century Gothic"/>
        <family val="1"/>
        <charset val="162"/>
      </rPr>
      <t>)</t>
    </r>
  </si>
  <si>
    <t>IMB</t>
  </si>
  <si>
    <t>(Class) Imbalance</t>
  </si>
  <si>
    <t>False Negative Rate, Miss Rate</t>
  </si>
  <si>
    <t>Positive Likelihood Ratio</t>
  </si>
  <si>
    <t xml:space="preserve"> Negative Likelihood Ratio</t>
  </si>
  <si>
    <t>Negative Likelihood Ratio</t>
  </si>
  <si>
    <t>False Omission Rate, Imprecision</t>
  </si>
  <si>
    <t>[0, 2]</t>
  </si>
  <si>
    <t>AUCROC</t>
  </si>
  <si>
    <t>AUCPR</t>
  </si>
  <si>
    <t>False Positive Rate, Fall-out, False Alarm Rate</t>
  </si>
  <si>
    <t>base</t>
  </si>
  <si>
    <r>
      <rPr>
        <b/>
        <sz val="14"/>
        <rFont val="Calibri"/>
        <family val="2"/>
        <scheme val="minor"/>
      </rPr>
      <t>≪</t>
    </r>
    <r>
      <rPr>
        <sz val="14"/>
        <rFont val="Calibri"/>
        <family val="2"/>
        <scheme val="minor"/>
      </rPr>
      <t>Metrics</t>
    </r>
  </si>
  <si>
    <r>
      <t>Measures</t>
    </r>
    <r>
      <rPr>
        <b/>
        <sz val="14"/>
        <rFont val="Calibri"/>
        <family val="2"/>
        <scheme val="minor"/>
      </rPr>
      <t>≫</t>
    </r>
  </si>
  <si>
    <t>Area-Under-
ROC-Curve</t>
  </si>
  <si>
    <t>Cohen's Kappa, Heidke Skill Scr., Quality Index</t>
  </si>
  <si>
    <t>False Negatives</t>
  </si>
  <si>
    <t>False Positives</t>
  </si>
  <si>
    <t>True Negatives</t>
  </si>
  <si>
    <t>True Positives</t>
  </si>
  <si>
    <t>Base</t>
  </si>
  <si>
    <t>Measures</t>
  </si>
  <si>
    <t>Level</t>
  </si>
  <si>
    <t>Nr.</t>
  </si>
  <si>
    <t>Symbol</t>
  </si>
  <si>
    <t>Alternating Terms</t>
  </si>
  <si>
    <t>Negatives</t>
  </si>
  <si>
    <t>Positives</t>
  </si>
  <si>
    <t>Outcome Negatives</t>
  </si>
  <si>
    <t>Outcome Positives</t>
  </si>
  <si>
    <t>False Classification</t>
  </si>
  <si>
    <t>True Classification</t>
  </si>
  <si>
    <t>Sample Size</t>
  </si>
  <si>
    <t>1st</t>
  </si>
  <si>
    <t>Term</t>
  </si>
  <si>
    <t>Type</t>
  </si>
  <si>
    <t>D Prime</t>
  </si>
  <si>
    <t>(Class) Skew</t>
  </si>
  <si>
    <t>Non-information rate</t>
  </si>
  <si>
    <t>2nd</t>
  </si>
  <si>
    <t>3rd</t>
  </si>
  <si>
    <t>Accuracy</t>
  </si>
  <si>
    <t>False Omission rate</t>
  </si>
  <si>
    <t>Misclassification Rate</t>
  </si>
  <si>
    <t>Positive Predictive Value</t>
  </si>
  <si>
    <t>True Negative Rate</t>
  </si>
  <si>
    <t>True Positive Rate</t>
  </si>
  <si>
    <t>Metric</t>
  </si>
  <si>
    <t>Weighted Accuracy</t>
  </si>
  <si>
    <t>Youden’s index, delta P', Peirce skill score</t>
  </si>
  <si>
    <t>Balanced Accuracy</t>
  </si>
  <si>
    <t>Inverse recall, specificity</t>
  </si>
  <si>
    <t>Precision, confidence</t>
  </si>
  <si>
    <t>Imprecision</t>
  </si>
  <si>
    <t>Efficiency, Rand index</t>
  </si>
  <si>
    <t>Strength</t>
  </si>
  <si>
    <t>G-metric</t>
  </si>
  <si>
    <t>G-mean, Fowlkes-Mallows index</t>
  </si>
  <si>
    <t>Delta P, Clayton skill score, predictive summary index</t>
  </si>
  <si>
    <t>Heidke skill score, quality index</t>
  </si>
  <si>
    <t>F-score, F-measure, positive specific agreement</t>
  </si>
  <si>
    <t>Parametric</t>
  </si>
  <si>
    <t>Variant</t>
  </si>
  <si>
    <t>Phi correlation coefficient, Cohen’s index, Yule phi</t>
  </si>
  <si>
    <t>Recall, sensitivity, hit rate, recognition rate</t>
  </si>
  <si>
    <t>Complement</t>
  </si>
  <si>
    <t>Dual</t>
  </si>
  <si>
    <t>Area-Under-Precision-Recall-Curve</t>
  </si>
  <si>
    <t>Indicator</t>
  </si>
  <si>
    <t>Geometry</t>
  </si>
  <si>
    <t>Mixed</t>
  </si>
  <si>
    <t>Column</t>
  </si>
  <si>
    <t>Row</t>
  </si>
  <si>
    <r>
      <t>(</t>
    </r>
    <r>
      <rPr>
        <i/>
        <sz val="12"/>
        <color theme="1"/>
        <rFont val="Times New Roman"/>
        <family val="1"/>
      </rPr>
      <t>pronounced</t>
    </r>
    <r>
      <rPr>
        <sz val="12"/>
        <color theme="1"/>
        <rFont val="Times New Roman"/>
        <family val="1"/>
      </rPr>
      <t xml:space="preserve"> "d-prime")</t>
    </r>
  </si>
  <si>
    <t>Fall-out</t>
  </si>
  <si>
    <t>Miss rate</t>
  </si>
  <si>
    <t>Integer</t>
  </si>
  <si>
    <t>Real</t>
  </si>
  <si>
    <t>Number</t>
  </si>
  <si>
    <t>Range</t>
  </si>
  <si>
    <t>(-∞, ∞)</t>
  </si>
  <si>
    <t>[-1, 1]</t>
  </si>
  <si>
    <t>[0, 1]</t>
  </si>
  <si>
    <t>Categorical</t>
  </si>
  <si>
    <t>Graphical</t>
  </si>
  <si>
    <t>Hit, Power, (1-α)</t>
  </si>
  <si>
    <t>Correct rejection, (1-β)</t>
  </si>
  <si>
    <t>Type I error, (α), overestimate</t>
  </si>
  <si>
    <t>Type II error, (β), underestimate, miss, omission</t>
  </si>
  <si>
    <t>[0.5, 1]</t>
  </si>
  <si>
    <t>ACC, NIR</t>
  </si>
  <si>
    <t>High-level summary function</t>
  </si>
  <si>
    <t>Z differences</t>
  </si>
  <si>
    <t>Ratio</t>
  </si>
  <si>
    <t>BIAS, 1 − BIAS</t>
  </si>
  <si>
    <t>Log differences</t>
  </si>
  <si>
    <t>Total</t>
  </si>
  <si>
    <t>Arithmetic mean</t>
  </si>
  <si>
    <t>Geometric mean</t>
  </si>
  <si>
    <t>Weighted mean</t>
  </si>
  <si>
    <t>Arithmetic mean, geometric mean, joint, min, max</t>
  </si>
  <si>
    <t>Harmonic mean</t>
  </si>
  <si>
    <t>High-level dependencies</t>
  </si>
  <si>
    <t>Type I</t>
  </si>
  <si>
    <t>Type II</t>
  </si>
  <si>
    <t>I/II</t>
  </si>
  <si>
    <r>
      <rPr>
        <b/>
        <sz val="13"/>
        <rFont val="Calibri"/>
        <family val="2"/>
        <scheme val="minor"/>
      </rPr>
      <t>≪</t>
    </r>
    <r>
      <rPr>
        <sz val="13"/>
        <rFont val="Calibri"/>
        <family val="2"/>
        <scheme val="minor"/>
      </rPr>
      <t>Metrics</t>
    </r>
  </si>
  <si>
    <r>
      <t>Measures</t>
    </r>
    <r>
      <rPr>
        <b/>
        <sz val="13"/>
        <rFont val="Calibri"/>
        <family val="2"/>
        <scheme val="minor"/>
      </rPr>
      <t>≫</t>
    </r>
  </si>
  <si>
    <t># False Positives, 
Type I error, (α),
Overestimate</t>
  </si>
  <si>
    <t># False Negatives,
Type II error, (β),
Underestimate</t>
  </si>
  <si>
    <t># True Negatives,
Correct rejection,
(1-β)</t>
  </si>
  <si>
    <t># True Positives,
Hit, Power, (1-α)</t>
  </si>
  <si>
    <t>ACC, MCR, DR, CRR</t>
  </si>
  <si>
    <t>PPV, FDR, FOR, NPV</t>
  </si>
  <si>
    <t>HOC, MI</t>
  </si>
  <si>
    <t>PREV, NER, SKEW, IMB, NIR</t>
  </si>
  <si>
    <r>
      <t>DET</t>
    </r>
    <r>
      <rPr>
        <i/>
        <sz val="18"/>
        <color theme="1"/>
        <rFont val="Calibri"/>
        <family val="2"/>
        <scheme val="minor"/>
      </rPr>
      <t>, CKc</t>
    </r>
  </si>
  <si>
    <t>DPR, LRP, LRN</t>
  </si>
  <si>
    <r>
      <rPr>
        <b/>
        <sz val="11"/>
        <rFont val="Calibri"/>
        <family val="2"/>
        <scheme val="minor"/>
      </rPr>
      <t>≪</t>
    </r>
    <r>
      <rPr>
        <sz val="11"/>
        <rFont val="Calibri"/>
        <family val="2"/>
        <scheme val="minor"/>
      </rPr>
      <t>Metrics</t>
    </r>
  </si>
  <si>
    <r>
      <t>Measures</t>
    </r>
    <r>
      <rPr>
        <b/>
        <sz val="11"/>
        <rFont val="Calibri"/>
        <family val="2"/>
        <scheme val="minor"/>
      </rPr>
      <t>≫</t>
    </r>
  </si>
  <si>
    <t>TPR, FNR,
FPR, TNR</t>
  </si>
  <si>
    <t>Metrics</t>
  </si>
  <si>
    <r>
      <rPr>
        <b/>
        <sz val="16"/>
        <color theme="1"/>
        <rFont val="Times New Roman"/>
        <family val="1"/>
      </rPr>
      <t>Column</t>
    </r>
    <r>
      <rPr>
        <sz val="16"/>
        <color theme="1"/>
        <rFont val="Times New Roman"/>
        <family val="1"/>
      </rPr>
      <t xml:space="preserve"> Geometry</t>
    </r>
  </si>
  <si>
    <r>
      <rPr>
        <b/>
        <sz val="16"/>
        <color theme="1"/>
        <rFont val="Times New Roman"/>
        <family val="1"/>
      </rPr>
      <t>Row</t>
    </r>
    <r>
      <rPr>
        <sz val="16"/>
        <color theme="1"/>
        <rFont val="Times New Roman"/>
        <family val="1"/>
      </rPr>
      <t xml:space="preserve"> geometry</t>
    </r>
  </si>
  <si>
    <r>
      <rPr>
        <b/>
        <sz val="16"/>
        <color theme="1"/>
        <rFont val="Times New Roman"/>
        <family val="1"/>
      </rPr>
      <t>1st Level</t>
    </r>
    <r>
      <rPr>
        <sz val="16"/>
        <color theme="1"/>
        <rFont val="Times New Roman"/>
        <family val="1"/>
      </rPr>
      <t xml:space="preserve"> Measures</t>
    </r>
  </si>
  <si>
    <r>
      <rPr>
        <b/>
        <sz val="16"/>
        <color theme="1"/>
        <rFont val="Times New Roman"/>
        <family val="1"/>
      </rPr>
      <t>Base</t>
    </r>
    <r>
      <rPr>
        <sz val="16"/>
        <color theme="1"/>
        <rFont val="Times New Roman"/>
        <family val="1"/>
      </rPr>
      <t xml:space="preserve"> Measures</t>
    </r>
  </si>
  <si>
    <t>PPV, FDR,
FOR, NPV,
MARK</t>
  </si>
  <si>
    <t># False Positives
(Type I error)</t>
  </si>
  <si>
    <t># False Negatives
(Type II error)</t>
  </si>
  <si>
    <t>LogLoss</t>
  </si>
  <si>
    <t>MSE</t>
  </si>
  <si>
    <t>Mean Squared Error</t>
  </si>
  <si>
    <t>(Cross-Entropy)</t>
  </si>
  <si>
    <t>Cross Entropy, Relative Entropy</t>
  </si>
  <si>
    <t>[0, ∞) I/II</t>
  </si>
  <si>
    <t xml:space="preserve">     G</t>
  </si>
  <si>
    <t>NaN I/II</t>
  </si>
  <si>
    <t xml:space="preserve">  I / II</t>
  </si>
  <si>
    <t>[0, ∞) NaN I/II</t>
  </si>
  <si>
    <t>[0, 2] I/II</t>
  </si>
  <si>
    <r>
      <t>INFORM*</t>
    </r>
    <r>
      <rPr>
        <sz val="11"/>
        <color theme="1" tint="0.499984740745262"/>
        <rFont val="Calibri (Gövde)"/>
        <charset val="162"/>
      </rPr>
      <t xml:space="preserve"> NaN</t>
    </r>
  </si>
  <si>
    <t>F metric with weight β (parametric)</t>
  </si>
  <si>
    <t>F1, F metric</t>
  </si>
  <si>
    <r>
      <t xml:space="preserve">with  weight 0.5 (emphasize </t>
    </r>
    <r>
      <rPr>
        <i/>
        <sz val="8"/>
        <color theme="1"/>
        <rFont val="Century Gothic"/>
        <family val="1"/>
      </rPr>
      <t>TPR or Type II error</t>
    </r>
    <r>
      <rPr>
        <sz val="8"/>
        <color theme="1"/>
        <rFont val="Century Gothic"/>
        <family val="1"/>
        <charset val="162"/>
      </rPr>
      <t>)</t>
    </r>
  </si>
  <si>
    <r>
      <t xml:space="preserve">with weight 2 (emphasize </t>
    </r>
    <r>
      <rPr>
        <i/>
        <sz val="8"/>
        <color theme="1"/>
        <rFont val="Century Gothic"/>
        <family val="1"/>
      </rPr>
      <t>PPV</t>
    </r>
    <r>
      <rPr>
        <sz val="8"/>
        <color theme="1"/>
        <rFont val="Century Gothic"/>
        <family val="1"/>
        <charset val="162"/>
      </rPr>
      <t xml:space="preserve"> or Type I error)</t>
    </r>
  </si>
  <si>
    <t>Youden’s Index, Delta P', Peirce Skill Score</t>
  </si>
  <si>
    <r>
      <rPr>
        <i/>
        <sz val="18"/>
        <color theme="1"/>
        <rFont val="Calibri"/>
        <family val="2"/>
        <scheme val="minor"/>
      </rPr>
      <t>INFORM</t>
    </r>
    <r>
      <rPr>
        <sz val="16"/>
        <color theme="1" tint="0.499984740745262"/>
        <rFont val="Calibri (Gövde)"/>
        <charset val="162"/>
      </rPr>
      <t>±</t>
    </r>
  </si>
  <si>
    <t>Category</t>
  </si>
  <si>
    <t>Derivatives</t>
  </si>
  <si>
    <r>
      <rPr>
        <i/>
        <sz val="11"/>
        <color theme="1"/>
        <rFont val="Calibri"/>
        <family val="2"/>
        <scheme val="minor"/>
      </rPr>
      <t>MAE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RMSE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MxAE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MdAE</t>
    </r>
  </si>
  <si>
    <t>sMAPE</t>
  </si>
  <si>
    <t>Symmetric Mean Absolute Percentage Error</t>
  </si>
  <si>
    <t>Mis-classification Rate, 0-1 Loss</t>
  </si>
  <si>
    <t>g1</t>
  </si>
  <si>
    <t>g2</t>
  </si>
  <si>
    <t>p1</t>
  </si>
  <si>
    <t>p2</t>
  </si>
  <si>
    <t>INFORM, BACC, G, wACC</t>
  </si>
  <si>
    <t>PREV, NER,
NIR, IMB, SKEW,
DPR, LRP, LRN</t>
  </si>
  <si>
    <t>HOC, MI, nMI</t>
  </si>
  <si>
    <t>(arithmetric) geometric, joint, min, max</t>
  </si>
  <si>
    <r>
      <rPr>
        <u/>
        <sz val="8"/>
        <color theme="1"/>
        <rFont val="Century Gothic"/>
        <family val="2"/>
      </rPr>
      <t>Parametric</t>
    </r>
    <r>
      <rPr>
        <sz val="8"/>
        <color theme="1"/>
        <rFont val="Century Gothic"/>
        <family val="1"/>
      </rPr>
      <t>:
F-metric
with weight β</t>
    </r>
  </si>
  <si>
    <r>
      <t>MCC, CK, F1 (F0.5, F2</t>
    </r>
    <r>
      <rPr>
        <sz val="18"/>
        <color theme="1"/>
        <rFont val="Calibri"/>
        <family val="2"/>
        <scheme val="minor"/>
      </rPr>
      <t xml:space="preserve">, </t>
    </r>
    <r>
      <rPr>
        <i/>
        <sz val="18"/>
        <color theme="1"/>
        <rFont val="Calibri"/>
        <family val="2"/>
        <scheme val="minor"/>
      </rPr>
      <t>Fβ), ACC, MCR, DR, CRR</t>
    </r>
  </si>
  <si>
    <t>Probabilistic Error/Loss</t>
  </si>
  <si>
    <t>MAPE</t>
  </si>
  <si>
    <t>Mean Absolute Percentage Error</t>
  </si>
  <si>
    <t>Mean</t>
  </si>
  <si>
    <t>Absolute</t>
  </si>
  <si>
    <t>Percentage</t>
  </si>
  <si>
    <t>Error</t>
  </si>
  <si>
    <t>MdAPE</t>
  </si>
  <si>
    <t>Median Absolute Percentage Error</t>
  </si>
  <si>
    <t>Median</t>
  </si>
  <si>
    <t>Symmetric</t>
  </si>
  <si>
    <t>MdRAE</t>
  </si>
  <si>
    <t>Median Relative Absolute Error</t>
  </si>
  <si>
    <t>Relative</t>
  </si>
  <si>
    <t>GMRAE</t>
  </si>
  <si>
    <t>Geometric Mean Relative Absolute Error</t>
  </si>
  <si>
    <t>Geometric</t>
  </si>
  <si>
    <t>MASE</t>
  </si>
  <si>
    <t>Mean Absolute Scaled Error</t>
  </si>
  <si>
    <t>Scaled</t>
  </si>
  <si>
    <t>RMSSE</t>
  </si>
  <si>
    <t>Root Mean Squared Scaled Error</t>
  </si>
  <si>
    <t>Root</t>
  </si>
  <si>
    <t>MdASE</t>
  </si>
  <si>
    <t>Median Absolute Scaled Error</t>
  </si>
  <si>
    <t>Mean Square Error</t>
  </si>
  <si>
    <t>RMSE</t>
  </si>
  <si>
    <t>Root Mean Square Error</t>
  </si>
  <si>
    <t>MAE</t>
  </si>
  <si>
    <t>Mean Absolute Error</t>
  </si>
  <si>
    <t>MdAE</t>
  </si>
  <si>
    <t>Median Absolute Error</t>
  </si>
  <si>
    <t>RMSPE</t>
  </si>
  <si>
    <t>Root Mean Square Percentage Error</t>
  </si>
  <si>
    <t>RMdSPE</t>
  </si>
  <si>
    <t>Root Median Square Percentage Error</t>
  </si>
  <si>
    <t>MRAE</t>
  </si>
  <si>
    <t>Mean Relative Absolute Error</t>
  </si>
  <si>
    <t>ME</t>
  </si>
  <si>
    <t>Mean Error</t>
  </si>
  <si>
    <t>MPE</t>
  </si>
  <si>
    <t>Mean Percentage Error</t>
  </si>
  <si>
    <t>RAE</t>
  </si>
  <si>
    <t>Relative Absolute Error</t>
  </si>
  <si>
    <t>GMAE</t>
  </si>
  <si>
    <t>Geometric Mean Absolute Error</t>
  </si>
  <si>
    <t>SSE</t>
  </si>
  <si>
    <t>Sum</t>
  </si>
  <si>
    <t>MdSE</t>
  </si>
  <si>
    <t>Median Squared Error</t>
  </si>
  <si>
    <t>Square(d)</t>
  </si>
  <si>
    <t>X</t>
  </si>
  <si>
    <t>MxAE</t>
  </si>
  <si>
    <t>Maximum Absolute Error</t>
  </si>
  <si>
    <t>Max</t>
  </si>
  <si>
    <t>Subtype</t>
  </si>
  <si>
    <t>Canonical and Partial 2nd Level Measures</t>
  </si>
  <si>
    <t>Performance Metrics</t>
  </si>
  <si>
    <t>Entropic Instruments</t>
  </si>
  <si>
    <t>class label / prediction score values</t>
  </si>
  <si>
    <r>
      <rPr>
        <b/>
        <i/>
        <sz val="11"/>
        <color theme="1"/>
        <rFont val="Times New Roman"/>
        <family val="1"/>
      </rPr>
      <t>c</t>
    </r>
    <r>
      <rPr>
        <b/>
        <sz val="11"/>
        <color theme="1"/>
        <rFont val="Times New Roman"/>
        <family val="1"/>
      </rPr>
      <t xml:space="preserve"> negative</t>
    </r>
  </si>
  <si>
    <r>
      <t>min (</t>
    </r>
    <r>
      <rPr>
        <b/>
        <i/>
        <sz val="11"/>
        <color theme="1"/>
        <rFont val="Times New Roman"/>
        <family val="1"/>
      </rPr>
      <t>p</t>
    </r>
    <r>
      <rPr>
        <b/>
        <i/>
        <vertAlign val="subscript"/>
        <sz val="11"/>
        <color theme="1"/>
        <rFont val="Times New Roman"/>
        <family val="1"/>
      </rPr>
      <t>i</t>
    </r>
    <r>
      <rPr>
        <b/>
        <sz val="11"/>
        <color theme="1"/>
        <rFont val="Times New Roman"/>
        <family val="1"/>
      </rPr>
      <t>)</t>
    </r>
  </si>
  <si>
    <t>threshold (θ)</t>
  </si>
  <si>
    <r>
      <rPr>
        <b/>
        <i/>
        <sz val="11"/>
        <color theme="1"/>
        <rFont val="Times New Roman"/>
        <family val="1"/>
      </rPr>
      <t>c</t>
    </r>
    <r>
      <rPr>
        <b/>
        <sz val="11"/>
        <color theme="1"/>
        <rFont val="Times New Roman"/>
        <family val="1"/>
      </rPr>
      <t xml:space="preserve"> positive</t>
    </r>
  </si>
  <si>
    <r>
      <t>max (</t>
    </r>
    <r>
      <rPr>
        <b/>
        <i/>
        <sz val="11"/>
        <color theme="1"/>
        <rFont val="Times New Roman"/>
        <family val="1"/>
      </rPr>
      <t>p</t>
    </r>
    <r>
      <rPr>
        <b/>
        <i/>
        <vertAlign val="subscript"/>
        <sz val="11"/>
        <color theme="1"/>
        <rFont val="Times New Roman"/>
        <family val="1"/>
      </rPr>
      <t>i</t>
    </r>
    <r>
      <rPr>
        <b/>
        <sz val="11"/>
        <color theme="1"/>
        <rFont val="Times New Roman"/>
        <family val="1"/>
      </rPr>
      <t>)</t>
    </r>
  </si>
  <si>
    <t>Ground Truth</t>
  </si>
  <si>
    <t>Prediction</t>
  </si>
  <si>
    <t>Manual</t>
  </si>
  <si>
    <t>Hide</t>
  </si>
  <si>
    <t>Random</t>
  </si>
  <si>
    <r>
      <rPr>
        <i/>
        <sz val="11"/>
        <color theme="1" tint="0.499984740745262"/>
        <rFont val="Times New Roman"/>
        <family val="1"/>
      </rPr>
      <t>MAPE</t>
    </r>
    <r>
      <rPr>
        <sz val="11"/>
        <color theme="1" tint="0.499984740745262"/>
        <rFont val="Times New Roman"/>
        <family val="1"/>
      </rPr>
      <t>(</t>
    </r>
    <r>
      <rPr>
        <i/>
        <sz val="11"/>
        <color theme="1" tint="0.499984740745262"/>
        <rFont val="Times New Roman"/>
        <family val="1"/>
      </rPr>
      <t>c</t>
    </r>
    <r>
      <rPr>
        <sz val="11"/>
        <color theme="1" tint="0.499984740745262"/>
        <rFont val="Times New Roman"/>
        <family val="1"/>
      </rPr>
      <t xml:space="preserve">, </t>
    </r>
    <r>
      <rPr>
        <i/>
        <sz val="11"/>
        <color theme="1" tint="0.499984740745262"/>
        <rFont val="Times New Roman"/>
        <family val="1"/>
      </rPr>
      <t>p</t>
    </r>
    <r>
      <rPr>
        <sz val="11"/>
        <color theme="1" tint="0.499984740745262"/>
        <rFont val="Times New Roman"/>
        <family val="1"/>
      </rPr>
      <t>)</t>
    </r>
  </si>
  <si>
    <t>nsMAPE</t>
  </si>
  <si>
    <t>Current</t>
  </si>
  <si>
    <t>Ground-Truth</t>
  </si>
  <si>
    <r>
      <t xml:space="preserve">        c</t>
    </r>
    <r>
      <rPr>
        <i/>
        <vertAlign val="subscript"/>
        <sz val="11"/>
        <color theme="1"/>
        <rFont val="Times New Roman"/>
        <family val="1"/>
      </rPr>
      <t>i</t>
    </r>
  </si>
  <si>
    <r>
      <t>c</t>
    </r>
    <r>
      <rPr>
        <i/>
        <vertAlign val="subscript"/>
        <sz val="11"/>
        <color theme="1"/>
        <rFont val="Times New Roman"/>
        <family val="1"/>
      </rPr>
      <t>i</t>
    </r>
  </si>
  <si>
    <r>
      <t xml:space="preserve">    p</t>
    </r>
    <r>
      <rPr>
        <i/>
        <vertAlign val="subscript"/>
        <sz val="11"/>
        <color theme="1"/>
        <rFont val="Times New Roman"/>
        <family val="1"/>
      </rPr>
      <t>i</t>
    </r>
  </si>
  <si>
    <r>
      <t>p</t>
    </r>
    <r>
      <rPr>
        <i/>
        <vertAlign val="subscript"/>
        <sz val="11"/>
        <color theme="1"/>
        <rFont val="Times New Roman"/>
        <family val="1"/>
      </rPr>
      <t>i</t>
    </r>
  </si>
  <si>
    <t>Confusion</t>
  </si>
  <si>
    <t>Input Method</t>
  </si>
  <si>
    <t>Ï</t>
  </si>
  <si>
    <t>RSE</t>
  </si>
  <si>
    <t>Relative Squared Error</t>
  </si>
  <si>
    <t>Sum Squared Error</t>
  </si>
  <si>
    <t>nMSE</t>
  </si>
  <si>
    <t>Normalized</t>
  </si>
  <si>
    <t>Also known as Brier score</t>
  </si>
  <si>
    <t>Percentage (Symmetric)</t>
  </si>
  <si>
    <r>
      <t>mean</t>
    </r>
    <r>
      <rPr>
        <i/>
        <vertAlign val="subscript"/>
        <sz val="11"/>
        <color theme="1"/>
        <rFont val="Times New Roman"/>
        <family val="1"/>
      </rPr>
      <t>i</t>
    </r>
    <r>
      <rPr>
        <vertAlign val="subscript"/>
        <sz val="11"/>
        <color theme="1"/>
        <rFont val="Times New Roman"/>
        <family val="1"/>
      </rPr>
      <t xml:space="preserve"> = 1..</t>
    </r>
    <r>
      <rPr>
        <i/>
        <vertAlign val="subscript"/>
        <sz val="11"/>
        <color theme="1"/>
        <rFont val="Times New Roman"/>
        <family val="1"/>
      </rPr>
      <t>Sn</t>
    </r>
    <r>
      <rPr>
        <sz val="11"/>
        <color theme="1"/>
        <rFont val="Times New Roman"/>
        <family val="1"/>
      </rPr>
      <t xml:space="preserve"> </t>
    </r>
    <r>
      <rPr>
        <i/>
        <sz val="11"/>
        <color theme="1"/>
        <rFont val="Times New Roman"/>
        <family val="1"/>
      </rPr>
      <t>e</t>
    </r>
    <r>
      <rPr>
        <i/>
        <vertAlign val="subscript"/>
        <sz val="11"/>
        <color theme="1"/>
        <rFont val="Times New Roman"/>
        <family val="1"/>
      </rPr>
      <t>i</t>
    </r>
  </si>
  <si>
    <r>
      <t>mean</t>
    </r>
    <r>
      <rPr>
        <i/>
        <vertAlign val="subscript"/>
        <sz val="11"/>
        <color theme="1"/>
        <rFont val="Times New Roman"/>
        <family val="1"/>
      </rPr>
      <t>i</t>
    </r>
    <r>
      <rPr>
        <vertAlign val="subscript"/>
        <sz val="11"/>
        <color theme="1"/>
        <rFont val="Times New Roman"/>
        <family val="1"/>
      </rPr>
      <t xml:space="preserve"> = 1..</t>
    </r>
    <r>
      <rPr>
        <i/>
        <vertAlign val="subscript"/>
        <sz val="11"/>
        <color theme="1"/>
        <rFont val="Times New Roman"/>
        <family val="1"/>
      </rPr>
      <t>Sn</t>
    </r>
    <r>
      <rPr>
        <sz val="11"/>
        <color theme="1"/>
        <rFont val="Times New Roman"/>
        <family val="1"/>
      </rPr>
      <t xml:space="preserve"> </t>
    </r>
    <r>
      <rPr>
        <i/>
        <sz val="11"/>
        <color theme="1"/>
        <rFont val="Times New Roman"/>
        <family val="1"/>
      </rPr>
      <t>e</t>
    </r>
    <r>
      <rPr>
        <i/>
        <vertAlign val="subscript"/>
        <sz val="11"/>
        <color theme="1"/>
        <rFont val="Times New Roman"/>
        <family val="1"/>
      </rPr>
      <t>i</t>
    </r>
    <r>
      <rPr>
        <i/>
        <vertAlign val="superscript"/>
        <sz val="11"/>
        <color theme="1"/>
        <rFont val="Times New Roman"/>
        <family val="1"/>
      </rPr>
      <t>2</t>
    </r>
  </si>
  <si>
    <r>
      <t>median</t>
    </r>
    <r>
      <rPr>
        <i/>
        <vertAlign val="subscript"/>
        <sz val="11"/>
        <color theme="1"/>
        <rFont val="Times New Roman"/>
        <family val="1"/>
      </rPr>
      <t>i</t>
    </r>
    <r>
      <rPr>
        <vertAlign val="subscript"/>
        <sz val="11"/>
        <color theme="1"/>
        <rFont val="Times New Roman"/>
        <family val="1"/>
      </rPr>
      <t xml:space="preserve"> = 1..</t>
    </r>
    <r>
      <rPr>
        <i/>
        <vertAlign val="subscript"/>
        <sz val="11"/>
        <color theme="1"/>
        <rFont val="Times New Roman"/>
        <family val="1"/>
      </rPr>
      <t>Sn</t>
    </r>
    <r>
      <rPr>
        <sz val="11"/>
        <color theme="1"/>
        <rFont val="Times New Roman"/>
        <family val="1"/>
      </rPr>
      <t xml:space="preserve"> </t>
    </r>
    <r>
      <rPr>
        <i/>
        <sz val="11"/>
        <color theme="1"/>
        <rFont val="Times New Roman"/>
        <family val="1"/>
      </rPr>
      <t>e</t>
    </r>
    <r>
      <rPr>
        <i/>
        <vertAlign val="subscript"/>
        <sz val="11"/>
        <color theme="1"/>
        <rFont val="Times New Roman"/>
        <family val="1"/>
      </rPr>
      <t>i</t>
    </r>
    <r>
      <rPr>
        <i/>
        <vertAlign val="superscript"/>
        <sz val="11"/>
        <color theme="1"/>
        <rFont val="Times New Roman"/>
        <family val="1"/>
      </rPr>
      <t>2</t>
    </r>
  </si>
  <si>
    <r>
      <t>sum</t>
    </r>
    <r>
      <rPr>
        <i/>
        <vertAlign val="subscript"/>
        <sz val="11"/>
        <color theme="1"/>
        <rFont val="Times New Roman"/>
        <family val="1"/>
      </rPr>
      <t>i</t>
    </r>
    <r>
      <rPr>
        <vertAlign val="subscript"/>
        <sz val="11"/>
        <color theme="1"/>
        <rFont val="Times New Roman"/>
        <family val="1"/>
      </rPr>
      <t xml:space="preserve"> = 1..</t>
    </r>
    <r>
      <rPr>
        <i/>
        <vertAlign val="subscript"/>
        <sz val="11"/>
        <color theme="1"/>
        <rFont val="Times New Roman"/>
        <family val="1"/>
      </rPr>
      <t>Sn</t>
    </r>
    <r>
      <rPr>
        <sz val="11"/>
        <color theme="1"/>
        <rFont val="Times New Roman"/>
        <family val="1"/>
      </rPr>
      <t xml:space="preserve"> </t>
    </r>
    <r>
      <rPr>
        <i/>
        <sz val="11"/>
        <color theme="1"/>
        <rFont val="Times New Roman"/>
        <family val="1"/>
      </rPr>
      <t>e</t>
    </r>
    <r>
      <rPr>
        <i/>
        <vertAlign val="subscript"/>
        <sz val="11"/>
        <color theme="1"/>
        <rFont val="Times New Roman"/>
        <family val="1"/>
      </rPr>
      <t>i</t>
    </r>
    <r>
      <rPr>
        <i/>
        <vertAlign val="superscript"/>
        <sz val="11"/>
        <color theme="1"/>
        <rFont val="Times New Roman"/>
        <family val="1"/>
      </rPr>
      <t>2</t>
    </r>
  </si>
  <si>
    <r>
      <t>√mean</t>
    </r>
    <r>
      <rPr>
        <i/>
        <vertAlign val="subscript"/>
        <sz val="11"/>
        <color theme="1"/>
        <rFont val="Times New Roman"/>
        <family val="1"/>
      </rPr>
      <t>i</t>
    </r>
    <r>
      <rPr>
        <vertAlign val="subscript"/>
        <sz val="11"/>
        <color theme="1"/>
        <rFont val="Times New Roman"/>
        <family val="1"/>
      </rPr>
      <t xml:space="preserve"> = 1..</t>
    </r>
    <r>
      <rPr>
        <i/>
        <vertAlign val="subscript"/>
        <sz val="11"/>
        <color theme="1"/>
        <rFont val="Times New Roman"/>
        <family val="1"/>
      </rPr>
      <t>Sn</t>
    </r>
    <r>
      <rPr>
        <sz val="11"/>
        <color theme="1"/>
        <rFont val="Times New Roman"/>
        <family val="1"/>
      </rPr>
      <t xml:space="preserve"> </t>
    </r>
    <r>
      <rPr>
        <i/>
        <sz val="11"/>
        <color theme="1"/>
        <rFont val="Times New Roman"/>
        <family val="1"/>
      </rPr>
      <t>e</t>
    </r>
    <r>
      <rPr>
        <i/>
        <vertAlign val="subscript"/>
        <sz val="11"/>
        <color theme="1"/>
        <rFont val="Times New Roman"/>
        <family val="1"/>
      </rPr>
      <t>i</t>
    </r>
    <r>
      <rPr>
        <i/>
        <vertAlign val="superscript"/>
        <sz val="11"/>
        <color theme="1"/>
        <rFont val="Times New Roman"/>
        <family val="1"/>
      </rPr>
      <t>2</t>
    </r>
  </si>
  <si>
    <r>
      <t>mean</t>
    </r>
    <r>
      <rPr>
        <i/>
        <vertAlign val="subscript"/>
        <sz val="11"/>
        <color theme="1"/>
        <rFont val="Times New Roman"/>
        <family val="1"/>
      </rPr>
      <t>i</t>
    </r>
    <r>
      <rPr>
        <vertAlign val="subscript"/>
        <sz val="11"/>
        <color theme="1"/>
        <rFont val="Times New Roman"/>
        <family val="1"/>
      </rPr>
      <t xml:space="preserve"> = 1..</t>
    </r>
    <r>
      <rPr>
        <i/>
        <vertAlign val="subscript"/>
        <sz val="11"/>
        <color theme="1"/>
        <rFont val="Times New Roman"/>
        <family val="1"/>
      </rPr>
      <t>Sn</t>
    </r>
    <r>
      <rPr>
        <sz val="11"/>
        <color theme="1"/>
        <rFont val="Times New Roman"/>
        <family val="1"/>
      </rPr>
      <t xml:space="preserve"> %</t>
    </r>
    <r>
      <rPr>
        <i/>
        <sz val="11"/>
        <color theme="1"/>
        <rFont val="Times New Roman"/>
        <family val="1"/>
      </rPr>
      <t>e</t>
    </r>
    <r>
      <rPr>
        <i/>
        <vertAlign val="subscript"/>
        <sz val="11"/>
        <color theme="1"/>
        <rFont val="Times New Roman"/>
        <family val="1"/>
      </rPr>
      <t>i</t>
    </r>
  </si>
  <si>
    <r>
      <t>mean</t>
    </r>
    <r>
      <rPr>
        <i/>
        <vertAlign val="subscript"/>
        <sz val="11"/>
        <color theme="1"/>
        <rFont val="Times New Roman"/>
        <family val="1"/>
      </rPr>
      <t>i</t>
    </r>
    <r>
      <rPr>
        <vertAlign val="subscript"/>
        <sz val="11"/>
        <color theme="1"/>
        <rFont val="Times New Roman"/>
        <family val="1"/>
      </rPr>
      <t xml:space="preserve"> = 1..</t>
    </r>
    <r>
      <rPr>
        <i/>
        <vertAlign val="subscript"/>
        <sz val="11"/>
        <color theme="1"/>
        <rFont val="Times New Roman"/>
        <family val="1"/>
      </rPr>
      <t>Sn</t>
    </r>
    <r>
      <rPr>
        <sz val="11"/>
        <color theme="1"/>
        <rFont val="Times New Roman"/>
        <family val="1"/>
      </rPr>
      <t xml:space="preserve"> | %</t>
    </r>
    <r>
      <rPr>
        <i/>
        <sz val="11"/>
        <color theme="1"/>
        <rFont val="Times New Roman"/>
        <family val="1"/>
      </rPr>
      <t>e</t>
    </r>
    <r>
      <rPr>
        <i/>
        <vertAlign val="subscript"/>
        <sz val="11"/>
        <color theme="1"/>
        <rFont val="Times New Roman"/>
        <family val="1"/>
      </rPr>
      <t xml:space="preserve">i </t>
    </r>
    <r>
      <rPr>
        <sz val="11"/>
        <color theme="1"/>
        <rFont val="Times New Roman"/>
        <family val="1"/>
      </rPr>
      <t>|</t>
    </r>
  </si>
  <si>
    <r>
      <t>median</t>
    </r>
    <r>
      <rPr>
        <i/>
        <vertAlign val="subscript"/>
        <sz val="11"/>
        <color theme="1"/>
        <rFont val="Times New Roman"/>
        <family val="1"/>
      </rPr>
      <t>i</t>
    </r>
    <r>
      <rPr>
        <vertAlign val="subscript"/>
        <sz val="11"/>
        <color theme="1"/>
        <rFont val="Times New Roman"/>
        <family val="1"/>
      </rPr>
      <t xml:space="preserve"> = 1..</t>
    </r>
    <r>
      <rPr>
        <i/>
        <vertAlign val="subscript"/>
        <sz val="11"/>
        <color theme="1"/>
        <rFont val="Times New Roman"/>
        <family val="1"/>
      </rPr>
      <t>Sn</t>
    </r>
    <r>
      <rPr>
        <sz val="11"/>
        <color theme="1"/>
        <rFont val="Times New Roman"/>
        <family val="1"/>
      </rPr>
      <t xml:space="preserve"> | %</t>
    </r>
    <r>
      <rPr>
        <i/>
        <sz val="11"/>
        <color theme="1"/>
        <rFont val="Times New Roman"/>
        <family val="1"/>
      </rPr>
      <t>e</t>
    </r>
    <r>
      <rPr>
        <i/>
        <vertAlign val="subscript"/>
        <sz val="11"/>
        <color theme="1"/>
        <rFont val="Times New Roman"/>
        <family val="1"/>
      </rPr>
      <t xml:space="preserve">i </t>
    </r>
    <r>
      <rPr>
        <sz val="11"/>
        <color theme="1"/>
        <rFont val="Times New Roman"/>
        <family val="1"/>
      </rPr>
      <t>|</t>
    </r>
  </si>
  <si>
    <r>
      <t>√mean</t>
    </r>
    <r>
      <rPr>
        <i/>
        <vertAlign val="subscript"/>
        <sz val="11"/>
        <color theme="1"/>
        <rFont val="Times New Roman"/>
        <family val="1"/>
      </rPr>
      <t>i</t>
    </r>
    <r>
      <rPr>
        <vertAlign val="subscript"/>
        <sz val="11"/>
        <color theme="1"/>
        <rFont val="Times New Roman"/>
        <family val="1"/>
      </rPr>
      <t xml:space="preserve"> = 1..</t>
    </r>
    <r>
      <rPr>
        <i/>
        <vertAlign val="subscript"/>
        <sz val="11"/>
        <color theme="1"/>
        <rFont val="Times New Roman"/>
        <family val="1"/>
      </rPr>
      <t>Sn</t>
    </r>
    <r>
      <rPr>
        <sz val="11"/>
        <color theme="1"/>
        <rFont val="Times New Roman"/>
        <family val="1"/>
      </rPr>
      <t xml:space="preserve"> %</t>
    </r>
    <r>
      <rPr>
        <i/>
        <sz val="11"/>
        <color theme="1"/>
        <rFont val="Times New Roman"/>
        <family val="1"/>
      </rPr>
      <t>e</t>
    </r>
    <r>
      <rPr>
        <i/>
        <vertAlign val="subscript"/>
        <sz val="11"/>
        <color theme="1"/>
        <rFont val="Times New Roman"/>
        <family val="1"/>
      </rPr>
      <t>i</t>
    </r>
    <r>
      <rPr>
        <i/>
        <vertAlign val="superscript"/>
        <sz val="11"/>
        <color theme="1"/>
        <rFont val="Times New Roman"/>
        <family val="1"/>
      </rPr>
      <t>2</t>
    </r>
  </si>
  <si>
    <r>
      <t>√median</t>
    </r>
    <r>
      <rPr>
        <i/>
        <vertAlign val="subscript"/>
        <sz val="11"/>
        <color theme="1"/>
        <rFont val="Times New Roman"/>
        <family val="1"/>
      </rPr>
      <t>i</t>
    </r>
    <r>
      <rPr>
        <vertAlign val="subscript"/>
        <sz val="11"/>
        <color theme="1"/>
        <rFont val="Times New Roman"/>
        <family val="1"/>
      </rPr>
      <t xml:space="preserve"> = 1..</t>
    </r>
    <r>
      <rPr>
        <i/>
        <vertAlign val="subscript"/>
        <sz val="11"/>
        <color theme="1"/>
        <rFont val="Times New Roman"/>
        <family val="1"/>
      </rPr>
      <t>Sn</t>
    </r>
    <r>
      <rPr>
        <sz val="11"/>
        <color theme="1"/>
        <rFont val="Times New Roman"/>
        <family val="1"/>
      </rPr>
      <t xml:space="preserve"> %</t>
    </r>
    <r>
      <rPr>
        <i/>
        <sz val="11"/>
        <color theme="1"/>
        <rFont val="Times New Roman"/>
        <family val="1"/>
      </rPr>
      <t>e</t>
    </r>
    <r>
      <rPr>
        <i/>
        <vertAlign val="subscript"/>
        <sz val="11"/>
        <color theme="1"/>
        <rFont val="Times New Roman"/>
        <family val="1"/>
      </rPr>
      <t>i</t>
    </r>
    <r>
      <rPr>
        <i/>
        <vertAlign val="superscript"/>
        <sz val="11"/>
        <color theme="1"/>
        <rFont val="Times New Roman"/>
        <family val="1"/>
      </rPr>
      <t>2</t>
    </r>
  </si>
  <si>
    <r>
      <t>mean</t>
    </r>
    <r>
      <rPr>
        <i/>
        <vertAlign val="subscript"/>
        <sz val="11"/>
        <color theme="1"/>
        <rFont val="Times New Roman"/>
        <family val="1"/>
      </rPr>
      <t>i</t>
    </r>
    <r>
      <rPr>
        <vertAlign val="subscript"/>
        <sz val="11"/>
        <color theme="1"/>
        <rFont val="Times New Roman"/>
        <family val="1"/>
      </rPr>
      <t xml:space="preserve"> = 1..</t>
    </r>
    <r>
      <rPr>
        <i/>
        <vertAlign val="subscript"/>
        <sz val="11"/>
        <color theme="1"/>
        <rFont val="Times New Roman"/>
        <family val="1"/>
      </rPr>
      <t>Sn</t>
    </r>
    <r>
      <rPr>
        <sz val="11"/>
        <color theme="1"/>
        <rFont val="Times New Roman"/>
        <family val="1"/>
      </rPr>
      <t xml:space="preserve"> | </t>
    </r>
    <r>
      <rPr>
        <i/>
        <sz val="11"/>
        <color theme="1"/>
        <rFont val="Times New Roman"/>
        <family val="1"/>
      </rPr>
      <t>sym_</t>
    </r>
    <r>
      <rPr>
        <sz val="11"/>
        <color theme="1"/>
        <rFont val="Times New Roman"/>
        <family val="1"/>
      </rPr>
      <t>%</t>
    </r>
    <r>
      <rPr>
        <i/>
        <sz val="11"/>
        <color theme="1"/>
        <rFont val="Times New Roman"/>
        <family val="1"/>
      </rPr>
      <t>e</t>
    </r>
    <r>
      <rPr>
        <i/>
        <vertAlign val="subscript"/>
        <sz val="11"/>
        <color theme="1"/>
        <rFont val="Times New Roman"/>
        <family val="1"/>
      </rPr>
      <t xml:space="preserve">i </t>
    </r>
    <r>
      <rPr>
        <sz val="11"/>
        <color theme="1"/>
        <rFont val="Times New Roman"/>
        <family val="1"/>
      </rPr>
      <t>|</t>
    </r>
  </si>
  <si>
    <r>
      <t>median</t>
    </r>
    <r>
      <rPr>
        <i/>
        <vertAlign val="subscript"/>
        <sz val="11"/>
        <color theme="1"/>
        <rFont val="Times New Roman"/>
        <family val="1"/>
      </rPr>
      <t>i</t>
    </r>
    <r>
      <rPr>
        <vertAlign val="subscript"/>
        <sz val="11"/>
        <color theme="1"/>
        <rFont val="Times New Roman"/>
        <family val="1"/>
      </rPr>
      <t xml:space="preserve"> = 1..</t>
    </r>
    <r>
      <rPr>
        <i/>
        <vertAlign val="subscript"/>
        <sz val="11"/>
        <color theme="1"/>
        <rFont val="Times New Roman"/>
        <family val="1"/>
      </rPr>
      <t>Sn</t>
    </r>
    <r>
      <rPr>
        <sz val="11"/>
        <color theme="1"/>
        <rFont val="Times New Roman"/>
        <family val="1"/>
      </rPr>
      <t xml:space="preserve"> | </t>
    </r>
    <r>
      <rPr>
        <i/>
        <sz val="11"/>
        <color theme="1"/>
        <rFont val="Times New Roman"/>
        <family val="1"/>
      </rPr>
      <t>sym_</t>
    </r>
    <r>
      <rPr>
        <sz val="11"/>
        <color theme="1"/>
        <rFont val="Times New Roman"/>
        <family val="1"/>
      </rPr>
      <t>%</t>
    </r>
    <r>
      <rPr>
        <i/>
        <sz val="11"/>
        <color theme="1"/>
        <rFont val="Times New Roman"/>
        <family val="1"/>
      </rPr>
      <t>e</t>
    </r>
    <r>
      <rPr>
        <i/>
        <vertAlign val="subscript"/>
        <sz val="11"/>
        <color theme="1"/>
        <rFont val="Times New Roman"/>
        <family val="1"/>
      </rPr>
      <t xml:space="preserve">i </t>
    </r>
    <r>
      <rPr>
        <sz val="11"/>
        <color theme="1"/>
        <rFont val="Times New Roman"/>
        <family val="1"/>
      </rPr>
      <t>|</t>
    </r>
  </si>
  <si>
    <r>
      <t>mean</t>
    </r>
    <r>
      <rPr>
        <i/>
        <vertAlign val="subscript"/>
        <sz val="11"/>
        <color theme="1"/>
        <rFont val="Times New Roman"/>
        <family val="1"/>
      </rPr>
      <t>i</t>
    </r>
    <r>
      <rPr>
        <vertAlign val="subscript"/>
        <sz val="11"/>
        <color theme="1"/>
        <rFont val="Times New Roman"/>
        <family val="1"/>
      </rPr>
      <t xml:space="preserve"> = 1..</t>
    </r>
    <r>
      <rPr>
        <i/>
        <vertAlign val="subscript"/>
        <sz val="11"/>
        <color theme="1"/>
        <rFont val="Times New Roman"/>
        <family val="1"/>
      </rPr>
      <t>Sn</t>
    </r>
    <r>
      <rPr>
        <sz val="11"/>
        <color theme="1"/>
        <rFont val="Times New Roman"/>
        <family val="1"/>
      </rPr>
      <t xml:space="preserve"> </t>
    </r>
    <r>
      <rPr>
        <i/>
        <sz val="11"/>
        <color theme="1"/>
        <rFont val="Times New Roman"/>
        <family val="1"/>
      </rPr>
      <t>sca_e</t>
    </r>
    <r>
      <rPr>
        <i/>
        <vertAlign val="subscript"/>
        <sz val="11"/>
        <color theme="1"/>
        <rFont val="Times New Roman"/>
        <family val="1"/>
      </rPr>
      <t>i</t>
    </r>
  </si>
  <si>
    <r>
      <t>median</t>
    </r>
    <r>
      <rPr>
        <i/>
        <vertAlign val="subscript"/>
        <sz val="11"/>
        <color theme="1"/>
        <rFont val="Times New Roman"/>
        <family val="1"/>
      </rPr>
      <t>i</t>
    </r>
    <r>
      <rPr>
        <vertAlign val="subscript"/>
        <sz val="11"/>
        <color theme="1"/>
        <rFont val="Times New Roman"/>
        <family val="1"/>
      </rPr>
      <t xml:space="preserve"> = 1..</t>
    </r>
    <r>
      <rPr>
        <i/>
        <vertAlign val="subscript"/>
        <sz val="11"/>
        <color theme="1"/>
        <rFont val="Times New Roman"/>
        <family val="1"/>
      </rPr>
      <t>Sn</t>
    </r>
    <r>
      <rPr>
        <sz val="11"/>
        <color theme="1"/>
        <rFont val="Times New Roman"/>
        <family val="1"/>
      </rPr>
      <t xml:space="preserve"> </t>
    </r>
    <r>
      <rPr>
        <i/>
        <sz val="11"/>
        <color theme="1"/>
        <rFont val="Times New Roman"/>
        <family val="1"/>
      </rPr>
      <t>sca_e</t>
    </r>
    <r>
      <rPr>
        <i/>
        <vertAlign val="subscript"/>
        <sz val="11"/>
        <color theme="1"/>
        <rFont val="Times New Roman"/>
        <family val="1"/>
      </rPr>
      <t>i</t>
    </r>
  </si>
  <si>
    <r>
      <t>√mean</t>
    </r>
    <r>
      <rPr>
        <i/>
        <vertAlign val="subscript"/>
        <sz val="11"/>
        <color theme="1"/>
        <rFont val="Times New Roman"/>
        <family val="1"/>
      </rPr>
      <t>i</t>
    </r>
    <r>
      <rPr>
        <vertAlign val="subscript"/>
        <sz val="11"/>
        <color theme="1"/>
        <rFont val="Times New Roman"/>
        <family val="1"/>
      </rPr>
      <t xml:space="preserve"> = 1..</t>
    </r>
    <r>
      <rPr>
        <i/>
        <vertAlign val="subscript"/>
        <sz val="11"/>
        <color theme="1"/>
        <rFont val="Times New Roman"/>
        <family val="1"/>
      </rPr>
      <t>Sn</t>
    </r>
    <r>
      <rPr>
        <sz val="11"/>
        <color theme="1"/>
        <rFont val="Times New Roman"/>
        <family val="1"/>
      </rPr>
      <t xml:space="preserve"> </t>
    </r>
    <r>
      <rPr>
        <i/>
        <sz val="11"/>
        <color theme="1"/>
        <rFont val="Times New Roman"/>
        <family val="1"/>
      </rPr>
      <t>sca_e</t>
    </r>
    <r>
      <rPr>
        <i/>
        <vertAlign val="subscript"/>
        <sz val="11"/>
        <color theme="1"/>
        <rFont val="Times New Roman"/>
        <family val="1"/>
      </rPr>
      <t>i</t>
    </r>
    <r>
      <rPr>
        <i/>
        <vertAlign val="superscript"/>
        <sz val="11"/>
        <color theme="1"/>
        <rFont val="Times New Roman"/>
        <family val="1"/>
      </rPr>
      <t>2</t>
    </r>
  </si>
  <si>
    <r>
      <t>sum</t>
    </r>
    <r>
      <rPr>
        <i/>
        <vertAlign val="subscript"/>
        <sz val="11"/>
        <color theme="1"/>
        <rFont val="Times New Roman"/>
        <family val="1"/>
      </rPr>
      <t>i</t>
    </r>
    <r>
      <rPr>
        <vertAlign val="subscript"/>
        <sz val="11"/>
        <color theme="1"/>
        <rFont val="Times New Roman"/>
        <family val="1"/>
      </rPr>
      <t xml:space="preserve"> = 1..</t>
    </r>
    <r>
      <rPr>
        <i/>
        <vertAlign val="subscript"/>
        <sz val="11"/>
        <color theme="1"/>
        <rFont val="Times New Roman"/>
        <family val="1"/>
      </rPr>
      <t>Sn</t>
    </r>
    <r>
      <rPr>
        <sz val="11"/>
        <color theme="1"/>
        <rFont val="Times New Roman"/>
        <family val="1"/>
      </rPr>
      <t xml:space="preserve"> | </t>
    </r>
    <r>
      <rPr>
        <i/>
        <sz val="11"/>
        <color theme="1"/>
        <rFont val="Times New Roman"/>
        <family val="1"/>
      </rPr>
      <t>rel_e</t>
    </r>
    <r>
      <rPr>
        <i/>
        <vertAlign val="subscript"/>
        <sz val="11"/>
        <color theme="1"/>
        <rFont val="Times New Roman"/>
        <family val="1"/>
      </rPr>
      <t>i</t>
    </r>
    <r>
      <rPr>
        <i/>
        <sz val="11"/>
        <color theme="1"/>
        <rFont val="Times New Roman"/>
        <family val="1"/>
      </rPr>
      <t xml:space="preserve"> |</t>
    </r>
  </si>
  <si>
    <r>
      <t>mean</t>
    </r>
    <r>
      <rPr>
        <i/>
        <vertAlign val="subscript"/>
        <sz val="11"/>
        <color theme="1"/>
        <rFont val="Times New Roman"/>
        <family val="1"/>
      </rPr>
      <t>i</t>
    </r>
    <r>
      <rPr>
        <vertAlign val="subscript"/>
        <sz val="11"/>
        <color theme="1"/>
        <rFont val="Times New Roman"/>
        <family val="1"/>
      </rPr>
      <t xml:space="preserve"> = 1..</t>
    </r>
    <r>
      <rPr>
        <i/>
        <vertAlign val="subscript"/>
        <sz val="11"/>
        <color theme="1"/>
        <rFont val="Times New Roman"/>
        <family val="1"/>
      </rPr>
      <t>Sn</t>
    </r>
    <r>
      <rPr>
        <sz val="11"/>
        <color theme="1"/>
        <rFont val="Times New Roman"/>
        <family val="1"/>
      </rPr>
      <t xml:space="preserve"> | </t>
    </r>
    <r>
      <rPr>
        <i/>
        <sz val="11"/>
        <color theme="1"/>
        <rFont val="Times New Roman"/>
        <family val="1"/>
      </rPr>
      <t>rel_e</t>
    </r>
    <r>
      <rPr>
        <i/>
        <vertAlign val="subscript"/>
        <sz val="11"/>
        <color theme="1"/>
        <rFont val="Times New Roman"/>
        <family val="1"/>
      </rPr>
      <t>i</t>
    </r>
    <r>
      <rPr>
        <i/>
        <sz val="11"/>
        <color theme="1"/>
        <rFont val="Times New Roman"/>
        <family val="1"/>
      </rPr>
      <t xml:space="preserve"> |</t>
    </r>
  </si>
  <si>
    <r>
      <t>median</t>
    </r>
    <r>
      <rPr>
        <i/>
        <vertAlign val="subscript"/>
        <sz val="11"/>
        <color theme="1"/>
        <rFont val="Times New Roman"/>
        <family val="1"/>
      </rPr>
      <t>i</t>
    </r>
    <r>
      <rPr>
        <vertAlign val="subscript"/>
        <sz val="11"/>
        <color theme="1"/>
        <rFont val="Times New Roman"/>
        <family val="1"/>
      </rPr>
      <t xml:space="preserve"> = 1..</t>
    </r>
    <r>
      <rPr>
        <i/>
        <vertAlign val="subscript"/>
        <sz val="11"/>
        <color theme="1"/>
        <rFont val="Times New Roman"/>
        <family val="1"/>
      </rPr>
      <t>Sn</t>
    </r>
    <r>
      <rPr>
        <sz val="11"/>
        <color theme="1"/>
        <rFont val="Times New Roman"/>
        <family val="1"/>
      </rPr>
      <t xml:space="preserve"> | </t>
    </r>
    <r>
      <rPr>
        <i/>
        <sz val="11"/>
        <color theme="1"/>
        <rFont val="Times New Roman"/>
        <family val="1"/>
      </rPr>
      <t>rel_e</t>
    </r>
    <r>
      <rPr>
        <i/>
        <vertAlign val="subscript"/>
        <sz val="11"/>
        <color theme="1"/>
        <rFont val="Times New Roman"/>
        <family val="1"/>
      </rPr>
      <t>i</t>
    </r>
    <r>
      <rPr>
        <i/>
        <sz val="11"/>
        <color theme="1"/>
        <rFont val="Times New Roman"/>
        <family val="1"/>
      </rPr>
      <t xml:space="preserve"> |</t>
    </r>
  </si>
  <si>
    <r>
      <t>geomean</t>
    </r>
    <r>
      <rPr>
        <i/>
        <vertAlign val="subscript"/>
        <sz val="11"/>
        <color theme="1"/>
        <rFont val="Times New Roman"/>
        <family val="1"/>
      </rPr>
      <t>i</t>
    </r>
    <r>
      <rPr>
        <vertAlign val="subscript"/>
        <sz val="11"/>
        <color theme="1"/>
        <rFont val="Times New Roman"/>
        <family val="1"/>
      </rPr>
      <t xml:space="preserve"> = 1..</t>
    </r>
    <r>
      <rPr>
        <i/>
        <vertAlign val="subscript"/>
        <sz val="11"/>
        <color theme="1"/>
        <rFont val="Times New Roman"/>
        <family val="1"/>
      </rPr>
      <t>Sn</t>
    </r>
    <r>
      <rPr>
        <sz val="11"/>
        <color theme="1"/>
        <rFont val="Times New Roman"/>
        <family val="1"/>
      </rPr>
      <t xml:space="preserve"> | </t>
    </r>
    <r>
      <rPr>
        <i/>
        <sz val="11"/>
        <color theme="1"/>
        <rFont val="Times New Roman"/>
        <family val="1"/>
      </rPr>
      <t>rel_e</t>
    </r>
    <r>
      <rPr>
        <i/>
        <vertAlign val="subscript"/>
        <sz val="11"/>
        <color theme="1"/>
        <rFont val="Times New Roman"/>
        <family val="1"/>
      </rPr>
      <t>i</t>
    </r>
    <r>
      <rPr>
        <i/>
        <sz val="11"/>
        <color theme="1"/>
        <rFont val="Times New Roman"/>
        <family val="1"/>
      </rPr>
      <t xml:space="preserve"> |</t>
    </r>
  </si>
  <si>
    <t>Equation</t>
  </si>
  <si>
    <t>Equation (Text)</t>
  </si>
  <si>
    <t>Notes</t>
  </si>
  <si>
    <r>
      <t>MAPE</t>
    </r>
    <r>
      <rPr>
        <sz val="11"/>
        <color theme="1" tint="0.499984740745262"/>
        <rFont val="Times New Roman"/>
        <family val="1"/>
      </rPr>
      <t>(</t>
    </r>
    <r>
      <rPr>
        <i/>
        <sz val="11"/>
        <color theme="1" tint="0.499984740745262"/>
        <rFont val="Times New Roman"/>
        <family val="1"/>
      </rPr>
      <t>p</t>
    </r>
    <r>
      <rPr>
        <sz val="11"/>
        <color theme="1" tint="0.499984740745262"/>
        <rFont val="Times New Roman"/>
        <family val="1"/>
      </rPr>
      <t xml:space="preserve">, </t>
    </r>
    <r>
      <rPr>
        <i/>
        <sz val="11"/>
        <color theme="1" tint="0.499984740745262"/>
        <rFont val="Times New Roman"/>
        <family val="1"/>
      </rPr>
      <t>c</t>
    </r>
    <r>
      <rPr>
        <sz val="11"/>
        <color theme="1" tint="0.499984740745262"/>
        <rFont val="Times New Roman"/>
        <family val="1"/>
      </rPr>
      <t>)</t>
    </r>
  </si>
  <si>
    <r>
      <rPr>
        <sz val="8"/>
        <color theme="1"/>
        <rFont val="Times New Roman"/>
        <family val="1"/>
      </rPr>
      <t>range/mean (</t>
    </r>
    <r>
      <rPr>
        <i/>
        <sz val="8"/>
        <color theme="1"/>
        <rFont val="Times New Roman"/>
        <family val="1"/>
      </rPr>
      <t>FPR</t>
    </r>
    <r>
      <rPr>
        <sz val="8"/>
        <color theme="1"/>
        <rFont val="Times New Roman"/>
        <family val="1"/>
      </rPr>
      <t xml:space="preserve">, </t>
    </r>
    <r>
      <rPr>
        <i/>
        <sz val="8"/>
        <color theme="1"/>
        <rFont val="Times New Roman"/>
        <family val="1"/>
      </rPr>
      <t>FNR</t>
    </r>
    <r>
      <rPr>
        <sz val="8"/>
        <color theme="1"/>
        <rFont val="Times New Roman"/>
        <family val="1"/>
      </rPr>
      <t xml:space="preserve">, </t>
    </r>
    <r>
      <rPr>
        <i/>
        <sz val="8"/>
        <color theme="1"/>
        <rFont val="Times New Roman"/>
        <family val="1"/>
      </rPr>
      <t>FDR</t>
    </r>
    <r>
      <rPr>
        <sz val="8"/>
        <color theme="1"/>
        <rFont val="Times New Roman"/>
        <family val="1"/>
      </rPr>
      <t xml:space="preserve">, </t>
    </r>
    <r>
      <rPr>
        <i/>
        <sz val="8"/>
        <color theme="1"/>
        <rFont val="Times New Roman"/>
        <family val="1"/>
      </rPr>
      <t>FOR</t>
    </r>
    <r>
      <rPr>
        <sz val="8"/>
        <color theme="1"/>
        <rFont val="Times New Roman"/>
        <family val="1"/>
      </rPr>
      <t xml:space="preserve">, </t>
    </r>
    <r>
      <rPr>
        <i/>
        <sz val="8"/>
        <color theme="1"/>
        <rFont val="Times New Roman"/>
        <family val="1"/>
      </rPr>
      <t>MCR</t>
    </r>
    <r>
      <rPr>
        <sz val="8"/>
        <color theme="1"/>
        <rFont val="Times New Roman"/>
        <family val="1"/>
      </rPr>
      <t>)</t>
    </r>
  </si>
  <si>
    <r>
      <rPr>
        <sz val="8"/>
        <rFont val="Times New Roman"/>
        <family val="1"/>
      </rPr>
      <t>range/mean (</t>
    </r>
    <r>
      <rPr>
        <i/>
        <sz val="8"/>
        <rFont val="Times New Roman"/>
        <family val="1"/>
      </rPr>
      <t>MAE</t>
    </r>
    <r>
      <rPr>
        <sz val="8"/>
        <rFont val="Times New Roman"/>
        <family val="1"/>
      </rPr>
      <t xml:space="preserve">, </t>
    </r>
    <r>
      <rPr>
        <i/>
        <sz val="8"/>
        <rFont val="Times New Roman"/>
        <family val="1"/>
      </rPr>
      <t>MSE</t>
    </r>
    <r>
      <rPr>
        <sz val="8"/>
        <rFont val="Times New Roman"/>
        <family val="1"/>
      </rPr>
      <t xml:space="preserve">, </t>
    </r>
    <r>
      <rPr>
        <i/>
        <sz val="8"/>
        <rFont val="Times New Roman"/>
        <family val="1"/>
      </rPr>
      <t>RMSE</t>
    </r>
    <r>
      <rPr>
        <sz val="8"/>
        <rFont val="Times New Roman"/>
        <family val="1"/>
      </rPr>
      <t xml:space="preserve">, </t>
    </r>
    <r>
      <rPr>
        <i/>
        <sz val="8"/>
        <rFont val="Times New Roman"/>
        <family val="1"/>
      </rPr>
      <t>nsMAPE</t>
    </r>
    <r>
      <rPr>
        <sz val="8"/>
        <rFont val="Times New Roman"/>
        <family val="1"/>
      </rPr>
      <t>)</t>
    </r>
  </si>
  <si>
    <t>Positive and negative errors cancel each other out!</t>
  </si>
  <si>
    <t>Curve (ROC: Receiver Operating Curve)</t>
  </si>
  <si>
    <r>
      <t>Type I (</t>
    </r>
    <r>
      <rPr>
        <b/>
        <i/>
        <sz val="12"/>
        <color theme="1"/>
        <rFont val="Times New Roman"/>
        <family val="1"/>
      </rPr>
      <t>FP</t>
    </r>
    <r>
      <rPr>
        <b/>
        <sz val="12"/>
        <color theme="1"/>
        <rFont val="Times New Roman"/>
        <family val="1"/>
      </rPr>
      <t>) error</t>
    </r>
  </si>
  <si>
    <r>
      <t>Type II (</t>
    </r>
    <r>
      <rPr>
        <b/>
        <i/>
        <sz val="12"/>
        <color theme="1"/>
        <rFont val="Times New Roman"/>
        <family val="1"/>
      </rPr>
      <t>FN</t>
    </r>
    <r>
      <rPr>
        <b/>
        <sz val="12"/>
        <color theme="1"/>
        <rFont val="Times New Roman"/>
        <family val="1"/>
      </rPr>
      <t>) error</t>
    </r>
  </si>
  <si>
    <r>
      <rPr>
        <i/>
        <sz val="12"/>
        <color theme="1"/>
        <rFont val="Times New Roman"/>
        <family val="1"/>
      </rPr>
      <t>TPR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FPR</t>
    </r>
  </si>
  <si>
    <r>
      <rPr>
        <i/>
        <sz val="12"/>
        <color theme="1"/>
        <rFont val="Times New Roman"/>
        <family val="1"/>
      </rPr>
      <t>FNR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TNR</t>
    </r>
  </si>
  <si>
    <r>
      <t xml:space="preserve">PREV, </t>
    </r>
    <r>
      <rPr>
        <sz val="12"/>
        <color theme="1"/>
        <rFont val="Times New Roman"/>
        <family val="1"/>
      </rPr>
      <t xml:space="preserve">1 − </t>
    </r>
    <r>
      <rPr>
        <i/>
        <sz val="12"/>
        <color theme="1"/>
        <rFont val="Times New Roman"/>
        <family val="1"/>
      </rPr>
      <t>PREV</t>
    </r>
  </si>
  <si>
    <r>
      <rPr>
        <i/>
        <sz val="12"/>
        <color theme="1"/>
        <rFont val="Times New Roman"/>
        <family val="1"/>
      </rPr>
      <t>LRP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LRN</t>
    </r>
  </si>
  <si>
    <r>
      <rPr>
        <i/>
        <sz val="12"/>
        <color theme="1"/>
        <rFont val="Times New Roman"/>
        <family val="1"/>
      </rPr>
      <t>TPR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TNR</t>
    </r>
  </si>
  <si>
    <r>
      <rPr>
        <i/>
        <sz val="12"/>
        <color theme="1"/>
        <rFont val="Times New Roman"/>
        <family val="1"/>
      </rPr>
      <t>PPV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NPV</t>
    </r>
  </si>
  <si>
    <r>
      <rPr>
        <i/>
        <sz val="12"/>
        <color theme="1"/>
        <rFont val="Times New Roman"/>
        <family val="1"/>
      </rPr>
      <t>MI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1"/>
      </rPr>
      <t>(</t>
    </r>
    <r>
      <rPr>
        <i/>
        <sz val="12"/>
        <color theme="1"/>
        <rFont val="Times New Roman"/>
        <family val="1"/>
      </rPr>
      <t>HO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HC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HOC</t>
    </r>
    <r>
      <rPr>
        <sz val="12"/>
        <color theme="1"/>
        <rFont val="Times New Roman"/>
        <family val="1"/>
      </rPr>
      <t>)</t>
    </r>
  </si>
  <si>
    <r>
      <rPr>
        <i/>
        <sz val="12"/>
        <color theme="1"/>
        <rFont val="Times New Roman"/>
        <family val="1"/>
      </rPr>
      <t>TPR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PPV</t>
    </r>
  </si>
  <si>
    <r>
      <rPr>
        <i/>
        <sz val="12"/>
        <color theme="1"/>
        <rFont val="Times New Roman"/>
        <family val="1"/>
      </rPr>
      <t>ACC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CKc</t>
    </r>
  </si>
  <si>
    <r>
      <rPr>
        <i/>
        <sz val="12"/>
        <color theme="1"/>
        <rFont val="Times New Roman"/>
        <family val="1"/>
      </rPr>
      <t>INFORM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MARK</t>
    </r>
  </si>
  <si>
    <t>Confusion-matrix derived</t>
  </si>
  <si>
    <t>Confusion-matrix derived (Entropic)</t>
  </si>
  <si>
    <r>
      <t>c</t>
    </r>
    <r>
      <rPr>
        <i/>
        <vertAlign val="subscript"/>
        <sz val="11"/>
        <color theme="1"/>
        <rFont val="Times New Roman"/>
        <family val="1"/>
      </rPr>
      <t>i</t>
    </r>
    <r>
      <rPr>
        <i/>
        <vertAlign val="superscript"/>
        <sz val="11"/>
        <color theme="1"/>
        <rFont val="Times New Roman"/>
        <family val="1"/>
      </rPr>
      <t>2</t>
    </r>
  </si>
  <si>
    <r>
      <t>sum</t>
    </r>
    <r>
      <rPr>
        <i/>
        <vertAlign val="subscript"/>
        <sz val="11"/>
        <color theme="1"/>
        <rFont val="Times New Roman"/>
        <family val="1"/>
      </rPr>
      <t>i</t>
    </r>
    <r>
      <rPr>
        <vertAlign val="subscript"/>
        <sz val="11"/>
        <color theme="1"/>
        <rFont val="Times New Roman"/>
        <family val="1"/>
      </rPr>
      <t xml:space="preserve"> = 1..</t>
    </r>
    <r>
      <rPr>
        <i/>
        <vertAlign val="subscript"/>
        <sz val="11"/>
        <color theme="1"/>
        <rFont val="Times New Roman"/>
        <family val="1"/>
      </rPr>
      <t>Sn</t>
    </r>
    <r>
      <rPr>
        <sz val="11"/>
        <color theme="1"/>
        <rFont val="Times New Roman"/>
        <family val="1"/>
      </rPr>
      <t xml:space="preserve"> </t>
    </r>
    <r>
      <rPr>
        <i/>
        <sz val="11"/>
        <color theme="1"/>
        <rFont val="Times New Roman"/>
        <family val="1"/>
      </rPr>
      <t>rel_e</t>
    </r>
    <r>
      <rPr>
        <i/>
        <vertAlign val="subscript"/>
        <sz val="11"/>
        <color theme="1"/>
        <rFont val="Times New Roman"/>
        <family val="1"/>
      </rPr>
      <t>i</t>
    </r>
    <r>
      <rPr>
        <i/>
        <vertAlign val="superscript"/>
        <sz val="11"/>
        <color theme="1"/>
        <rFont val="Times New Roman"/>
        <family val="1"/>
      </rPr>
      <t>2</t>
    </r>
  </si>
  <si>
    <r>
      <t>c</t>
    </r>
    <r>
      <rPr>
        <i/>
        <vertAlign val="subscript"/>
        <sz val="11"/>
        <color theme="1"/>
        <rFont val="Times New Roman"/>
        <family val="1"/>
      </rPr>
      <t>i</t>
    </r>
    <r>
      <rPr>
        <i/>
        <sz val="11"/>
        <color theme="1"/>
        <rFont val="Times New Roman"/>
        <family val="1"/>
      </rPr>
      <t>.p</t>
    </r>
    <r>
      <rPr>
        <i/>
        <vertAlign val="subscript"/>
        <sz val="11"/>
        <color theme="1"/>
        <rFont val="Times New Roman"/>
        <family val="1"/>
      </rPr>
      <t>i</t>
    </r>
  </si>
  <si>
    <r>
      <t>e</t>
    </r>
    <r>
      <rPr>
        <i/>
        <vertAlign val="subscript"/>
        <sz val="11"/>
        <color theme="1"/>
        <rFont val="Times New Roman"/>
        <family val="1"/>
      </rPr>
      <t>i</t>
    </r>
    <r>
      <rPr>
        <i/>
        <vertAlign val="superscript"/>
        <sz val="11"/>
        <color theme="1"/>
        <rFont val="Times New Roman"/>
        <family val="1"/>
      </rPr>
      <t>2</t>
    </r>
    <r>
      <rPr>
        <i/>
        <sz val="11"/>
        <color theme="1"/>
        <rFont val="Times New Roman"/>
        <family val="1"/>
      </rPr>
      <t>/c</t>
    </r>
    <r>
      <rPr>
        <i/>
        <vertAlign val="subscript"/>
        <sz val="11"/>
        <color theme="1"/>
        <rFont val="Times New Roman"/>
        <family val="1"/>
      </rPr>
      <t>i</t>
    </r>
    <r>
      <rPr>
        <i/>
        <sz val="11"/>
        <color theme="1"/>
        <rFont val="Times New Roman"/>
        <family val="1"/>
      </rPr>
      <t>.p</t>
    </r>
    <r>
      <rPr>
        <i/>
        <vertAlign val="subscript"/>
        <sz val="11"/>
        <color theme="1"/>
        <rFont val="Times New Roman"/>
        <family val="1"/>
      </rPr>
      <t>i</t>
    </r>
  </si>
  <si>
    <r>
      <t>mean(</t>
    </r>
    <r>
      <rPr>
        <i/>
        <sz val="9"/>
        <color theme="1" tint="0.499984740745262"/>
        <rFont val="Times New Roman"/>
        <family val="1"/>
      </rPr>
      <t>c</t>
    </r>
    <r>
      <rPr>
        <sz val="9"/>
        <color theme="1" tint="0.499984740745262"/>
        <rFont val="Times New Roman"/>
        <family val="1"/>
      </rPr>
      <t xml:space="preserve">):  </t>
    </r>
  </si>
  <si>
    <r>
      <t>mean(</t>
    </r>
    <r>
      <rPr>
        <i/>
        <sz val="9"/>
        <color theme="1" tint="0.499984740745262"/>
        <rFont val="Times New Roman"/>
        <family val="1"/>
      </rPr>
      <t>p</t>
    </r>
    <r>
      <rPr>
        <sz val="9"/>
        <color theme="1" tint="0.499984740745262"/>
        <rFont val="Times New Roman"/>
        <family val="1"/>
      </rPr>
      <t xml:space="preserve">):  </t>
    </r>
  </si>
  <si>
    <r>
      <t xml:space="preserve">nMSE </t>
    </r>
    <r>
      <rPr>
        <sz val="11"/>
        <color theme="1" tint="0.499984740745262"/>
        <rFont val="Times New Roman"/>
        <family val="1"/>
      </rPr>
      <t>v2</t>
    </r>
    <r>
      <rPr>
        <i/>
        <sz val="11"/>
        <rFont val="Times New Roman"/>
        <family val="1"/>
      </rPr>
      <t xml:space="preserve">
</t>
    </r>
    <r>
      <rPr>
        <i/>
        <sz val="10"/>
        <rFont val="Times New Roman"/>
        <family val="1"/>
      </rPr>
      <t>MSE</t>
    </r>
    <r>
      <rPr>
        <sz val="10"/>
        <rFont val="Times New Roman"/>
        <family val="1"/>
      </rPr>
      <t xml:space="preserve"> / var(</t>
    </r>
    <r>
      <rPr>
        <i/>
        <sz val="10"/>
        <rFont val="Times New Roman"/>
        <family val="1"/>
      </rPr>
      <t>c</t>
    </r>
    <r>
      <rPr>
        <sz val="10"/>
        <rFont val="Times New Roman"/>
        <family val="1"/>
      </rPr>
      <t>)</t>
    </r>
  </si>
  <si>
    <r>
      <t xml:space="preserve">nMSE </t>
    </r>
    <r>
      <rPr>
        <sz val="11"/>
        <color theme="1" tint="0.499984740745262"/>
        <rFont val="Times New Roman"/>
        <family val="1"/>
      </rPr>
      <t>v5</t>
    </r>
    <r>
      <rPr>
        <i/>
        <sz val="11"/>
        <rFont val="Times New Roman"/>
        <family val="1"/>
      </rPr>
      <t xml:space="preserve">
</t>
    </r>
    <r>
      <rPr>
        <sz val="10"/>
        <rFont val="Times New Roman"/>
        <family val="1"/>
      </rPr>
      <t>mean(</t>
    </r>
    <r>
      <rPr>
        <i/>
        <sz val="10"/>
        <rFont val="Times New Roman"/>
        <family val="1"/>
      </rPr>
      <t>e</t>
    </r>
    <r>
      <rPr>
        <i/>
        <vertAlign val="subscript"/>
        <sz val="10"/>
        <rFont val="Times New Roman"/>
        <family val="1"/>
      </rPr>
      <t>i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 xml:space="preserve">/ 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 xml:space="preserve">. </t>
    </r>
    <r>
      <rPr>
        <i/>
        <sz val="10"/>
        <rFont val="Times New Roman"/>
        <family val="1"/>
      </rPr>
      <t>p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</si>
  <si>
    <t>Increase/decrease hypothetical classifier performance per class for "Random" prediction (otherwise set as default 0.5):</t>
  </si>
  <si>
    <r>
      <t xml:space="preserve">Select ground-truth/prediction input methods.
Enter your </t>
    </r>
    <r>
      <rPr>
        <i/>
        <sz val="9"/>
        <color rgb="FF0000FF"/>
        <rFont val="Times New Roman"/>
        <family val="1"/>
      </rPr>
      <t>c</t>
    </r>
    <r>
      <rPr>
        <i/>
        <vertAlign val="subscript"/>
        <sz val="9"/>
        <color rgb="FF0000FF"/>
        <rFont val="Times New Roman"/>
        <family val="1"/>
      </rPr>
      <t>i</t>
    </r>
    <r>
      <rPr>
        <sz val="9"/>
        <color rgb="FF0000FF"/>
        <rFont val="Times New Roman"/>
        <family val="1"/>
      </rPr>
      <t xml:space="preserve"> and/or </t>
    </r>
    <r>
      <rPr>
        <i/>
        <sz val="9"/>
        <color rgb="FF0000FF"/>
        <rFont val="Times New Roman"/>
        <family val="1"/>
      </rPr>
      <t>p</t>
    </r>
    <r>
      <rPr>
        <i/>
        <vertAlign val="subscript"/>
        <sz val="9"/>
        <color rgb="FF0000FF"/>
        <rFont val="Times New Roman"/>
        <family val="1"/>
      </rPr>
      <t>i</t>
    </r>
    <r>
      <rPr>
        <sz val="9"/>
        <color rgb="FF0000FF"/>
        <rFont val="Times New Roman"/>
        <family val="1"/>
      </rPr>
      <t xml:space="preserve"> values below for "Manual" inputs.
(Press </t>
    </r>
    <r>
      <rPr>
        <b/>
        <sz val="9"/>
        <color rgb="FF0000FF"/>
        <rFont val="Times New Roman"/>
        <family val="1"/>
      </rPr>
      <t>SHIFT + F9</t>
    </r>
    <r>
      <rPr>
        <sz val="9"/>
        <color rgb="FF0000FF"/>
        <rFont val="Times New Roman"/>
        <family val="1"/>
      </rPr>
      <t xml:space="preserve"> to refresh (random) input data below to generate new classification examples and predictions.)</t>
    </r>
  </si>
  <si>
    <r>
      <rPr>
        <sz val="11"/>
        <color rgb="FF0000FF"/>
        <rFont val="Calibri"/>
        <family val="2"/>
      </rPr>
      <t>←</t>
    </r>
    <r>
      <rPr>
        <sz val="11"/>
        <color rgb="FF0000FF"/>
        <rFont val="Times New Roman"/>
        <family val="1"/>
      </rPr>
      <t xml:space="preserve"> select</t>
    </r>
  </si>
  <si>
    <t>License for Use</t>
  </si>
  <si>
    <t>Atıf-GayriTicari-Türetilemez 4.0 Uluslararası</t>
  </si>
  <si>
    <t>Attribution-NonCommercial-NoDerivatives 4.0 International</t>
  </si>
  <si>
    <t>See "Licence for use"</t>
  </si>
  <si>
    <t>PToPI by Gürol Canbek is licensed under CC BY-NC-ND 4.0</t>
  </si>
  <si>
    <t>PToPI by Gürol Canbek is licensed
under CC BY-NC-ND 4.0</t>
  </si>
  <si>
    <t>See "License for use"</t>
  </si>
  <si>
    <r>
      <rPr>
        <sz val="11"/>
        <color theme="1"/>
        <rFont val="Times New Roman"/>
        <family val="1"/>
      </rPr>
      <t>(</t>
    </r>
    <r>
      <rPr>
        <i/>
        <sz val="11"/>
        <color theme="1"/>
        <rFont val="Times New Roman"/>
        <family val="1"/>
      </rPr>
      <t>c</t>
    </r>
    <r>
      <rPr>
        <i/>
        <vertAlign val="subscript"/>
        <sz val="11"/>
        <color theme="1"/>
        <rFont val="Times New Roman"/>
        <family val="1"/>
      </rPr>
      <t>i</t>
    </r>
    <r>
      <rPr>
        <i/>
        <sz val="11"/>
        <color theme="1"/>
        <rFont val="Times New Roman"/>
        <family val="1"/>
      </rPr>
      <t>-</t>
    </r>
    <r>
      <rPr>
        <sz val="11"/>
        <color theme="1"/>
        <rFont val="Times New Roman"/>
        <family val="1"/>
      </rPr>
      <t>mean</t>
    </r>
    <r>
      <rPr>
        <i/>
        <sz val="11"/>
        <color theme="1"/>
        <rFont val="Times New Roman"/>
        <family val="1"/>
      </rPr>
      <t>c</t>
    </r>
    <r>
      <rPr>
        <sz val="11"/>
        <color theme="1"/>
        <rFont val="Times New Roman"/>
        <family val="1"/>
      </rPr>
      <t>)</t>
    </r>
    <r>
      <rPr>
        <vertAlign val="superscript"/>
        <sz val="11"/>
        <color theme="1"/>
        <rFont val="Times New Roman"/>
        <family val="1"/>
      </rPr>
      <t>2</t>
    </r>
  </si>
  <si>
    <t>start</t>
  </si>
  <si>
    <t>end</t>
  </si>
  <si>
    <r>
      <t>Row (</t>
    </r>
    <r>
      <rPr>
        <i/>
        <sz val="11"/>
        <color theme="1"/>
        <rFont val="Times New Roman"/>
        <family val="1"/>
      </rPr>
      <t>i</t>
    </r>
    <r>
      <rPr>
        <sz val="11"/>
        <color theme="1"/>
        <rFont val="Times New Roman"/>
        <family val="1"/>
      </rPr>
      <t>)</t>
    </r>
  </si>
  <si>
    <r>
      <t>probability</t>
    </r>
    <r>
      <rPr>
        <b/>
        <i/>
        <sz val="8"/>
        <rFont val="Times New Roman"/>
        <family val="1"/>
      </rPr>
      <t xml:space="preserve">
</t>
    </r>
    <r>
      <rPr>
        <b/>
        <sz val="8"/>
        <rFont val="Times New Roman"/>
        <family val="1"/>
      </rPr>
      <t>(</t>
    </r>
    <r>
      <rPr>
        <b/>
        <i/>
        <sz val="8"/>
        <rFont val="Times New Roman"/>
        <family val="1"/>
      </rPr>
      <t>TPR</t>
    </r>
    <r>
      <rPr>
        <b/>
        <sz val="8"/>
        <rFont val="Times New Roman"/>
        <family val="1"/>
      </rPr>
      <t>) &gt;</t>
    </r>
    <r>
      <rPr>
        <b/>
        <sz val="8"/>
        <rFont val="Calibri"/>
        <family val="2"/>
      </rPr>
      <t>≈</t>
    </r>
  </si>
  <si>
    <r>
      <t>probability</t>
    </r>
    <r>
      <rPr>
        <b/>
        <i/>
        <sz val="8"/>
        <rFont val="Times New Roman"/>
        <family val="1"/>
      </rPr>
      <t xml:space="preserve">
</t>
    </r>
    <r>
      <rPr>
        <b/>
        <sz val="8"/>
        <rFont val="Times New Roman"/>
        <family val="1"/>
      </rPr>
      <t>(</t>
    </r>
    <r>
      <rPr>
        <b/>
        <i/>
        <sz val="8"/>
        <rFont val="Times New Roman"/>
        <family val="1"/>
      </rPr>
      <t>TNR</t>
    </r>
    <r>
      <rPr>
        <b/>
        <sz val="8"/>
        <rFont val="Times New Roman"/>
        <family val="1"/>
      </rPr>
      <t>) &gt;</t>
    </r>
    <r>
      <rPr>
        <b/>
        <sz val="8"/>
        <rFont val="Calibri"/>
        <family val="2"/>
      </rPr>
      <t>≈</t>
    </r>
  </si>
  <si>
    <t>p1.1</t>
  </si>
  <si>
    <t>Normalized Sym. Mean Absolute Percentage Error</t>
  </si>
  <si>
    <t>p3</t>
  </si>
  <si>
    <t>p2.2</t>
  </si>
  <si>
    <t>p3.1</t>
  </si>
  <si>
    <t>https://www.wolframalpha.com/input/?i=differentiate+parametric+plot+%7C+p+log%282%2C+c%29+%2B+%281+-+p%29+log%282%2C+1+-+c%29+%7C+p+%3D+0+to+1%0Ac+%3D+0+to+1</t>
  </si>
  <si>
    <t>px.1</t>
  </si>
  <si>
    <t>px.2</t>
  </si>
  <si>
    <t>px.3</t>
  </si>
  <si>
    <t>Probabilistic Error / Loss Measures and Metrics</t>
  </si>
  <si>
    <r>
      <rPr>
        <i/>
        <sz val="11"/>
        <color theme="1"/>
        <rFont val="Times New Roman"/>
        <family val="1"/>
      </rPr>
      <t>MSE</t>
    </r>
    <r>
      <rPr>
        <sz val="11"/>
        <color theme="1"/>
        <rFont val="Times New Roman"/>
        <family val="1"/>
      </rPr>
      <t xml:space="preserve"> / mean(</t>
    </r>
    <r>
      <rPr>
        <i/>
        <sz val="11"/>
        <color theme="1"/>
        <rFont val="Times New Roman"/>
        <family val="1"/>
      </rPr>
      <t>c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</si>
  <si>
    <r>
      <rPr>
        <i/>
        <sz val="11"/>
        <color theme="1"/>
        <rFont val="Times New Roman"/>
        <family val="1"/>
      </rPr>
      <t>MSE</t>
    </r>
    <r>
      <rPr>
        <sz val="11"/>
        <color theme="1"/>
        <rFont val="Times New Roman"/>
        <family val="1"/>
      </rPr>
      <t xml:space="preserve"> / var(</t>
    </r>
    <r>
      <rPr>
        <i/>
        <sz val="11"/>
        <color theme="1"/>
        <rFont val="Times New Roman"/>
        <family val="1"/>
      </rPr>
      <t>c</t>
    </r>
    <r>
      <rPr>
        <sz val="11"/>
        <color theme="1"/>
        <rFont val="Times New Roman"/>
        <family val="1"/>
      </rPr>
      <t>)</t>
    </r>
  </si>
  <si>
    <r>
      <rPr>
        <i/>
        <sz val="11"/>
        <color theme="1"/>
        <rFont val="Times New Roman"/>
        <family val="1"/>
      </rPr>
      <t>MSE</t>
    </r>
    <r>
      <rPr>
        <sz val="11"/>
        <color theme="1"/>
        <rFont val="Times New Roman"/>
        <family val="1"/>
      </rPr>
      <t xml:space="preserve"> / mean((</t>
    </r>
    <r>
      <rPr>
        <i/>
        <sz val="11"/>
        <color theme="1"/>
        <rFont val="Times New Roman"/>
        <family val="1"/>
      </rPr>
      <t>c</t>
    </r>
    <r>
      <rPr>
        <i/>
        <vertAlign val="subscript"/>
        <sz val="11"/>
        <color theme="1"/>
        <rFont val="Times New Roman"/>
        <family val="1"/>
      </rPr>
      <t>i</t>
    </r>
    <r>
      <rPr>
        <i/>
        <sz val="11"/>
        <color theme="1"/>
        <rFont val="Times New Roman"/>
        <family val="1"/>
      </rPr>
      <t xml:space="preserve"> - </t>
    </r>
    <r>
      <rPr>
        <sz val="11"/>
        <color theme="1"/>
        <rFont val="Times New Roman"/>
        <family val="1"/>
      </rPr>
      <t>mean(</t>
    </r>
    <r>
      <rPr>
        <i/>
        <sz val="11"/>
        <color theme="1"/>
        <rFont val="Times New Roman"/>
        <family val="1"/>
      </rPr>
      <t>c</t>
    </r>
    <r>
      <rPr>
        <sz val="11"/>
        <color theme="1"/>
        <rFont val="Times New Roman"/>
        <family val="1"/>
      </rPr>
      <t>))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</si>
  <si>
    <r>
      <t>(mean</t>
    </r>
    <r>
      <rPr>
        <i/>
        <vertAlign val="subscript"/>
        <sz val="11"/>
        <color theme="1"/>
        <rFont val="Times New Roman"/>
        <family val="1"/>
      </rPr>
      <t>i</t>
    </r>
    <r>
      <rPr>
        <vertAlign val="subscript"/>
        <sz val="11"/>
        <color theme="1"/>
        <rFont val="Times New Roman"/>
        <family val="1"/>
      </rPr>
      <t xml:space="preserve"> = 1..</t>
    </r>
    <r>
      <rPr>
        <i/>
        <vertAlign val="subscript"/>
        <sz val="11"/>
        <color theme="1"/>
        <rFont val="Times New Roman"/>
        <family val="1"/>
      </rPr>
      <t>Sn</t>
    </r>
    <r>
      <rPr>
        <sz val="11"/>
        <color theme="1"/>
        <rFont val="Times New Roman"/>
        <family val="1"/>
      </rPr>
      <t xml:space="preserve"> </t>
    </r>
    <r>
      <rPr>
        <i/>
        <sz val="11"/>
        <color theme="1"/>
        <rFont val="Times New Roman"/>
        <family val="1"/>
      </rPr>
      <t>e</t>
    </r>
    <r>
      <rPr>
        <i/>
        <vertAlign val="subscript"/>
        <sz val="11"/>
        <color theme="1"/>
        <rFont val="Times New Roman"/>
        <family val="1"/>
      </rPr>
      <t>i</t>
    </r>
    <r>
      <rPr>
        <i/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) / (mean(</t>
    </r>
    <r>
      <rPr>
        <i/>
        <sz val="11"/>
        <color theme="1"/>
        <rFont val="Times New Roman"/>
        <family val="1"/>
      </rPr>
      <t>c</t>
    </r>
    <r>
      <rPr>
        <sz val="11"/>
        <color theme="1"/>
        <rFont val="Times New Roman"/>
        <family val="1"/>
      </rPr>
      <t>).mean(</t>
    </r>
    <r>
      <rPr>
        <i/>
        <sz val="11"/>
        <color theme="1"/>
        <rFont val="Times New Roman"/>
        <family val="1"/>
      </rPr>
      <t>p</t>
    </r>
    <r>
      <rPr>
        <sz val="11"/>
        <color theme="1"/>
        <rFont val="Times New Roman"/>
        <family val="1"/>
      </rPr>
      <t>))</t>
    </r>
  </si>
  <si>
    <r>
      <t>mean</t>
    </r>
    <r>
      <rPr>
        <i/>
        <vertAlign val="subscript"/>
        <sz val="11"/>
        <color theme="1"/>
        <rFont val="Times New Roman"/>
        <family val="1"/>
      </rPr>
      <t>i</t>
    </r>
    <r>
      <rPr>
        <vertAlign val="subscript"/>
        <sz val="11"/>
        <color theme="1"/>
        <rFont val="Times New Roman"/>
        <family val="1"/>
      </rPr>
      <t xml:space="preserve"> = 1..</t>
    </r>
    <r>
      <rPr>
        <i/>
        <vertAlign val="subscript"/>
        <sz val="11"/>
        <color theme="1"/>
        <rFont val="Times New Roman"/>
        <family val="1"/>
      </rPr>
      <t>Sn</t>
    </r>
    <r>
      <rPr>
        <sz val="11"/>
        <color theme="1"/>
        <rFont val="Times New Roman"/>
        <family val="1"/>
      </rPr>
      <t xml:space="preserve"> </t>
    </r>
    <r>
      <rPr>
        <i/>
        <sz val="11"/>
        <color theme="1"/>
        <rFont val="Times New Roman"/>
        <family val="1"/>
      </rPr>
      <t>e</t>
    </r>
    <r>
      <rPr>
        <i/>
        <vertAlign val="subscript"/>
        <sz val="11"/>
        <color theme="1"/>
        <rFont val="Times New Roman"/>
        <family val="1"/>
      </rPr>
      <t>i</t>
    </r>
    <r>
      <rPr>
        <i/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/ </t>
    </r>
    <r>
      <rPr>
        <i/>
        <sz val="11"/>
        <color theme="1"/>
        <rFont val="Times New Roman"/>
        <family val="1"/>
      </rPr>
      <t>c</t>
    </r>
    <r>
      <rPr>
        <i/>
        <vertAlign val="subscript"/>
        <sz val="11"/>
        <color theme="1"/>
        <rFont val="Times New Roman"/>
        <family val="1"/>
      </rPr>
      <t>i</t>
    </r>
    <r>
      <rPr>
        <sz val="11"/>
        <color theme="1"/>
        <rFont val="Times New Roman"/>
        <family val="1"/>
      </rPr>
      <t>.</t>
    </r>
    <r>
      <rPr>
        <i/>
        <sz val="11"/>
        <color theme="1"/>
        <rFont val="Times New Roman"/>
        <family val="1"/>
      </rPr>
      <t>p</t>
    </r>
    <r>
      <rPr>
        <i/>
        <vertAlign val="subscript"/>
        <sz val="11"/>
        <color theme="1"/>
        <rFont val="Times New Roman"/>
        <family val="1"/>
      </rPr>
      <t>i</t>
    </r>
  </si>
  <si>
    <r>
      <t xml:space="preserve">Normalized Mean Squared Error </t>
    </r>
    <r>
      <rPr>
        <sz val="11"/>
        <color theme="1" tint="0.499984740745262"/>
        <rFont val="Times New Roman"/>
        <family val="1"/>
      </rPr>
      <t>(v1)</t>
    </r>
  </si>
  <si>
    <r>
      <t xml:space="preserve">Normalized Mean Squared Error </t>
    </r>
    <r>
      <rPr>
        <sz val="11"/>
        <color theme="1" tint="0.499984740745262"/>
        <rFont val="Times New Roman"/>
        <family val="1"/>
      </rPr>
      <t>(v2)</t>
    </r>
  </si>
  <si>
    <r>
      <t xml:space="preserve">Normalized Mean Squared Error </t>
    </r>
    <r>
      <rPr>
        <sz val="11"/>
        <color theme="1" tint="0.499984740745262"/>
        <rFont val="Times New Roman"/>
        <family val="1"/>
      </rPr>
      <t>(v3)</t>
    </r>
  </si>
  <si>
    <r>
      <t xml:space="preserve">Normalized Mean Squared Error </t>
    </r>
    <r>
      <rPr>
        <sz val="11"/>
        <color theme="1" tint="0.499984740745262"/>
        <rFont val="Times New Roman"/>
        <family val="1"/>
      </rPr>
      <t>(v4)</t>
    </r>
  </si>
  <si>
    <r>
      <t xml:space="preserve">Normalized Mean Squared Error </t>
    </r>
    <r>
      <rPr>
        <sz val="11"/>
        <color theme="1" tint="0.499984740745262"/>
        <rFont val="Times New Roman"/>
        <family val="1"/>
      </rPr>
      <t>(v5)</t>
    </r>
  </si>
  <si>
    <r>
      <t>mean</t>
    </r>
    <r>
      <rPr>
        <i/>
        <vertAlign val="subscript"/>
        <sz val="11"/>
        <color theme="1"/>
        <rFont val="Times New Roman"/>
        <family val="1"/>
      </rPr>
      <t>i</t>
    </r>
    <r>
      <rPr>
        <vertAlign val="subscript"/>
        <sz val="11"/>
        <color theme="1"/>
        <rFont val="Times New Roman"/>
        <family val="1"/>
      </rPr>
      <t xml:space="preserve"> = 1..</t>
    </r>
    <r>
      <rPr>
        <i/>
        <vertAlign val="subscript"/>
        <sz val="11"/>
        <color theme="1"/>
        <rFont val="Times New Roman"/>
        <family val="1"/>
      </rPr>
      <t>Sn</t>
    </r>
    <r>
      <rPr>
        <sz val="11"/>
        <color theme="1"/>
        <rFont val="Times New Roman"/>
        <family val="1"/>
      </rPr>
      <t xml:space="preserve"> | </t>
    </r>
    <r>
      <rPr>
        <i/>
        <sz val="11"/>
        <color theme="1"/>
        <rFont val="Times New Roman"/>
        <family val="1"/>
      </rPr>
      <t>e</t>
    </r>
    <r>
      <rPr>
        <i/>
        <vertAlign val="subscript"/>
        <sz val="11"/>
        <color theme="1"/>
        <rFont val="Times New Roman"/>
        <family val="1"/>
      </rPr>
      <t xml:space="preserve">i </t>
    </r>
    <r>
      <rPr>
        <sz val="11"/>
        <color theme="1"/>
        <rFont val="Times New Roman"/>
        <family val="1"/>
      </rPr>
      <t>|</t>
    </r>
  </si>
  <si>
    <r>
      <t>median</t>
    </r>
    <r>
      <rPr>
        <i/>
        <vertAlign val="subscript"/>
        <sz val="11"/>
        <color theme="1"/>
        <rFont val="Times New Roman"/>
        <family val="1"/>
      </rPr>
      <t>i</t>
    </r>
    <r>
      <rPr>
        <vertAlign val="subscript"/>
        <sz val="11"/>
        <color theme="1"/>
        <rFont val="Times New Roman"/>
        <family val="1"/>
      </rPr>
      <t xml:space="preserve"> = 1..</t>
    </r>
    <r>
      <rPr>
        <i/>
        <vertAlign val="subscript"/>
        <sz val="11"/>
        <color theme="1"/>
        <rFont val="Times New Roman"/>
        <family val="1"/>
      </rPr>
      <t>Sn</t>
    </r>
    <r>
      <rPr>
        <sz val="11"/>
        <color theme="1"/>
        <rFont val="Times New Roman"/>
        <family val="1"/>
      </rPr>
      <t xml:space="preserve"> | </t>
    </r>
    <r>
      <rPr>
        <i/>
        <sz val="11"/>
        <color theme="1"/>
        <rFont val="Times New Roman"/>
        <family val="1"/>
      </rPr>
      <t>e</t>
    </r>
    <r>
      <rPr>
        <i/>
        <vertAlign val="subscript"/>
        <sz val="11"/>
        <color theme="1"/>
        <rFont val="Times New Roman"/>
        <family val="1"/>
      </rPr>
      <t xml:space="preserve">i </t>
    </r>
    <r>
      <rPr>
        <sz val="11"/>
        <color theme="1"/>
        <rFont val="Times New Roman"/>
        <family val="1"/>
      </rPr>
      <t>|</t>
    </r>
  </si>
  <si>
    <r>
      <t>max</t>
    </r>
    <r>
      <rPr>
        <i/>
        <vertAlign val="subscript"/>
        <sz val="11"/>
        <color theme="1"/>
        <rFont val="Times New Roman"/>
        <family val="1"/>
      </rPr>
      <t>i</t>
    </r>
    <r>
      <rPr>
        <vertAlign val="subscript"/>
        <sz val="11"/>
        <color theme="1"/>
        <rFont val="Times New Roman"/>
        <family val="1"/>
      </rPr>
      <t xml:space="preserve"> = 1..</t>
    </r>
    <r>
      <rPr>
        <i/>
        <vertAlign val="subscript"/>
        <sz val="11"/>
        <color theme="1"/>
        <rFont val="Times New Roman"/>
        <family val="1"/>
      </rPr>
      <t>Sn</t>
    </r>
    <r>
      <rPr>
        <sz val="11"/>
        <color theme="1"/>
        <rFont val="Times New Roman"/>
        <family val="1"/>
      </rPr>
      <t xml:space="preserve"> | </t>
    </r>
    <r>
      <rPr>
        <i/>
        <sz val="11"/>
        <color theme="1"/>
        <rFont val="Times New Roman"/>
        <family val="1"/>
      </rPr>
      <t>e</t>
    </r>
    <r>
      <rPr>
        <i/>
        <vertAlign val="subscript"/>
        <sz val="11"/>
        <color theme="1"/>
        <rFont val="Times New Roman"/>
        <family val="1"/>
      </rPr>
      <t xml:space="preserve">i </t>
    </r>
    <r>
      <rPr>
        <sz val="11"/>
        <color theme="1"/>
        <rFont val="Times New Roman"/>
        <family val="1"/>
      </rPr>
      <t>|</t>
    </r>
  </si>
  <si>
    <r>
      <t>geomean</t>
    </r>
    <r>
      <rPr>
        <i/>
        <vertAlign val="subscript"/>
        <sz val="11"/>
        <color theme="1"/>
        <rFont val="Times New Roman"/>
        <family val="1"/>
      </rPr>
      <t>i</t>
    </r>
    <r>
      <rPr>
        <vertAlign val="subscript"/>
        <sz val="11"/>
        <color theme="1"/>
        <rFont val="Times New Roman"/>
        <family val="1"/>
      </rPr>
      <t xml:space="preserve"> = 1..</t>
    </r>
    <r>
      <rPr>
        <i/>
        <vertAlign val="subscript"/>
        <sz val="11"/>
        <color theme="1"/>
        <rFont val="Times New Roman"/>
        <family val="1"/>
      </rPr>
      <t>Sn</t>
    </r>
    <r>
      <rPr>
        <sz val="11"/>
        <color theme="1"/>
        <rFont val="Times New Roman"/>
        <family val="1"/>
      </rPr>
      <t xml:space="preserve"> | </t>
    </r>
    <r>
      <rPr>
        <i/>
        <sz val="11"/>
        <color theme="1"/>
        <rFont val="Times New Roman"/>
        <family val="1"/>
      </rPr>
      <t>e</t>
    </r>
    <r>
      <rPr>
        <i/>
        <vertAlign val="subscript"/>
        <sz val="11"/>
        <color theme="1"/>
        <rFont val="Times New Roman"/>
        <family val="1"/>
      </rPr>
      <t xml:space="preserve">i </t>
    </r>
    <r>
      <rPr>
        <sz val="11"/>
        <color theme="1"/>
        <rFont val="Times New Roman"/>
        <family val="1"/>
      </rPr>
      <t>|</t>
    </r>
  </si>
  <si>
    <t>p2.1</t>
  </si>
  <si>
    <t>Normalized Symmetric Mean Absolute Percentage Error</t>
  </si>
  <si>
    <r>
      <t xml:space="preserve">nMSE </t>
    </r>
    <r>
      <rPr>
        <sz val="11"/>
        <color theme="1" tint="0.499984740745262"/>
        <rFont val="Times New Roman"/>
        <family val="1"/>
      </rPr>
      <t>v3</t>
    </r>
    <r>
      <rPr>
        <i/>
        <sz val="11"/>
        <rFont val="Times New Roman"/>
        <family val="1"/>
      </rPr>
      <t xml:space="preserve">
</t>
    </r>
    <r>
      <rPr>
        <i/>
        <sz val="10"/>
        <rFont val="Times New Roman"/>
        <family val="1"/>
      </rPr>
      <t xml:space="preserve">MSE </t>
    </r>
    <r>
      <rPr>
        <sz val="10"/>
        <rFont val="Times New Roman"/>
        <family val="1"/>
      </rPr>
      <t>/ mean(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i/>
        <sz val="10"/>
        <rFont val="Times New Roman"/>
        <family val="1"/>
      </rPr>
      <t>-</t>
    </r>
    <r>
      <rPr>
        <sz val="10"/>
        <rFont val="Times New Roman"/>
        <family val="1"/>
      </rPr>
      <t>m</t>
    </r>
    <r>
      <rPr>
        <i/>
        <sz val="10"/>
        <rFont val="Times New Roman"/>
        <family val="1"/>
      </rPr>
      <t>c</t>
    </r>
    <r>
      <rPr>
        <sz val="10"/>
        <rFont val="Times New Roman"/>
        <family val="1"/>
      </rPr>
      <t>)</t>
    </r>
    <r>
      <rPr>
        <vertAlign val="superscript"/>
        <sz val="10"/>
        <rFont val="Times New Roman"/>
        <family val="1"/>
      </rPr>
      <t>2</t>
    </r>
  </si>
  <si>
    <r>
      <rPr>
        <sz val="11"/>
        <color theme="1"/>
        <rFont val="Times New Roman"/>
        <family val="1"/>
      </rPr>
      <t>delta</t>
    </r>
    <r>
      <rPr>
        <i/>
        <sz val="11"/>
        <color theme="1"/>
        <rFont val="Times New Roman"/>
        <family val="1"/>
      </rPr>
      <t>c</t>
    </r>
    <r>
      <rPr>
        <i/>
        <vertAlign val="subscript"/>
        <sz val="11"/>
        <color theme="1"/>
        <rFont val="Times New Roman"/>
        <family val="1"/>
      </rPr>
      <t xml:space="preserve">i =
</t>
    </r>
    <r>
      <rPr>
        <i/>
        <sz val="11"/>
        <color theme="1"/>
        <rFont val="Times New Roman"/>
        <family val="1"/>
      </rPr>
      <t>| c</t>
    </r>
    <r>
      <rPr>
        <i/>
        <vertAlign val="subscript"/>
        <sz val="11"/>
        <color theme="1"/>
        <rFont val="Times New Roman"/>
        <family val="1"/>
      </rPr>
      <t>i</t>
    </r>
    <r>
      <rPr>
        <i/>
        <sz val="11"/>
        <color theme="1"/>
        <rFont val="Times New Roman"/>
        <family val="1"/>
      </rPr>
      <t>-meanc |</t>
    </r>
  </si>
  <si>
    <r>
      <rPr>
        <sz val="11"/>
        <color theme="1"/>
        <rFont val="Times New Roman"/>
        <family val="1"/>
      </rPr>
      <t>(</t>
    </r>
    <r>
      <rPr>
        <i/>
        <sz val="11"/>
        <color theme="1"/>
        <rFont val="Times New Roman"/>
        <family val="1"/>
      </rPr>
      <t>e</t>
    </r>
    <r>
      <rPr>
        <i/>
        <vertAlign val="subscript"/>
        <sz val="11"/>
        <color theme="1"/>
        <rFont val="Times New Roman"/>
        <family val="1"/>
      </rPr>
      <t>i</t>
    </r>
    <r>
      <rPr>
        <i/>
        <sz val="11"/>
        <color theme="1"/>
        <rFont val="Times New Roman"/>
        <family val="1"/>
      </rPr>
      <t>/ c</t>
    </r>
    <r>
      <rPr>
        <i/>
        <vertAlign val="subscript"/>
        <sz val="11"/>
        <color theme="1"/>
        <rFont val="Times New Roman"/>
        <family val="1"/>
      </rPr>
      <t>i</t>
    </r>
    <r>
      <rPr>
        <sz val="11"/>
        <color theme="1"/>
        <rFont val="Times New Roman"/>
        <family val="1"/>
      </rPr>
      <t>)</t>
    </r>
    <r>
      <rPr>
        <vertAlign val="superscript"/>
        <sz val="11"/>
        <color theme="1"/>
        <rFont val="Times New Roman"/>
        <family val="1"/>
      </rPr>
      <t>2</t>
    </r>
  </si>
  <si>
    <t>←</t>
  </si>
  <si>
    <r>
      <t>nMSE</t>
    </r>
    <r>
      <rPr>
        <sz val="11"/>
        <color theme="1"/>
        <rFont val="Times New Roman"/>
        <family val="1"/>
      </rPr>
      <t xml:space="preserve"> v1</t>
    </r>
  </si>
  <si>
    <r>
      <t>nMSE</t>
    </r>
    <r>
      <rPr>
        <sz val="11"/>
        <color theme="1"/>
        <rFont val="Times New Roman"/>
        <family val="1"/>
      </rPr>
      <t xml:space="preserve"> v2</t>
    </r>
    <r>
      <rPr>
        <sz val="12"/>
        <color theme="1"/>
        <rFont val="Calibri"/>
        <family val="2"/>
        <charset val="162"/>
        <scheme val="minor"/>
      </rPr>
      <t/>
    </r>
  </si>
  <si>
    <r>
      <t>nMSE</t>
    </r>
    <r>
      <rPr>
        <sz val="11"/>
        <color theme="1"/>
        <rFont val="Times New Roman"/>
        <family val="1"/>
      </rPr>
      <t xml:space="preserve"> v3</t>
    </r>
    <r>
      <rPr>
        <sz val="12"/>
        <color theme="1"/>
        <rFont val="Calibri"/>
        <family val="2"/>
        <charset val="162"/>
        <scheme val="minor"/>
      </rPr>
      <t/>
    </r>
  </si>
  <si>
    <r>
      <t>nMSE</t>
    </r>
    <r>
      <rPr>
        <sz val="11"/>
        <color theme="1"/>
        <rFont val="Times New Roman"/>
        <family val="1"/>
      </rPr>
      <t xml:space="preserve"> v5</t>
    </r>
    <r>
      <rPr>
        <sz val="12"/>
        <color theme="1"/>
        <rFont val="Calibri"/>
        <family val="2"/>
        <charset val="162"/>
        <scheme val="minor"/>
      </rPr>
      <t/>
    </r>
  </si>
  <si>
    <r>
      <rPr>
        <sz val="11"/>
        <color theme="1"/>
        <rFont val="Calibri (Gövde)"/>
        <charset val="162"/>
      </rPr>
      <t>p</t>
    </r>
    <r>
      <rPr>
        <u/>
        <sz val="11"/>
        <color theme="1"/>
        <rFont val="Calibri (Gövde)"/>
        <charset val="162"/>
      </rPr>
      <t>1</t>
    </r>
  </si>
  <si>
    <r>
      <rPr>
        <sz val="12"/>
        <color theme="1"/>
        <rFont val="Times New Roman"/>
        <family val="1"/>
      </rPr>
      <t>p</t>
    </r>
    <r>
      <rPr>
        <u/>
        <sz val="12"/>
        <color theme="1"/>
        <rFont val="Times New Roman"/>
        <family val="1"/>
      </rPr>
      <t>1</t>
    </r>
  </si>
  <si>
    <r>
      <rPr>
        <sz val="12"/>
        <color theme="1"/>
        <rFont val="Times New Roman"/>
        <family val="1"/>
      </rPr>
      <t>p</t>
    </r>
    <r>
      <rPr>
        <u/>
        <sz val="12"/>
        <color theme="1"/>
        <rFont val="Times New Roman"/>
        <family val="1"/>
      </rPr>
      <t>2</t>
    </r>
  </si>
  <si>
    <r>
      <t>Weighted Accuracy
(</t>
    </r>
    <r>
      <rPr>
        <i/>
        <sz val="9"/>
        <color theme="1"/>
        <rFont val="Century Gothic"/>
        <family val="1"/>
      </rPr>
      <t>parametric</t>
    </r>
    <r>
      <rPr>
        <sz val="9"/>
        <color theme="1"/>
        <rFont val="Century Gothic"/>
        <family val="1"/>
      </rPr>
      <t>)</t>
    </r>
  </si>
  <si>
    <r>
      <t xml:space="preserve">This work is licensed under a Creative Commons Attribution-Non Commercial-No Derivatives 4.0 International Public License
(the link can be found at https://creativecommons.org/licenses/by-nc-nd/4.0/legalcode)
To further clarify the Creative Commons license related to the </t>
    </r>
    <r>
      <rPr>
        <b/>
        <sz val="10"/>
        <color theme="1"/>
        <rFont val="Arial"/>
        <family val="2"/>
      </rPr>
      <t>PToPI</t>
    </r>
    <r>
      <rPr>
        <sz val="10"/>
        <color theme="1"/>
        <rFont val="Arial"/>
        <family val="2"/>
      </rPr>
      <t xml:space="preserve"> content (including representation and tools), you are authorized to copy and redistribute the content as a framework/tool for use by you, within your organization and outside of your organization for non-commercial purposes only, provided that (i) appropriate credit is given to Author </t>
    </r>
    <r>
      <rPr>
        <b/>
        <sz val="10"/>
        <color theme="1"/>
        <rFont val="Arial"/>
        <family val="2"/>
      </rPr>
      <t>Gürol Canbek</t>
    </r>
    <r>
      <rPr>
        <sz val="10"/>
        <color theme="1"/>
        <rFont val="Arial"/>
        <family val="2"/>
      </rPr>
      <t>, and (ii) a link to the license is provided. Additionally, if you remix, transform or build upon the</t>
    </r>
    <r>
      <rPr>
        <b/>
        <sz val="10"/>
        <color theme="1"/>
        <rFont val="Arial"/>
        <family val="2"/>
      </rPr>
      <t xml:space="preserve"> PToPI</t>
    </r>
    <r>
      <rPr>
        <sz val="10"/>
        <color theme="1"/>
        <rFont val="Arial"/>
        <family val="2"/>
      </rPr>
      <t xml:space="preserve">, you may not distribute the modified materials. Users of the </t>
    </r>
    <r>
      <rPr>
        <b/>
        <sz val="10"/>
        <color theme="1"/>
        <rFont val="Arial"/>
        <family val="2"/>
      </rPr>
      <t>PToPI</t>
    </r>
    <r>
      <rPr>
        <sz val="10"/>
        <color theme="1"/>
        <rFont val="Arial"/>
        <family val="2"/>
      </rPr>
      <t xml:space="preserve"> framework/tool are also required to refer to (</t>
    </r>
    <r>
      <rPr>
        <b/>
        <sz val="10"/>
        <color theme="1"/>
        <rFont val="Arial"/>
        <family val="2"/>
      </rPr>
      <t>https://github/gurol/ptopi</t>
    </r>
    <r>
      <rPr>
        <sz val="10"/>
        <color theme="1"/>
        <rFont val="Arial"/>
        <family val="2"/>
      </rPr>
      <t xml:space="preserve">) when referring to the </t>
    </r>
    <r>
      <rPr>
        <b/>
        <sz val="10"/>
        <color theme="1"/>
        <rFont val="Arial"/>
        <family val="2"/>
      </rPr>
      <t>PToPI</t>
    </r>
    <r>
      <rPr>
        <sz val="10"/>
        <color theme="1"/>
        <rFont val="Arial"/>
        <family val="2"/>
      </rPr>
      <t xml:space="preserve"> in order to ensure that users are employing the most up to date content. Commercial use of the </t>
    </r>
    <r>
      <rPr>
        <b/>
        <sz val="10"/>
        <color theme="1"/>
        <rFont val="Arial"/>
        <family val="2"/>
      </rPr>
      <t>PToPI</t>
    </r>
    <r>
      <rPr>
        <sz val="10"/>
        <color theme="1"/>
        <rFont val="Arial"/>
        <family val="2"/>
      </rPr>
      <t xml:space="preserve"> is subject to the prior approval of the </t>
    </r>
    <r>
      <rPr>
        <b/>
        <sz val="10"/>
        <color theme="1"/>
        <rFont val="Arial"/>
        <family val="2"/>
      </rPr>
      <t>Author (Gürol Canbek)</t>
    </r>
    <r>
      <rPr>
        <sz val="10"/>
        <color theme="1"/>
        <rFont val="Arial"/>
        <family val="2"/>
      </rPr>
      <t xml:space="preserve">.
</t>
    </r>
  </si>
  <si>
    <t>Gürol Canbek</t>
  </si>
  <si>
    <t>gurol@canbek.com</t>
  </si>
  <si>
    <t>F metrics</t>
  </si>
  <si>
    <t>nsMdAPE</t>
  </si>
  <si>
    <t>Normalized Symmetric Median Absolute Percentage Error</t>
  </si>
  <si>
    <t>20 / 20 N</t>
  </si>
  <si>
    <t>20 / 20 OP</t>
  </si>
  <si>
    <t>20 / 20 FP</t>
  </si>
  <si>
    <t>20 / 20 P</t>
  </si>
  <si>
    <t>20 / 20 ON</t>
  </si>
  <si>
    <t>20 / 20 FN</t>
  </si>
  <si>
    <t>20 / 20 TN</t>
  </si>
  <si>
    <r>
      <rPr>
        <sz val="11"/>
        <color theme="1"/>
        <rFont val="Times New Roman"/>
        <family val="1"/>
      </rPr>
      <t>%</t>
    </r>
    <r>
      <rPr>
        <i/>
        <sz val="11"/>
        <color theme="1"/>
        <rFont val="Times New Roman"/>
        <family val="1"/>
      </rPr>
      <t>e</t>
    </r>
    <r>
      <rPr>
        <i/>
        <vertAlign val="subscript"/>
        <sz val="11"/>
        <color theme="1"/>
        <rFont val="Times New Roman"/>
        <family val="1"/>
      </rPr>
      <t xml:space="preserve">i </t>
    </r>
    <r>
      <rPr>
        <i/>
        <sz val="11"/>
        <color theme="1"/>
        <rFont val="Times New Roman"/>
        <family val="1"/>
      </rPr>
      <t>=
e</t>
    </r>
    <r>
      <rPr>
        <i/>
        <vertAlign val="subscript"/>
        <sz val="11"/>
        <color theme="1"/>
        <rFont val="Times New Roman"/>
        <family val="1"/>
      </rPr>
      <t>i</t>
    </r>
    <r>
      <rPr>
        <i/>
        <sz val="11"/>
        <color theme="1"/>
        <rFont val="Times New Roman"/>
        <family val="1"/>
      </rPr>
      <t>/ c</t>
    </r>
    <r>
      <rPr>
        <i/>
        <vertAlign val="subscript"/>
        <sz val="11"/>
        <color theme="1"/>
        <rFont val="Times New Roman"/>
        <family val="1"/>
      </rPr>
      <t>i</t>
    </r>
  </si>
  <si>
    <r>
      <t>| %e</t>
    </r>
    <r>
      <rPr>
        <i/>
        <vertAlign val="subscript"/>
        <sz val="11"/>
        <color theme="1"/>
        <rFont val="Times New Roman"/>
        <family val="1"/>
      </rPr>
      <t>i</t>
    </r>
    <r>
      <rPr>
        <i/>
        <sz val="11"/>
        <color theme="1"/>
        <rFont val="Times New Roman"/>
        <family val="1"/>
      </rPr>
      <t>| =
|e</t>
    </r>
    <r>
      <rPr>
        <i/>
        <vertAlign val="subscript"/>
        <sz val="11"/>
        <color theme="1"/>
        <rFont val="Times New Roman"/>
        <family val="1"/>
      </rPr>
      <t>i</t>
    </r>
    <r>
      <rPr>
        <i/>
        <sz val="11"/>
        <color theme="1"/>
        <rFont val="Times New Roman"/>
        <family val="1"/>
      </rPr>
      <t>/ c</t>
    </r>
    <r>
      <rPr>
        <i/>
        <vertAlign val="subscript"/>
        <sz val="11"/>
        <color theme="1"/>
        <rFont val="Times New Roman"/>
        <family val="1"/>
      </rPr>
      <t>i</t>
    </r>
    <r>
      <rPr>
        <i/>
        <sz val="11"/>
        <color theme="1"/>
        <rFont val="Times New Roman"/>
        <family val="1"/>
      </rPr>
      <t>|</t>
    </r>
  </si>
  <si>
    <r>
      <rPr>
        <i/>
        <sz val="11"/>
        <color theme="1"/>
        <rFont val="Calibri (Gövde)"/>
        <charset val="162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[0, 0.2]</t>
    </r>
  </si>
  <si>
    <r>
      <rPr>
        <i/>
        <sz val="11"/>
        <color theme="1"/>
        <rFont val="Calibri (Gövde)"/>
        <charset val="162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[0, 0.3]</t>
    </r>
  </si>
  <si>
    <r>
      <rPr>
        <i/>
        <sz val="11"/>
        <color theme="1"/>
        <rFont val="Calibri (Gövde)"/>
        <charset val="162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[0, 0.1]</t>
    </r>
  </si>
  <si>
    <r>
      <rPr>
        <i/>
        <sz val="11"/>
        <color theme="1"/>
        <rFont val="Calibri (Gövde)"/>
        <charset val="162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[0, 0.01]</t>
    </r>
  </si>
  <si>
    <r>
      <rPr>
        <i/>
        <sz val="11"/>
        <color theme="1"/>
        <rFont val="Calibri (Gövde)"/>
        <charset val="162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[0, 0.001]</t>
    </r>
  </si>
  <si>
    <r>
      <rPr>
        <i/>
        <sz val="11"/>
        <color theme="1"/>
        <rFont val="Calibri (Gövde)"/>
        <charset val="162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[0, 0.0001]</t>
    </r>
  </si>
  <si>
    <r>
      <rPr>
        <i/>
        <sz val="11"/>
        <color theme="1"/>
        <rFont val="Calibri (Gövde)"/>
        <charset val="162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[0, 0.00001]</t>
    </r>
  </si>
  <si>
    <t>➝ 0</t>
  </si>
  <si>
    <t>Div-by-0</t>
  </si>
  <si>
    <t>➝ ∞</t>
  </si>
  <si>
    <t>20 / 20 TP</t>
  </si>
  <si>
    <r>
      <rPr>
        <i/>
        <sz val="11"/>
        <color theme="1"/>
        <rFont val="Calibri (Gövde)"/>
        <charset val="162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[0.6, 1]</t>
    </r>
  </si>
  <si>
    <r>
      <rPr>
        <i/>
        <sz val="11"/>
        <color theme="1"/>
        <rFont val="Calibri (Gövde)"/>
        <charset val="162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[0.7, 1]</t>
    </r>
  </si>
  <si>
    <r>
      <rPr>
        <i/>
        <sz val="11"/>
        <color theme="1"/>
        <rFont val="Calibri (Gövde)"/>
        <charset val="162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[0.8, 1]</t>
    </r>
  </si>
  <si>
    <r>
      <rPr>
        <i/>
        <sz val="11"/>
        <color theme="1"/>
        <rFont val="Calibri (Gövde)"/>
        <charset val="162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[0.9, 1]</t>
    </r>
  </si>
  <si>
    <r>
      <rPr>
        <i/>
        <sz val="11"/>
        <color theme="1"/>
        <rFont val="Calibri (Gövde)"/>
        <charset val="162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[0.99, 1]</t>
    </r>
  </si>
  <si>
    <r>
      <rPr>
        <i/>
        <sz val="11"/>
        <color theme="1"/>
        <rFont val="Calibri (Gövde)"/>
        <charset val="162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[0.999, 1]</t>
    </r>
  </si>
  <si>
    <r>
      <rPr>
        <i/>
        <sz val="11"/>
        <color theme="1"/>
        <rFont val="Calibri (Gövde)"/>
        <charset val="162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[0.9999, 1]</t>
    </r>
  </si>
  <si>
    <t>div-by-0</t>
  </si>
  <si>
    <t>➝ −0</t>
  </si>
  <si>
    <t>0.5➝ 0.9999</t>
  </si>
  <si>
    <t>0.4➝0.00001</t>
  </si>
  <si>
    <t>8 / 20 N</t>
  </si>
  <si>
    <t>9 / 20 ON</t>
  </si>
  <si>
    <t>6 / 20 TN</t>
  </si>
  <si>
    <t>15 / 20 P</t>
  </si>
  <si>
    <t>8 / 20 OP</t>
  </si>
  <si>
    <t>6 / 20 TP</t>
  </si>
  <si>
    <t>13 / 20 N</t>
  </si>
  <si>
    <t>12 / 20 ON</t>
  </si>
  <si>
    <t>9 / 20 TN</t>
  </si>
  <si>
    <t>9 / 20 P</t>
  </si>
  <si>
    <t>9 / 20 OP</t>
  </si>
  <si>
    <t>4 / 20 TP</t>
  </si>
  <si>
    <t>10 / 20 N</t>
  </si>
  <si>
    <t>10 / 20 ON</t>
  </si>
  <si>
    <t>4 / 20 TN</t>
  </si>
  <si>
    <t>10 / 20 P</t>
  </si>
  <si>
    <t>8 / 20 ON</t>
  </si>
  <si>
    <t>5 / 20 FN</t>
  </si>
  <si>
    <t>12 / 20 N</t>
  </si>
  <si>
    <t>11 / 20 ON</t>
  </si>
  <si>
    <t>8 / 20 TN</t>
  </si>
  <si>
    <t>13 / 20 P</t>
  </si>
  <si>
    <t>8 / 20 FN</t>
  </si>
  <si>
    <t>4 / 20 FN</t>
  </si>
  <si>
    <t>11 / 20 N</t>
  </si>
  <si>
    <t>7 / 20 TN</t>
  </si>
  <si>
    <t>13 / 20 OP</t>
  </si>
  <si>
    <t>9 / 20 TP</t>
  </si>
  <si>
    <t>11 / 20 P</t>
  </si>
  <si>
    <t>7 / 20 OP</t>
  </si>
  <si>
    <t>7 / 20 N</t>
  </si>
  <si>
    <t>3 / 20 TN</t>
  </si>
  <si>
    <t>6 / 20 FN</t>
  </si>
  <si>
    <t>13 / 20 ON</t>
  </si>
  <si>
    <t>5 / 20 TP</t>
  </si>
  <si>
    <t>14 / 20 OP</t>
  </si>
  <si>
    <t>6 / 20 FP</t>
  </si>
  <si>
    <t>11 / 20 OP</t>
  </si>
  <si>
    <t>9 / 20 N</t>
  </si>
  <si>
    <t>10 / 20 OP</t>
  </si>
  <si>
    <t>8 / 20 TP</t>
  </si>
  <si>
    <t>7 / 20 ON</t>
  </si>
  <si>
    <t>5 / 20 TN</t>
  </si>
  <si>
    <t>8 / 20 P</t>
  </si>
  <si>
    <t>7 / 20 TP</t>
  </si>
  <si>
    <t>10 / 20 TN</t>
  </si>
  <si>
    <t>10 / 20 TP</t>
  </si>
  <si>
    <t>2 / 20 FP</t>
  </si>
  <si>
    <t>12 / 20 OP</t>
  </si>
  <si>
    <t>7 / 20 P</t>
  </si>
  <si>
    <t>4 / 20 FP</t>
  </si>
  <si>
    <t>Random (TPR &gt;~0.8 and TNR&gt;~0.8)</t>
  </si>
  <si>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= 0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[0.5, 0.6]</t>
    </r>
  </si>
  <si>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= 0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[0.5, 0.7]</t>
    </r>
  </si>
  <si>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= 0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[0.5, 0.8]</t>
    </r>
  </si>
  <si>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= 0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[0.5, 0.9]</t>
    </r>
  </si>
  <si>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= 0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[0.5, 1]</t>
    </r>
  </si>
  <si>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= 0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[0.6, 1]</t>
    </r>
  </si>
  <si>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= 0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[0.7, 1]</t>
    </r>
  </si>
  <si>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= 0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[0.8, 1]</t>
    </r>
  </si>
  <si>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= 0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[0.9, 1]</t>
    </r>
  </si>
  <si>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= 0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[0.99, 1]</t>
    </r>
  </si>
  <si>
    <r>
      <t>➝</t>
    </r>
    <r>
      <rPr>
        <i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charset val="162"/>
        <scheme val="minor"/>
      </rPr>
      <t>⋅1</t>
    </r>
  </si>
  <si>
    <t>0.5➝ 0.99</t>
  </si>
  <si>
    <t>0.6➝1</t>
  </si>
  <si>
    <t>➝ 1</t>
  </si>
  <si>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= 1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[0.4, 0.5]</t>
    </r>
  </si>
  <si>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= 1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[0.3, 0.5]</t>
    </r>
  </si>
  <si>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= 1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[0.2, 0.5]</t>
    </r>
  </si>
  <si>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= 1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[0.1, 0.5]</t>
    </r>
  </si>
  <si>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= 1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[0, 0.5]</t>
    </r>
  </si>
  <si>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= 1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[0, 0.4]</t>
    </r>
  </si>
  <si>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= 1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[0, 0.3]</t>
    </r>
  </si>
  <si>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= 1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[0, 0.2]</t>
    </r>
  </si>
  <si>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= 1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[0, 0.1]</t>
    </r>
  </si>
  <si>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= 1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[0, 0.01]</t>
    </r>
  </si>
  <si>
    <t>0.4➝ 0</t>
  </si>
  <si>
    <t>0.5➝ 0.01</t>
  </si>
  <si>
    <t>➝∞</t>
  </si>
  <si>
    <t>➝ −1</t>
  </si>
  <si>
    <t>➝Sn⋅1</t>
  </si>
  <si>
    <t>N/A</t>
  </si>
  <si>
    <t>Yes</t>
  </si>
  <si>
    <t>= 1</t>
  </si>
  <si>
    <r>
      <rPr>
        <i/>
        <sz val="11"/>
        <color theme="1"/>
        <rFont val="Calibri"/>
        <family val="2"/>
        <scheme val="minor"/>
      </rPr>
      <t>TP</t>
    </r>
    <r>
      <rPr>
        <sz val="11"/>
        <color theme="1"/>
        <rFont val="Calibri"/>
        <family val="2"/>
        <charset val="162"/>
        <scheme val="minor"/>
      </rPr>
      <t xml:space="preserve"> = 5,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5,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5, </t>
    </r>
    <r>
      <rPr>
        <i/>
        <sz val="11"/>
        <color theme="1"/>
        <rFont val="Calibri"/>
        <family val="2"/>
        <scheme val="minor"/>
      </rPr>
      <t>TN</t>
    </r>
    <r>
      <rPr>
        <sz val="11"/>
        <color theme="1"/>
        <rFont val="Calibri"/>
        <family val="2"/>
        <charset val="162"/>
        <scheme val="minor"/>
      </rPr>
      <t xml:space="preserve"> = 5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{0, 1}</t>
    </r>
  </si>
  <si>
    <r>
      <rPr>
        <i/>
        <sz val="11"/>
        <color theme="1"/>
        <rFont val="Calibri"/>
        <family val="2"/>
        <scheme val="minor"/>
      </rPr>
      <t>TP</t>
    </r>
    <r>
      <rPr>
        <sz val="11"/>
        <color theme="1"/>
        <rFont val="Calibri"/>
        <family val="2"/>
        <charset val="162"/>
        <scheme val="minor"/>
      </rPr>
      <t xml:space="preserve"> = 6,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4,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4, </t>
    </r>
    <r>
      <rPr>
        <i/>
        <sz val="11"/>
        <color theme="1"/>
        <rFont val="Calibri"/>
        <family val="2"/>
        <scheme val="minor"/>
      </rPr>
      <t>TN</t>
    </r>
    <r>
      <rPr>
        <sz val="11"/>
        <color theme="1"/>
        <rFont val="Calibri"/>
        <family val="2"/>
        <charset val="162"/>
        <scheme val="minor"/>
      </rPr>
      <t xml:space="preserve"> = 6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{0, 1}</t>
    </r>
  </si>
  <si>
    <r>
      <rPr>
        <i/>
        <sz val="11"/>
        <color theme="1"/>
        <rFont val="Calibri"/>
        <family val="2"/>
        <scheme val="minor"/>
      </rPr>
      <t>TP</t>
    </r>
    <r>
      <rPr>
        <sz val="11"/>
        <color theme="1"/>
        <rFont val="Calibri"/>
        <family val="2"/>
        <charset val="162"/>
        <scheme val="minor"/>
      </rPr>
      <t xml:space="preserve"> = 7,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3,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3, </t>
    </r>
    <r>
      <rPr>
        <i/>
        <sz val="11"/>
        <color theme="1"/>
        <rFont val="Calibri"/>
        <family val="2"/>
        <scheme val="minor"/>
      </rPr>
      <t>TN</t>
    </r>
    <r>
      <rPr>
        <sz val="11"/>
        <color theme="1"/>
        <rFont val="Calibri"/>
        <family val="2"/>
        <charset val="162"/>
        <scheme val="minor"/>
      </rPr>
      <t xml:space="preserve"> = 7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{0, 1}</t>
    </r>
  </si>
  <si>
    <r>
      <rPr>
        <i/>
        <sz val="11"/>
        <color theme="1"/>
        <rFont val="Calibri"/>
        <family val="2"/>
        <scheme val="minor"/>
      </rPr>
      <t>TP</t>
    </r>
    <r>
      <rPr>
        <sz val="11"/>
        <color theme="1"/>
        <rFont val="Calibri"/>
        <family val="2"/>
        <charset val="162"/>
        <scheme val="minor"/>
      </rPr>
      <t xml:space="preserve"> = 8,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2,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2, </t>
    </r>
    <r>
      <rPr>
        <i/>
        <sz val="11"/>
        <color theme="1"/>
        <rFont val="Calibri"/>
        <family val="2"/>
        <scheme val="minor"/>
      </rPr>
      <t>TN</t>
    </r>
    <r>
      <rPr>
        <sz val="11"/>
        <color theme="1"/>
        <rFont val="Calibri"/>
        <family val="2"/>
        <charset val="162"/>
        <scheme val="minor"/>
      </rPr>
      <t xml:space="preserve"> = 8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{0, 1}</t>
    </r>
  </si>
  <si>
    <r>
      <rPr>
        <i/>
        <sz val="11"/>
        <color theme="1"/>
        <rFont val="Calibri"/>
        <family val="2"/>
        <scheme val="minor"/>
      </rPr>
      <t>TP</t>
    </r>
    <r>
      <rPr>
        <sz val="11"/>
        <color theme="1"/>
        <rFont val="Calibri"/>
        <family val="2"/>
        <charset val="162"/>
        <scheme val="minor"/>
      </rPr>
      <t xml:space="preserve"> = 9,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TN</t>
    </r>
    <r>
      <rPr>
        <sz val="11"/>
        <color theme="1"/>
        <rFont val="Calibri"/>
        <family val="2"/>
        <charset val="162"/>
        <scheme val="minor"/>
      </rPr>
      <t xml:space="preserve"> = 9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{0, 1}</t>
    </r>
  </si>
  <si>
    <r>
      <rPr>
        <i/>
        <sz val="11"/>
        <color theme="1"/>
        <rFont val="Calibri"/>
        <family val="2"/>
        <scheme val="minor"/>
      </rPr>
      <t>TP</t>
    </r>
    <r>
      <rPr>
        <sz val="11"/>
        <color theme="1"/>
        <rFont val="Calibri"/>
        <family val="2"/>
        <charset val="162"/>
        <scheme val="minor"/>
      </rPr>
      <t xml:space="preserve"> = 10,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0,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0, </t>
    </r>
    <r>
      <rPr>
        <i/>
        <sz val="11"/>
        <color theme="1"/>
        <rFont val="Calibri"/>
        <family val="2"/>
        <scheme val="minor"/>
      </rPr>
      <t>TN</t>
    </r>
    <r>
      <rPr>
        <sz val="11"/>
        <color theme="1"/>
        <rFont val="Calibri"/>
        <family val="2"/>
        <charset val="162"/>
        <scheme val="minor"/>
      </rPr>
      <t xml:space="preserve"> = 10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{0, 1}</t>
    </r>
  </si>
  <si>
    <r>
      <rPr>
        <i/>
        <sz val="11"/>
        <color theme="1"/>
        <rFont val="Calibri"/>
        <family val="2"/>
        <scheme val="minor"/>
      </rPr>
      <t>TP</t>
    </r>
    <r>
      <rPr>
        <sz val="11"/>
        <color theme="1"/>
        <rFont val="Calibri"/>
        <family val="2"/>
        <charset val="162"/>
        <scheme val="minor"/>
      </rPr>
      <t xml:space="preserve"> = 0,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10,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10, </t>
    </r>
    <r>
      <rPr>
        <i/>
        <sz val="11"/>
        <color theme="1"/>
        <rFont val="Calibri"/>
        <family val="2"/>
        <scheme val="minor"/>
      </rPr>
      <t>TN</t>
    </r>
    <r>
      <rPr>
        <sz val="11"/>
        <color theme="1"/>
        <rFont val="Calibri"/>
        <family val="2"/>
        <charset val="162"/>
        <scheme val="minor"/>
      </rPr>
      <t xml:space="preserve"> = 0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{0, 1}</t>
    </r>
  </si>
  <si>
    <r>
      <rPr>
        <i/>
        <sz val="11"/>
        <color theme="1"/>
        <rFont val="Calibri"/>
        <family val="2"/>
        <scheme val="minor"/>
      </rPr>
      <t>TP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9,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9, </t>
    </r>
    <r>
      <rPr>
        <i/>
        <sz val="11"/>
        <color theme="1"/>
        <rFont val="Calibri"/>
        <family val="2"/>
        <scheme val="minor"/>
      </rPr>
      <t>TN</t>
    </r>
    <r>
      <rPr>
        <sz val="11"/>
        <color theme="1"/>
        <rFont val="Calibri"/>
        <family val="2"/>
        <charset val="162"/>
        <scheme val="minor"/>
      </rPr>
      <t xml:space="preserve"> = 1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{0, 1}</t>
    </r>
  </si>
  <si>
    <r>
      <rPr>
        <i/>
        <sz val="11"/>
        <color theme="1"/>
        <rFont val="Calibri"/>
        <family val="2"/>
        <scheme val="minor"/>
      </rPr>
      <t>TP</t>
    </r>
    <r>
      <rPr>
        <sz val="11"/>
        <color theme="1"/>
        <rFont val="Calibri"/>
        <family val="2"/>
        <charset val="162"/>
        <scheme val="minor"/>
      </rPr>
      <t xml:space="preserve"> = 2,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8,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8, </t>
    </r>
    <r>
      <rPr>
        <i/>
        <sz val="11"/>
        <color theme="1"/>
        <rFont val="Calibri"/>
        <family val="2"/>
        <scheme val="minor"/>
      </rPr>
      <t>TN</t>
    </r>
    <r>
      <rPr>
        <sz val="11"/>
        <color theme="1"/>
        <rFont val="Calibri"/>
        <family val="2"/>
        <charset val="162"/>
        <scheme val="minor"/>
      </rPr>
      <t xml:space="preserve"> = 2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{0, 1}</t>
    </r>
  </si>
  <si>
    <r>
      <rPr>
        <i/>
        <sz val="11"/>
        <color theme="1"/>
        <rFont val="Calibri"/>
        <family val="2"/>
        <scheme val="minor"/>
      </rPr>
      <t>TP</t>
    </r>
    <r>
      <rPr>
        <sz val="11"/>
        <color theme="1"/>
        <rFont val="Calibri"/>
        <family val="2"/>
        <charset val="162"/>
        <scheme val="minor"/>
      </rPr>
      <t xml:space="preserve"> = 3,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7,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7, </t>
    </r>
    <r>
      <rPr>
        <i/>
        <sz val="11"/>
        <color theme="1"/>
        <rFont val="Calibri"/>
        <family val="2"/>
        <scheme val="minor"/>
      </rPr>
      <t>TN</t>
    </r>
    <r>
      <rPr>
        <sz val="11"/>
        <color theme="1"/>
        <rFont val="Calibri"/>
        <family val="2"/>
        <charset val="162"/>
        <scheme val="minor"/>
      </rPr>
      <t xml:space="preserve"> = 3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{0, 1}</t>
    </r>
  </si>
  <si>
    <r>
      <rPr>
        <i/>
        <sz val="11"/>
        <color theme="1"/>
        <rFont val="Calibri"/>
        <family val="2"/>
        <scheme val="minor"/>
      </rPr>
      <t>TP</t>
    </r>
    <r>
      <rPr>
        <sz val="11"/>
        <color theme="1"/>
        <rFont val="Calibri"/>
        <family val="2"/>
        <charset val="162"/>
        <scheme val="minor"/>
      </rPr>
      <t xml:space="preserve"> = 4,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6,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6, </t>
    </r>
    <r>
      <rPr>
        <i/>
        <sz val="11"/>
        <color theme="1"/>
        <rFont val="Calibri"/>
        <family val="2"/>
        <scheme val="minor"/>
      </rPr>
      <t>TN</t>
    </r>
    <r>
      <rPr>
        <sz val="11"/>
        <color theme="1"/>
        <rFont val="Calibri"/>
        <family val="2"/>
        <charset val="162"/>
        <scheme val="minor"/>
      </rPr>
      <t xml:space="preserve"> = 4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{0, 1}</t>
    </r>
  </si>
  <si>
    <t>10 / 20 FP</t>
  </si>
  <si>
    <t>1 / 20 TN</t>
  </si>
  <si>
    <t>2 / 20 TN</t>
  </si>
  <si>
    <t>1 / 20 OP</t>
  </si>
  <si>
    <t>1 / 20 FP</t>
  </si>
  <si>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19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charset val="162"/>
        <scheme val="minor"/>
      </rPr>
      <t xml:space="preserve"> = 20</t>
    </r>
  </si>
  <si>
    <t>1 / 5 N</t>
  </si>
  <si>
    <t>1 / 5 OP</t>
  </si>
  <si>
    <t>1 / 5 FP</t>
  </si>
  <si>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4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charset val="162"/>
        <scheme val="minor"/>
      </rPr>
      <t xml:space="preserve"> = 5</t>
    </r>
  </si>
  <si>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9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charset val="162"/>
        <scheme val="minor"/>
      </rPr>
      <t xml:space="preserve"> = 10</t>
    </r>
  </si>
  <si>
    <t>1 / 10 N</t>
  </si>
  <si>
    <t>1 / 10 OP</t>
  </si>
  <si>
    <t>1 / 10 FP</t>
  </si>
  <si>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14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charset val="162"/>
        <scheme val="minor"/>
      </rPr>
      <t xml:space="preserve"> = 15</t>
    </r>
  </si>
  <si>
    <t>1 / 15 N</t>
  </si>
  <si>
    <t>1 / 15 OP</t>
  </si>
  <si>
    <t>1 / 15 FP</t>
  </si>
  <si>
    <t>1 / 20 N</t>
  </si>
  <si>
    <t>1 / 25 N</t>
  </si>
  <si>
    <t>1 / 25 OP</t>
  </si>
  <si>
    <t>1 / 25 FP</t>
  </si>
  <si>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24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charset val="162"/>
        <scheme val="minor"/>
      </rPr>
      <t xml:space="preserve"> = 25</t>
    </r>
  </si>
  <si>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4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charset val="162"/>
        <scheme val="minor"/>
      </rPr>
      <t xml:space="preserve"> = 5</t>
    </r>
  </si>
  <si>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9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charset val="162"/>
        <scheme val="minor"/>
      </rPr>
      <t xml:space="preserve"> = 10</t>
    </r>
  </si>
  <si>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14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charset val="162"/>
        <scheme val="minor"/>
      </rPr>
      <t xml:space="preserve"> = 15</t>
    </r>
  </si>
  <si>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19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charset val="162"/>
        <scheme val="minor"/>
      </rPr>
      <t xml:space="preserve"> = 20</t>
    </r>
  </si>
  <si>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= 24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charset val="162"/>
        <scheme val="minor"/>
      </rPr>
      <t xml:space="preserve"> = 25</t>
    </r>
  </si>
  <si>
    <t>1 / 5 P</t>
  </si>
  <si>
    <t>1 / 5 ON</t>
  </si>
  <si>
    <t>1 / 5 FN</t>
  </si>
  <si>
    <t>1 / 10 P</t>
  </si>
  <si>
    <t>1 / 10 ON</t>
  </si>
  <si>
    <t>1 / 10 FN</t>
  </si>
  <si>
    <t>1 / 15 P</t>
  </si>
  <si>
    <t>1 / 15 ON</t>
  </si>
  <si>
    <t>1 / 15 FN</t>
  </si>
  <si>
    <t>1 / 20 P</t>
  </si>
  <si>
    <t>1 / 20 ON</t>
  </si>
  <si>
    <t>1 / 20 FN</t>
  </si>
  <si>
    <t>1 / 25 P</t>
  </si>
  <si>
    <t>1 / 25 ON</t>
  </si>
  <si>
    <t>1 / 25 FN</t>
  </si>
  <si>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4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{0.01, 0.99} and </t>
    </r>
    <r>
      <rPr>
        <i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charset val="162"/>
        <scheme val="minor"/>
      </rPr>
      <t xml:space="preserve"> = 5</t>
    </r>
  </si>
  <si>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9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{0.01, 0.99} and </t>
    </r>
    <r>
      <rPr>
        <i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charset val="162"/>
        <scheme val="minor"/>
      </rPr>
      <t xml:space="preserve"> = 10</t>
    </r>
  </si>
  <si>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14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{0.01, 0.99} and </t>
    </r>
    <r>
      <rPr>
        <i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charset val="162"/>
        <scheme val="minor"/>
      </rPr>
      <t xml:space="preserve"> = 15</t>
    </r>
  </si>
  <si>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19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{0.01, 0.99} and </t>
    </r>
    <r>
      <rPr>
        <i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charset val="162"/>
        <scheme val="minor"/>
      </rPr>
      <t xml:space="preserve"> = 20</t>
    </r>
  </si>
  <si>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24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{0.01, 0.99} and </t>
    </r>
    <r>
      <rPr>
        <i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charset val="162"/>
        <scheme val="minor"/>
      </rPr>
      <t xml:space="preserve"> = 25</t>
    </r>
  </si>
  <si>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4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{0.01, 0.99} and </t>
    </r>
    <r>
      <rPr>
        <i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charset val="162"/>
        <scheme val="minor"/>
      </rPr>
      <t xml:space="preserve"> = 5</t>
    </r>
  </si>
  <si>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9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{0.01, 0.99} and </t>
    </r>
    <r>
      <rPr>
        <i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charset val="162"/>
        <scheme val="minor"/>
      </rPr>
      <t xml:space="preserve"> = 10</t>
    </r>
  </si>
  <si>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14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{0.01, 0.99} and </t>
    </r>
    <r>
      <rPr>
        <i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charset val="162"/>
        <scheme val="minor"/>
      </rPr>
      <t xml:space="preserve"> = 15</t>
    </r>
  </si>
  <si>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19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{0.01, 0.99} and </t>
    </r>
    <r>
      <rPr>
        <i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charset val="162"/>
        <scheme val="minor"/>
      </rPr>
      <t xml:space="preserve"> = 20</t>
    </r>
  </si>
  <si>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= 24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∈ {0.01, 0.99} and </t>
    </r>
    <r>
      <rPr>
        <i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charset val="162"/>
        <scheme val="minor"/>
      </rPr>
      <t xml:space="preserve"> = 25</t>
    </r>
  </si>
  <si>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[0, 0.4]</t>
    </r>
  </si>
  <si>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charset val="162"/>
        <scheme val="minor"/>
      </rPr>
      <t xml:space="preserve"> in [0.5, 1]</t>
    </r>
  </si>
  <si>
    <t>Squared</t>
  </si>
  <si>
    <r>
      <t>p</t>
    </r>
    <r>
      <rPr>
        <u/>
        <sz val="11"/>
        <color theme="1"/>
        <rFont val="Calibri (Gövde)"/>
        <charset val="162"/>
      </rPr>
      <t>2</t>
    </r>
  </si>
  <si>
    <r>
      <t>p</t>
    </r>
    <r>
      <rPr>
        <u/>
        <sz val="11"/>
        <color theme="1"/>
        <rFont val="Calibri (Gövde)"/>
        <charset val="162"/>
      </rPr>
      <t>1</t>
    </r>
  </si>
  <si>
    <r>
      <t>p</t>
    </r>
    <r>
      <rPr>
        <u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.1</t>
    </r>
  </si>
  <si>
    <r>
      <t>p</t>
    </r>
    <r>
      <rPr>
        <u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.2</t>
    </r>
  </si>
  <si>
    <r>
      <t>p</t>
    </r>
    <r>
      <rPr>
        <u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.3</t>
    </r>
  </si>
  <si>
    <r>
      <t>p</t>
    </r>
    <r>
      <rPr>
        <u/>
        <sz val="11"/>
        <rFont val="Times New Roman"/>
        <family val="1"/>
      </rPr>
      <t>2</t>
    </r>
    <r>
      <rPr>
        <sz val="11"/>
        <rFont val="Times New Roman"/>
        <family val="1"/>
      </rPr>
      <t>.4x</t>
    </r>
  </si>
  <si>
    <r>
      <t>p</t>
    </r>
    <r>
      <rPr>
        <u/>
        <sz val="11"/>
        <rFont val="Times New Roman"/>
        <family val="1"/>
      </rPr>
      <t>2</t>
    </r>
    <r>
      <rPr>
        <sz val="11"/>
        <rFont val="Times New Roman"/>
        <family val="1"/>
      </rPr>
      <t>.5x</t>
    </r>
  </si>
  <si>
    <r>
      <rPr>
        <u/>
        <sz val="8"/>
        <rFont val="Century Gothic"/>
        <family val="1"/>
      </rPr>
      <t>Variants</t>
    </r>
    <r>
      <rPr>
        <sz val="8"/>
        <rFont val="Century Gothic"/>
        <family val="1"/>
      </rPr>
      <t>:
Median / Max
Absolute Error</t>
    </r>
  </si>
  <si>
    <t>F metric
with weight 0.5</t>
  </si>
  <si>
    <t>F metric
with  weight 2</t>
  </si>
  <si>
    <r>
      <t xml:space="preserve">Mean Absolute Error
</t>
    </r>
    <r>
      <rPr>
        <u/>
        <sz val="9"/>
        <color theme="1"/>
        <rFont val="Century Gothic"/>
        <family val="1"/>
      </rPr>
      <t>Variants</t>
    </r>
    <r>
      <rPr>
        <sz val="9"/>
        <color theme="1"/>
        <rFont val="Century Gothic"/>
        <family val="1"/>
      </rPr>
      <t>: Median / Max Absolute Error</t>
    </r>
  </si>
  <si>
    <r>
      <t>Mean (</t>
    </r>
    <r>
      <rPr>
        <u/>
        <sz val="9"/>
        <color theme="1"/>
        <rFont val="Century Gothic"/>
        <family val="1"/>
      </rPr>
      <t>Variants</t>
    </r>
    <r>
      <rPr>
        <sz val="9"/>
        <color theme="1"/>
        <rFont val="Century Gothic"/>
        <family val="1"/>
      </rPr>
      <t>: Median/Geo. mean) Relative Absolute Err.</t>
    </r>
  </si>
  <si>
    <t>MARK*</t>
  </si>
  <si>
    <t>MARK* NaN</t>
  </si>
  <si>
    <r>
      <rPr>
        <u/>
        <sz val="8"/>
        <rFont val="Century Gothic"/>
        <family val="1"/>
      </rPr>
      <t>Variants</t>
    </r>
    <r>
      <rPr>
        <sz val="8"/>
        <rFont val="Century Gothic"/>
        <family val="1"/>
      </rPr>
      <t>:
Root Mean
Square Error</t>
    </r>
  </si>
  <si>
    <r>
      <t xml:space="preserve">Mean Squared Error
</t>
    </r>
    <r>
      <rPr>
        <u/>
        <sz val="9"/>
        <color theme="1"/>
        <rFont val="Century Gothic"/>
        <family val="1"/>
      </rPr>
      <t>Variants</t>
    </r>
    <r>
      <rPr>
        <sz val="9"/>
        <color theme="1"/>
        <rFont val="Century Gothic"/>
        <family val="1"/>
      </rPr>
      <t>:
Root Mean Square Er.</t>
    </r>
  </si>
  <si>
    <t>p0x</t>
  </si>
  <si>
    <t>p4.1x</t>
  </si>
  <si>
    <t>p4.2x</t>
  </si>
  <si>
    <t>p4.2x'</t>
  </si>
  <si>
    <t>p4.3x</t>
  </si>
  <si>
    <t>p4.4x</t>
  </si>
  <si>
    <t>p4.5x</t>
  </si>
  <si>
    <r>
      <t>p</t>
    </r>
    <r>
      <rPr>
        <u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.4x</t>
    </r>
  </si>
  <si>
    <t>p3.0x</t>
  </si>
  <si>
    <t>p3.1x</t>
  </si>
  <si>
    <t>Loss</t>
  </si>
  <si>
    <t>Subtype:</t>
  </si>
  <si>
    <t>Range:</t>
  </si>
  <si>
    <t>(Raw)</t>
  </si>
  <si>
    <t>Taken from the first example only. Please check and correct it after paste.</t>
  </si>
  <si>
    <r>
      <t xml:space="preserve">nMSE </t>
    </r>
    <r>
      <rPr>
        <sz val="11"/>
        <color theme="1" tint="0.499984740745262"/>
        <rFont val="Times New Roman"/>
        <family val="1"/>
      </rPr>
      <t xml:space="preserve">v1
</t>
    </r>
    <r>
      <rPr>
        <i/>
        <sz val="10"/>
        <rFont val="Times New Roman"/>
        <family val="1"/>
      </rPr>
      <t>MSE</t>
    </r>
    <r>
      <rPr>
        <sz val="10"/>
        <rFont val="Times New Roman"/>
        <family val="1"/>
      </rPr>
      <t xml:space="preserve"> / mean(</t>
    </r>
    <r>
      <rPr>
        <i/>
        <sz val="10"/>
        <rFont val="Times New Roman"/>
        <family val="1"/>
      </rPr>
      <t>c</t>
    </r>
    <r>
      <rPr>
        <sz val="10"/>
        <rFont val="Times New Roman"/>
        <family val="1"/>
      </rPr>
      <t>).mean(</t>
    </r>
    <r>
      <rPr>
        <i/>
        <sz val="10"/>
        <rFont val="Times New Roman"/>
        <family val="1"/>
      </rPr>
      <t>p</t>
    </r>
    <r>
      <rPr>
        <sz val="10"/>
        <rFont val="Times New Roman"/>
        <family val="1"/>
      </rPr>
      <t>)</t>
    </r>
  </si>
  <si>
    <r>
      <t xml:space="preserve">nMSE </t>
    </r>
    <r>
      <rPr>
        <sz val="11"/>
        <color theme="1" tint="0.499984740745262"/>
        <rFont val="Times New Roman"/>
        <family val="1"/>
      </rPr>
      <t>v4</t>
    </r>
    <r>
      <rPr>
        <i/>
        <sz val="11"/>
        <rFont val="Times New Roman"/>
        <family val="1"/>
      </rPr>
      <t xml:space="preserve">
</t>
    </r>
    <r>
      <rPr>
        <i/>
        <sz val="10"/>
        <rFont val="Times New Roman"/>
        <family val="1"/>
      </rPr>
      <t>MSE</t>
    </r>
    <r>
      <rPr>
        <sz val="10"/>
        <rFont val="Times New Roman"/>
        <family val="1"/>
      </rPr>
      <t xml:space="preserve"> / mean(</t>
    </r>
    <r>
      <rPr>
        <i/>
        <sz val="10"/>
        <rFont val="Times New Roman"/>
        <family val="1"/>
      </rPr>
      <t>c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</si>
  <si>
    <r>
      <t>nMSE</t>
    </r>
    <r>
      <rPr>
        <sz val="11"/>
        <color theme="1"/>
        <rFont val="Times New Roman"/>
        <family val="1"/>
      </rPr>
      <t xml:space="preserve"> v4</t>
    </r>
  </si>
  <si>
    <r>
      <t>Yes, for unrealistic cases where the datasets have no positive-class examples (</t>
    </r>
    <r>
      <rPr>
        <i/>
        <sz val="9"/>
        <color theme="1"/>
        <rFont val="Times New Roman"/>
        <family val="1"/>
      </rPr>
      <t>c</t>
    </r>
    <r>
      <rPr>
        <i/>
        <vertAlign val="subscript"/>
        <sz val="9"/>
        <color theme="1"/>
        <rFont val="Times New Roman"/>
        <family val="1"/>
      </rPr>
      <t>i</t>
    </r>
    <r>
      <rPr>
        <sz val="9"/>
        <color theme="1"/>
        <rFont val="Times New Roman"/>
        <family val="1"/>
      </rPr>
      <t xml:space="preserve"> = 0 only)</t>
    </r>
  </si>
  <si>
    <r>
      <t>Yes, for unrealistic cases where the datasets have only single-class examples (</t>
    </r>
    <r>
      <rPr>
        <i/>
        <sz val="9"/>
        <color theme="1"/>
        <rFont val="Times New Roman"/>
        <family val="1"/>
      </rPr>
      <t>c</t>
    </r>
    <r>
      <rPr>
        <i/>
        <vertAlign val="subscript"/>
        <sz val="9"/>
        <color theme="1"/>
        <rFont val="Times New Roman"/>
        <family val="1"/>
      </rPr>
      <t>i</t>
    </r>
    <r>
      <rPr>
        <sz val="9"/>
        <color theme="1"/>
        <rFont val="Times New Roman"/>
        <family val="1"/>
      </rPr>
      <t xml:space="preserve"> = 0 or 1 only). Hence variance=0</t>
    </r>
  </si>
  <si>
    <r>
      <t>Yes, for unrealistic cases where the datasets have only single-class examples (</t>
    </r>
    <r>
      <rPr>
        <i/>
        <sz val="9"/>
        <color theme="1"/>
        <rFont val="Times New Roman"/>
        <family val="1"/>
      </rPr>
      <t>c</t>
    </r>
    <r>
      <rPr>
        <i/>
        <vertAlign val="subscript"/>
        <sz val="9"/>
        <color theme="1"/>
        <rFont val="Times New Roman"/>
        <family val="1"/>
      </rPr>
      <t>i</t>
    </r>
    <r>
      <rPr>
        <sz val="9"/>
        <color theme="1"/>
        <rFont val="Times New Roman"/>
        <family val="1"/>
      </rPr>
      <t xml:space="preserve"> = 0 or 1 only). Hence difference from the mean class value is zero</t>
    </r>
  </si>
  <si>
    <r>
      <t>Yes, for unrealistic cases where the datasets have at least one negative-class example (</t>
    </r>
    <r>
      <rPr>
        <i/>
        <sz val="9"/>
        <color theme="1"/>
        <rFont val="Times New Roman"/>
        <family val="1"/>
      </rPr>
      <t>c</t>
    </r>
    <r>
      <rPr>
        <i/>
        <vertAlign val="subscript"/>
        <sz val="9"/>
        <color theme="1"/>
        <rFont val="Times New Roman"/>
        <family val="1"/>
      </rPr>
      <t>i</t>
    </r>
    <r>
      <rPr>
        <sz val="9"/>
        <color theme="1"/>
        <rFont val="Times New Roman"/>
        <family val="1"/>
      </rPr>
      <t xml:space="preserve"> ∈ {0} ∨ ci ∈ {0, 1})</t>
    </r>
  </si>
  <si>
    <r>
      <t>Also known as Measurement Error, Observational Error or Mean Bias Error (</t>
    </r>
    <r>
      <rPr>
        <i/>
        <sz val="11"/>
        <color theme="1"/>
        <rFont val="Times New Roman"/>
        <family val="1"/>
      </rPr>
      <t>MBE</t>
    </r>
    <r>
      <rPr>
        <sz val="11"/>
        <color theme="1"/>
        <rFont val="Times New Roman"/>
        <family val="1"/>
      </rPr>
      <t>)</t>
    </r>
  </si>
  <si>
    <r>
      <t>Also known as Root Mean Square Deviation (</t>
    </r>
    <r>
      <rPr>
        <i/>
        <sz val="11"/>
        <color theme="1"/>
        <rFont val="Times New Roman"/>
        <family val="1"/>
      </rPr>
      <t>RMSD</t>
    </r>
    <r>
      <rPr>
        <sz val="11"/>
        <color theme="1"/>
        <rFont val="Times New Roman"/>
        <family val="1"/>
      </rPr>
      <t>)</t>
    </r>
  </si>
  <si>
    <r>
      <t>Also known as ﻿Residual Sum of Squares (</t>
    </r>
    <r>
      <rPr>
        <i/>
        <sz val="11"/>
        <color theme="1"/>
        <rFont val="Times New Roman"/>
        <family val="1"/>
      </rPr>
      <t>RSS</t>
    </r>
    <r>
      <rPr>
        <sz val="11"/>
        <color theme="1"/>
        <rFont val="Times New Roman"/>
        <family val="1"/>
      </rPr>
      <t>)</t>
    </r>
  </si>
  <si>
    <r>
      <t>Also known as Mean Absolute Deviation (</t>
    </r>
    <r>
      <rPr>
        <i/>
        <sz val="11"/>
        <color theme="1"/>
        <rFont val="Times New Roman"/>
        <family val="1"/>
      </rPr>
      <t>MAD</t>
    </r>
    <r>
      <rPr>
        <sz val="11"/>
        <color theme="1"/>
        <rFont val="Times New Roman"/>
        <family val="1"/>
      </rPr>
      <t>)</t>
    </r>
  </si>
  <si>
    <t>PToPI Probabilistic Based Error Instruments and Variants* (complete list including other types and variants)</t>
  </si>
  <si>
    <t>Contradictions</t>
  </si>
  <si>
    <t>Instrument Name</t>
  </si>
  <si>
    <t>Assessing under prediction and over prediction errors in different magnitude!</t>
  </si>
  <si>
    <t>Division by zero!</t>
  </si>
  <si>
    <t>Yes (Cases 1.1 - 1.2, 2.1 - 2.2 and 3.1 and 3.2)</t>
  </si>
  <si>
    <t>Yes (2.1 - 2.2)</t>
  </si>
  <si>
    <r>
      <t xml:space="preserve">Yes (Cases 1.1 - 1.2, </t>
    </r>
    <r>
      <rPr>
        <b/>
        <u/>
        <sz val="11"/>
        <color theme="1"/>
        <rFont val="Times New Roman"/>
        <family val="1"/>
      </rPr>
      <t>6.1 - 6.2</t>
    </r>
    <r>
      <rPr>
        <sz val="11"/>
        <color theme="1"/>
        <rFont val="Times New Roman"/>
        <family val="1"/>
      </rPr>
      <t xml:space="preserve">, and </t>
    </r>
    <r>
      <rPr>
        <b/>
        <u/>
        <sz val="11"/>
        <color theme="1"/>
        <rFont val="Times New Roman"/>
        <family val="1"/>
      </rPr>
      <t>7.1 - 7.2</t>
    </r>
    <r>
      <rPr>
        <sz val="11"/>
        <color theme="1"/>
        <rFont val="Times New Roman"/>
        <family val="1"/>
      </rPr>
      <t>)</t>
    </r>
  </si>
  <si>
    <r>
      <t xml:space="preserve">Yes (Cases </t>
    </r>
    <r>
      <rPr>
        <b/>
        <u/>
        <sz val="11"/>
        <color theme="1"/>
        <rFont val="Times New Roman"/>
        <family val="1"/>
      </rPr>
      <t>6.1 - 6.2</t>
    </r>
    <r>
      <rPr>
        <sz val="11"/>
        <color theme="1"/>
        <rFont val="Times New Roman"/>
        <family val="1"/>
      </rPr>
      <t xml:space="preserve">, and </t>
    </r>
    <r>
      <rPr>
        <b/>
        <u/>
        <sz val="11"/>
        <color theme="1"/>
        <rFont val="Times New Roman"/>
        <family val="1"/>
      </rPr>
      <t>7.1 - 7.2</t>
    </r>
    <r>
      <rPr>
        <sz val="11"/>
        <color theme="1"/>
        <rFont val="Times New Roman"/>
        <family val="1"/>
      </rPr>
      <t>)</t>
    </r>
  </si>
  <si>
    <t>* The instruments numbered with 'x's are not not included in PToPI (because they are not valid (having critical contradictions), common and/or applicable in binary-classification.</t>
  </si>
  <si>
    <r>
      <t>Yes, for the samples at least one negative class with 0 output (</t>
    </r>
    <r>
      <rPr>
        <b/>
        <i/>
        <u/>
        <sz val="11"/>
        <color theme="1"/>
        <rFont val="Times New Roman"/>
        <family val="1"/>
      </rPr>
      <t>c</t>
    </r>
    <r>
      <rPr>
        <b/>
        <i/>
        <u/>
        <vertAlign val="subscript"/>
        <sz val="11"/>
        <color theme="1"/>
        <rFont val="Times New Roman"/>
        <family val="1"/>
      </rPr>
      <t>i</t>
    </r>
    <r>
      <rPr>
        <b/>
        <u/>
        <sz val="11"/>
        <color theme="1"/>
        <rFont val="Times New Roman"/>
        <family val="1"/>
      </rPr>
      <t xml:space="preserve"> = 0 and </t>
    </r>
    <r>
      <rPr>
        <b/>
        <i/>
        <u/>
        <sz val="11"/>
        <color theme="1"/>
        <rFont val="Times New Roman"/>
        <family val="1"/>
      </rPr>
      <t>p</t>
    </r>
    <r>
      <rPr>
        <b/>
        <i/>
        <u/>
        <vertAlign val="subscript"/>
        <sz val="11"/>
        <color theme="1"/>
        <rFont val="Times New Roman"/>
        <family val="1"/>
      </rPr>
      <t>i</t>
    </r>
    <r>
      <rPr>
        <b/>
        <u/>
        <sz val="11"/>
        <color theme="1"/>
        <rFont val="Times New Roman"/>
        <family val="1"/>
      </rPr>
      <t xml:space="preserve"> = 0)</t>
    </r>
  </si>
  <si>
    <r>
      <t xml:space="preserve">Yes, the same as </t>
    </r>
    <r>
      <rPr>
        <b/>
        <i/>
        <u/>
        <sz val="11"/>
        <color theme="1"/>
        <rFont val="Times New Roman"/>
        <family val="1"/>
      </rPr>
      <t>sMAPE</t>
    </r>
  </si>
  <si>
    <r>
      <t>Yes, for the samples from single class only (</t>
    </r>
    <r>
      <rPr>
        <b/>
        <i/>
        <u/>
        <sz val="11"/>
        <color theme="1"/>
        <rFont val="Times New Roman"/>
        <family val="1"/>
      </rPr>
      <t>c</t>
    </r>
    <r>
      <rPr>
        <b/>
        <i/>
        <u/>
        <vertAlign val="subscript"/>
        <sz val="11"/>
        <color theme="1"/>
        <rFont val="Times New Roman"/>
        <family val="1"/>
      </rPr>
      <t>i</t>
    </r>
    <r>
      <rPr>
        <b/>
        <u/>
        <sz val="11"/>
        <color theme="1"/>
        <rFont val="Times New Roman"/>
        <family val="1"/>
      </rPr>
      <t xml:space="preserve"> = 0 or 1 only). Hence difference=0</t>
    </r>
  </si>
  <si>
    <r>
      <rPr>
        <b/>
        <sz val="14"/>
        <color theme="1"/>
        <rFont val="Calibri (Gövde)"/>
        <charset val="162"/>
      </rPr>
      <t>PToPI Binary-Classification Simulation Performances
in terms of the Probababilistic Error/Loss Instruments
for Different 10 Cases</t>
    </r>
    <r>
      <rPr>
        <sz val="14"/>
        <color theme="1"/>
        <rFont val="Calibri (Gövde)"/>
        <charset val="162"/>
      </rPr>
      <t xml:space="preserve">
</t>
    </r>
    <r>
      <rPr>
        <sz val="10"/>
        <color theme="1"/>
        <rFont val="Calibri (Gövde)"/>
        <charset val="162"/>
      </rPr>
      <t xml:space="preserve">Change inputs in "4.1. error-loss inst. calculator".
Copy the sixth row and paste it "as values" into empty row below (not direct paste!)
Press F9 to refresh data according to existing settings
</t>
    </r>
    <r>
      <rPr>
        <sz val="11"/>
        <color rgb="FFC00000"/>
        <rFont val="Calibri"/>
        <family val="2"/>
        <scheme val="minor"/>
      </rPr>
      <t>Do not delete these six rows where the sixth lists results with formulas! ➝</t>
    </r>
  </si>
  <si>
    <r>
      <t>(arithmetic)</t>
    </r>
    <r>
      <rPr>
        <u/>
        <sz val="9"/>
        <color theme="1"/>
        <rFont val="Century Gothic"/>
        <family val="1"/>
      </rPr>
      <t xml:space="preserve">
Variants</t>
    </r>
    <r>
      <rPr>
        <sz val="9"/>
        <color theme="1"/>
        <rFont val="Century Gothic"/>
        <family val="1"/>
      </rPr>
      <t>:
geometric, joint, min, max</t>
    </r>
  </si>
  <si>
    <t xml:space="preserve">
Normalized Mutual Information</t>
  </si>
  <si>
    <t>(arithmetric)
geometric, joint, min, max</t>
  </si>
  <si>
    <t>CK, F1, F0.5, F2, Fβ, AUCPR</t>
  </si>
  <si>
    <t>MRAE         , LogLoss</t>
  </si>
  <si>
    <t xml:space="preserve">
INFORM, BACC, G, wACC,
TPR, FNR, FPR, TNR</t>
  </si>
  <si>
    <t>MRAE, LogLoss</t>
  </si>
  <si>
    <t xml:space="preserve">MAE </t>
  </si>
  <si>
    <t>MdAE
MxAE</t>
  </si>
  <si>
    <t>MdRAE
GMRAE</t>
  </si>
  <si>
    <t>Mean squared, Root mean squared</t>
  </si>
  <si>
    <t>Mean, median, max</t>
  </si>
  <si>
    <t>Measure</t>
  </si>
  <si>
    <t>Variants, Leading Parametric Instruments</t>
  </si>
  <si>
    <t>Normalized Symetric Mean Absolute Percentage Error</t>
  </si>
  <si>
    <r>
      <t>p1.</t>
    </r>
    <r>
      <rPr>
        <u/>
        <sz val="11"/>
        <color theme="1"/>
        <rFont val="Times New Roman"/>
        <family val="1"/>
      </rPr>
      <t>4x.5</t>
    </r>
    <r>
      <rPr>
        <sz val="12"/>
        <color theme="1"/>
        <rFont val="Calibri"/>
        <family val="2"/>
        <charset val="162"/>
        <scheme val="minor"/>
      </rPr>
      <t/>
    </r>
  </si>
  <si>
    <r>
      <t>p1.</t>
    </r>
    <r>
      <rPr>
        <u/>
        <sz val="11"/>
        <color theme="1"/>
        <rFont val="Times New Roman"/>
        <family val="1"/>
      </rPr>
      <t>4x.4</t>
    </r>
  </si>
  <si>
    <r>
      <t>p1.</t>
    </r>
    <r>
      <rPr>
        <u/>
        <sz val="11"/>
        <color theme="1"/>
        <rFont val="Times New Roman"/>
        <family val="1"/>
      </rPr>
      <t>4x.3</t>
    </r>
    <r>
      <rPr>
        <sz val="12"/>
        <color theme="1"/>
        <rFont val="Calibri"/>
        <family val="2"/>
        <charset val="162"/>
        <scheme val="minor"/>
      </rPr>
      <t/>
    </r>
  </si>
  <si>
    <r>
      <t>p1.</t>
    </r>
    <r>
      <rPr>
        <u/>
        <sz val="11"/>
        <color theme="1"/>
        <rFont val="Times New Roman"/>
        <family val="1"/>
      </rPr>
      <t>4x.2</t>
    </r>
    <r>
      <rPr>
        <sz val="12"/>
        <color theme="1"/>
        <rFont val="Calibri"/>
        <family val="2"/>
        <charset val="162"/>
        <scheme val="minor"/>
      </rPr>
      <t/>
    </r>
  </si>
  <si>
    <r>
      <t>p1.</t>
    </r>
    <r>
      <rPr>
        <u/>
        <sz val="11"/>
        <color theme="1"/>
        <rFont val="Times New Roman"/>
        <family val="1"/>
      </rPr>
      <t>4x.1</t>
    </r>
  </si>
  <si>
    <r>
      <t>p1.</t>
    </r>
    <r>
      <rPr>
        <u/>
        <sz val="11"/>
        <color theme="1"/>
        <rFont val="Times New Roman"/>
        <family val="1"/>
      </rPr>
      <t>3x</t>
    </r>
  </si>
  <si>
    <t>p1.2x</t>
  </si>
  <si>
    <t>p2.3x</t>
  </si>
  <si>
    <r>
      <t>p1.</t>
    </r>
    <r>
      <rPr>
        <u/>
        <sz val="11"/>
        <rFont val="Times New Roman"/>
        <family val="1"/>
      </rPr>
      <t>3x</t>
    </r>
  </si>
  <si>
    <r>
      <t>p1.</t>
    </r>
    <r>
      <rPr>
        <u/>
        <sz val="11"/>
        <color theme="1"/>
        <rFont val="Times New Roman"/>
        <family val="1"/>
      </rPr>
      <t>4x.2</t>
    </r>
  </si>
  <si>
    <r>
      <t>p1.</t>
    </r>
    <r>
      <rPr>
        <u/>
        <sz val="11"/>
        <color theme="1"/>
        <rFont val="Times New Roman"/>
        <family val="1"/>
      </rPr>
      <t>4x.3</t>
    </r>
  </si>
  <si>
    <r>
      <t>p1.</t>
    </r>
    <r>
      <rPr>
        <u/>
        <sz val="11"/>
        <color theme="1"/>
        <rFont val="Times New Roman"/>
        <family val="1"/>
      </rPr>
      <t>4x.5</t>
    </r>
  </si>
  <si>
    <r>
      <t>p</t>
    </r>
    <r>
      <rPr>
        <u/>
        <sz val="11"/>
        <color theme="1"/>
        <rFont val="Times New Roman"/>
        <family val="1"/>
      </rPr>
      <t>2</t>
    </r>
  </si>
  <si>
    <r>
      <t>p</t>
    </r>
    <r>
      <rPr>
        <u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.3x</t>
    </r>
  </si>
  <si>
    <t>21.1: Fβ F metric with weight β
21.2: F0.5 F metric with weight 0.5
21.3: F2 F metric with weight 2</t>
  </si>
  <si>
    <t>p2.1: MdAE (Median Absolute Error)
p2.2: MxAE (Maximum Absolute Error)</t>
  </si>
  <si>
    <r>
      <t>p</t>
    </r>
    <r>
      <rPr>
        <u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.1: MdRAE (Median Relative Absolute Error)
p</t>
    </r>
    <r>
      <rPr>
        <u/>
        <sz val="8"/>
        <color theme="1"/>
        <rFont val="Times New Roman"/>
        <family val="1"/>
      </rPr>
      <t>2</t>
    </r>
    <r>
      <rPr>
        <sz val="8"/>
        <color theme="1"/>
        <rFont val="Times New Roman"/>
        <family val="1"/>
      </rPr>
      <t>.2: GMRAE (Geometric Mean Relative Absolute Error)</t>
    </r>
  </si>
  <si>
    <t>No (Signed)</t>
  </si>
  <si>
    <r>
      <t xml:space="preserve">Measure 1:
</t>
    </r>
    <r>
      <rPr>
        <sz val="12"/>
        <color theme="1"/>
        <rFont val="Times New Roman"/>
        <family val="1"/>
      </rPr>
      <t>Non-negativity</t>
    </r>
  </si>
  <si>
    <r>
      <t xml:space="preserve">Measure 2:
</t>
    </r>
    <r>
      <rPr>
        <sz val="12"/>
        <color theme="1"/>
        <rFont val="Times New Roman"/>
        <family val="1"/>
      </rPr>
      <t>Null empty set</t>
    </r>
  </si>
  <si>
    <t>Counting measure</t>
  </si>
  <si>
    <t>Signed Measure</t>
  </si>
  <si>
    <t>LIFT</t>
  </si>
  <si>
    <t>Lift</t>
  </si>
  <si>
    <t>TPR, BIAS</t>
  </si>
  <si>
    <r>
      <t>DET</t>
    </r>
    <r>
      <rPr>
        <i/>
        <sz val="18"/>
        <color theme="1"/>
        <rFont val="Calibri"/>
        <family val="2"/>
        <scheme val="minor"/>
      </rPr>
      <t>, CKc, LIFT</t>
    </r>
    <r>
      <rPr>
        <sz val="18"/>
        <color theme="1"/>
        <rFont val="Calibri"/>
        <family val="2"/>
        <scheme val="minor"/>
      </rPr>
      <t xml:space="preserve">,
</t>
    </r>
    <r>
      <rPr>
        <i/>
        <sz val="18"/>
        <color theme="1"/>
        <rFont val="Calibri"/>
        <family val="2"/>
        <scheme val="minor"/>
      </rPr>
      <t>OR, DP</t>
    </r>
  </si>
  <si>
    <t>LIFT,
OR, DP</t>
  </si>
  <si>
    <t>AIC</t>
  </si>
  <si>
    <t>BIC</t>
  </si>
  <si>
    <t>Number of Model Parameters (k)</t>
  </si>
  <si>
    <t>ii</t>
  </si>
  <si>
    <t>Akaike Information Criterion</t>
  </si>
  <si>
    <t>Bayesian Information Criterion</t>
  </si>
  <si>
    <r>
      <rPr>
        <i/>
        <sz val="11"/>
        <color theme="1"/>
        <rFont val="Times New Roman"/>
        <family val="1"/>
      </rPr>
      <t>k</t>
    </r>
    <r>
      <rPr>
        <sz val="11"/>
        <color theme="1"/>
        <rFont val="Times New Roman"/>
        <family val="1"/>
      </rPr>
      <t>: Number of model parameters</t>
    </r>
  </si>
  <si>
    <r>
      <rPr>
        <i/>
        <sz val="11"/>
        <color theme="1"/>
        <rFont val="Times New Roman"/>
        <family val="1"/>
      </rPr>
      <t>k</t>
    </r>
    <r>
      <rPr>
        <sz val="11"/>
        <color theme="1"/>
        <rFont val="Times New Roman"/>
        <family val="1"/>
      </rPr>
      <t xml:space="preserve">: Number of model parameters. The penalty term for the number of model parameters (i.e. model complexity) in </t>
    </r>
    <r>
      <rPr>
        <i/>
        <sz val="11"/>
        <color theme="1"/>
        <rFont val="Times New Roman"/>
        <family val="1"/>
      </rPr>
      <t>BIC</t>
    </r>
    <r>
      <rPr>
        <sz val="11"/>
        <color theme="1"/>
        <rFont val="Times New Roman"/>
        <family val="1"/>
      </rPr>
      <t xml:space="preserve"> is larger than in </t>
    </r>
    <r>
      <rPr>
        <i/>
        <sz val="11"/>
        <color theme="1"/>
        <rFont val="Times New Roman"/>
        <family val="1"/>
      </rPr>
      <t>AIC</t>
    </r>
    <r>
      <rPr>
        <sz val="11"/>
        <color theme="1"/>
        <rFont val="Times New Roman"/>
        <family val="1"/>
      </rPr>
      <t xml:space="preserve"> (for </t>
    </r>
    <r>
      <rPr>
        <i/>
        <sz val="11"/>
        <color theme="1"/>
        <rFont val="Times New Roman"/>
        <family val="1"/>
      </rPr>
      <t>BIC</t>
    </r>
    <r>
      <rPr>
        <sz val="11"/>
        <color theme="1"/>
        <rFont val="Times New Roman"/>
        <family val="1"/>
      </rPr>
      <t xml:space="preserve"> it should be </t>
    </r>
    <r>
      <rPr>
        <b/>
        <i/>
        <sz val="11"/>
        <color theme="1"/>
        <rFont val="Times New Roman"/>
        <family val="1"/>
      </rPr>
      <t>Sn</t>
    </r>
    <r>
      <rPr>
        <sz val="11"/>
        <color theme="1"/>
        <rFont val="Times New Roman"/>
        <family val="1"/>
      </rPr>
      <t xml:space="preserve"> &gt;&gt; </t>
    </r>
    <r>
      <rPr>
        <i/>
        <sz val="11"/>
        <color theme="1"/>
        <rFont val="Times New Roman"/>
        <family val="1"/>
      </rPr>
      <t>k</t>
    </r>
    <r>
      <rPr>
        <sz val="11"/>
        <color theme="1"/>
        <rFont val="Times New Roman"/>
        <family val="1"/>
      </rPr>
      <t>)</t>
    </r>
  </si>
  <si>
    <t>g1.1: GINI</t>
  </si>
  <si>
    <t>w</t>
  </si>
  <si>
    <t>gurol.canbek.com</t>
  </si>
  <si>
    <t>p1.1 RMSE (Root Mean Square Error)</t>
  </si>
  <si>
    <t>Number of Variants &amp; Parametrics</t>
  </si>
  <si>
    <t>Grand Total of Instruments (with Number of Variants/Param)</t>
  </si>
  <si>
    <t>-/+ Errors</t>
  </si>
  <si>
    <t>Div-by-0!</t>
  </si>
  <si>
    <t>Unbalanced over/under prediction errors</t>
  </si>
  <si>
    <t>Non-symmetric
(c ↔ p)</t>
  </si>
  <si>
    <t>For time-series only</t>
  </si>
  <si>
    <r>
      <t>Non-symmetric
(</t>
    </r>
    <r>
      <rPr>
        <b/>
        <i/>
        <sz val="7"/>
        <color theme="1"/>
        <rFont val="Times New Roman"/>
        <family val="1"/>
      </rPr>
      <t>c</t>
    </r>
    <r>
      <rPr>
        <b/>
        <sz val="7"/>
        <color theme="1"/>
        <rFont val="Times New Roman"/>
        <family val="1"/>
      </rPr>
      <t xml:space="preserve"> ↔ </t>
    </r>
    <r>
      <rPr>
        <b/>
        <i/>
        <sz val="7"/>
        <color theme="1"/>
        <rFont val="Times New Roman"/>
        <family val="1"/>
      </rPr>
      <t>p</t>
    </r>
    <r>
      <rPr>
        <b/>
        <sz val="7"/>
        <color theme="1"/>
        <rFont val="Times New Roman"/>
        <family val="1"/>
      </rPr>
      <t>)</t>
    </r>
  </si>
  <si>
    <t>Regression, time series forecasting only! (sequantial calculation)</t>
  </si>
  <si>
    <r>
      <t>Yes, for the samples at least one negative class (</t>
    </r>
    <r>
      <rPr>
        <b/>
        <i/>
        <u/>
        <sz val="11"/>
        <color theme="1"/>
        <rFont val="Times New Roman"/>
        <family val="1"/>
      </rPr>
      <t>c</t>
    </r>
    <r>
      <rPr>
        <b/>
        <i/>
        <u/>
        <vertAlign val="subscript"/>
        <sz val="11"/>
        <color theme="1"/>
        <rFont val="Times New Roman"/>
        <family val="1"/>
      </rPr>
      <t>i</t>
    </r>
    <r>
      <rPr>
        <b/>
        <u/>
        <sz val="11"/>
        <color theme="1"/>
        <rFont val="Times New Roman"/>
        <family val="1"/>
      </rPr>
      <t xml:space="preserve"> = 0)</t>
    </r>
  </si>
  <si>
    <t>Inter model complexity criteria based on probabilistic error metrics</t>
  </si>
  <si>
    <r>
      <t>0, ℤ</t>
    </r>
    <r>
      <rPr>
        <vertAlign val="superscript"/>
        <sz val="11"/>
        <color theme="1" tint="0.499984740745262"/>
        <rFont val="Calibri (Gövde)"/>
        <charset val="162"/>
      </rPr>
      <t>+</t>
    </r>
  </si>
  <si>
    <t>0, ℤ+</t>
  </si>
  <si>
    <r>
      <t>0, ℤ</t>
    </r>
    <r>
      <rPr>
        <vertAlign val="superscript"/>
        <sz val="11"/>
        <color theme="1" tint="0.499984740745262"/>
        <rFont val="Calibri (Gövde)"/>
        <charset val="162"/>
      </rPr>
      <t>+</t>
    </r>
    <r>
      <rPr>
        <sz val="11"/>
        <color theme="1" tint="0.499984740745262"/>
        <rFont val="Calibri"/>
        <family val="2"/>
        <scheme val="minor"/>
      </rPr>
      <t xml:space="preserve"> I/II</t>
    </r>
  </si>
  <si>
    <t>[0, ∞) NaN II</t>
  </si>
  <si>
    <t>[0, ∞) NaN I</t>
  </si>
  <si>
    <r>
      <t xml:space="preserve">Classifier Model Complexity Measure
</t>
    </r>
    <r>
      <rPr>
        <sz val="9.3000000000000007"/>
        <color theme="1"/>
        <rFont val="Times New Roman"/>
        <family val="1"/>
      </rPr>
      <t>The penalty term for the number of model parameters (</t>
    </r>
    <r>
      <rPr>
        <i/>
        <sz val="9.3000000000000007"/>
        <color theme="1"/>
        <rFont val="Times New Roman"/>
        <family val="1"/>
      </rPr>
      <t>i.e.</t>
    </r>
    <r>
      <rPr>
        <sz val="9.3000000000000007"/>
        <color theme="1"/>
        <rFont val="Times New Roman"/>
        <family val="1"/>
      </rPr>
      <t xml:space="preserve"> model complexity) in </t>
    </r>
    <r>
      <rPr>
        <i/>
        <sz val="9.3000000000000007"/>
        <color theme="1"/>
        <rFont val="Times New Roman"/>
        <family val="1"/>
      </rPr>
      <t>BIC</t>
    </r>
    <r>
      <rPr>
        <sz val="9.3000000000000007"/>
        <color theme="1"/>
        <rFont val="Times New Roman"/>
        <family val="1"/>
      </rPr>
      <t xml:space="preserve"> is larger than in </t>
    </r>
    <r>
      <rPr>
        <i/>
        <sz val="9.3000000000000007"/>
        <color theme="1"/>
        <rFont val="Times New Roman"/>
        <family val="1"/>
      </rPr>
      <t>AIC</t>
    </r>
    <r>
      <rPr>
        <sz val="9.3000000000000007"/>
        <color theme="1"/>
        <rFont val="Times New Roman"/>
        <family val="1"/>
      </rPr>
      <t xml:space="preserve"> (for </t>
    </r>
    <r>
      <rPr>
        <i/>
        <sz val="9.3000000000000007"/>
        <color theme="1"/>
        <rFont val="Times New Roman"/>
        <family val="1"/>
      </rPr>
      <t>BIC</t>
    </r>
    <r>
      <rPr>
        <sz val="9.3000000000000007"/>
        <color theme="1"/>
        <rFont val="Times New Roman"/>
        <family val="1"/>
      </rPr>
      <t xml:space="preserve"> it should be </t>
    </r>
    <r>
      <rPr>
        <b/>
        <i/>
        <sz val="9.3000000000000007"/>
        <color theme="1"/>
        <rFont val="Times New Roman"/>
        <family val="1"/>
      </rPr>
      <t>Sn</t>
    </r>
    <r>
      <rPr>
        <sz val="9.3000000000000007"/>
        <color theme="1"/>
        <rFont val="Times New Roman"/>
        <family val="1"/>
      </rPr>
      <t xml:space="preserve"> &gt;&gt; </t>
    </r>
    <r>
      <rPr>
        <i/>
        <sz val="9.3000000000000007"/>
        <color theme="1"/>
        <rFont val="Times New Roman"/>
        <family val="1"/>
      </rPr>
      <t>k</t>
    </r>
    <r>
      <rPr>
        <sz val="9.3000000000000007"/>
        <color theme="1"/>
        <rFont val="Times New Roman"/>
        <family val="1"/>
      </rPr>
      <t>)</t>
    </r>
  </si>
  <si>
    <t>±∞ NaN I</t>
  </si>
  <si>
    <t>±∞ NaN I/II</t>
  </si>
  <si>
    <t xml:space="preserve"> NaN I</t>
  </si>
  <si>
    <t xml:space="preserve"> NaN II</t>
  </si>
  <si>
    <t>NaN I</t>
  </si>
  <si>
    <t>NaN II</t>
  </si>
  <si>
    <t>[0, ∞) NaN</t>
  </si>
  <si>
    <t>c</t>
  </si>
  <si>
    <t>o</t>
  </si>
  <si>
    <t>BM</t>
  </si>
  <si>
    <t>Countable additivity</t>
  </si>
  <si>
    <t>Subadditivity</t>
  </si>
  <si>
    <t>Superadditivity</t>
  </si>
  <si>
    <t>±∞ ℤ I/II</t>
  </si>
  <si>
    <r>
      <t>Signed Measure Additivity (</t>
    </r>
    <r>
      <rPr>
        <i/>
        <sz val="12"/>
        <color theme="1"/>
        <rFont val="Calibri"/>
        <family val="2"/>
        <scheme val="minor"/>
      </rPr>
      <t>e.g.</t>
    </r>
    <r>
      <rPr>
        <sz val="12"/>
        <color theme="1"/>
        <rFont val="Calibri"/>
        <family val="2"/>
        <charset val="162"/>
        <scheme val="minor"/>
      </rPr>
      <t xml:space="preserve">, </t>
    </r>
    <r>
      <rPr>
        <b/>
        <i/>
        <sz val="12"/>
        <color theme="1"/>
        <rFont val="Calibri"/>
        <family val="2"/>
        <scheme val="minor"/>
      </rPr>
      <t>DET</t>
    </r>
    <r>
      <rPr>
        <sz val="12"/>
        <color theme="1"/>
        <rFont val="Calibri"/>
        <family val="2"/>
        <charset val="162"/>
        <scheme val="minor"/>
      </rPr>
      <t>)</t>
    </r>
  </si>
  <si>
    <r>
      <rPr>
        <i/>
        <sz val="12"/>
        <color theme="1"/>
        <rFont val="Calibri"/>
        <family val="2"/>
        <scheme val="minor"/>
      </rPr>
      <t>µ</t>
    </r>
    <r>
      <rPr>
        <sz val="12"/>
        <color theme="1"/>
        <rFont val="Calibri"/>
        <family val="2"/>
        <charset val="162"/>
        <scheme val="minor"/>
      </rPr>
      <t xml:space="preserve"> is a function (</t>
    </r>
    <r>
      <rPr>
        <i/>
        <sz val="12"/>
        <color theme="1"/>
        <rFont val="Calibri"/>
        <family val="2"/>
        <scheme val="minor"/>
      </rPr>
      <t>e.g.</t>
    </r>
    <r>
      <rPr>
        <sz val="12"/>
        <color theme="1"/>
        <rFont val="Calibri"/>
        <family val="2"/>
        <charset val="162"/>
        <scheme val="minor"/>
      </rPr>
      <t>, a performance measure)</t>
    </r>
  </si>
  <si>
    <r>
      <t>X</t>
    </r>
    <r>
      <rPr>
        <b/>
        <i/>
        <vertAlign val="subscript"/>
        <sz val="12"/>
        <color theme="1"/>
        <rFont val="Calibri (Gövde)"/>
        <charset val="162"/>
      </rPr>
      <t>k</t>
    </r>
  </si>
  <si>
    <r>
      <t>X</t>
    </r>
    <r>
      <rPr>
        <vertAlign val="subscript"/>
        <sz val="12"/>
        <color theme="1"/>
        <rFont val="Calibri (Gövde)"/>
        <charset val="162"/>
      </rPr>
      <t>1</t>
    </r>
  </si>
  <si>
    <r>
      <t>X</t>
    </r>
    <r>
      <rPr>
        <vertAlign val="subscript"/>
        <sz val="12"/>
        <color theme="1"/>
        <rFont val="Calibri (Gövde)"/>
        <charset val="162"/>
      </rPr>
      <t>2</t>
    </r>
    <r>
      <rPr>
        <sz val="12"/>
        <color theme="1"/>
        <rFont val="Calibri"/>
        <family val="2"/>
        <charset val="162"/>
        <scheme val="minor"/>
      </rPr>
      <t/>
    </r>
  </si>
  <si>
    <t>(Performance) measures additivity analysis</t>
  </si>
  <si>
    <r>
      <rPr>
        <b/>
        <i/>
        <sz val="11"/>
        <color rgb="FF006100"/>
        <rFont val="Calibri"/>
        <family val="2"/>
        <scheme val="minor"/>
      </rPr>
      <t>M</t>
    </r>
    <r>
      <rPr>
        <vertAlign val="subscript"/>
        <sz val="11"/>
        <color rgb="FF006100"/>
        <rFont val="Calibri (Gövde)"/>
        <charset val="162"/>
      </rPr>
      <t>canonical</t>
    </r>
    <r>
      <rPr>
        <sz val="11"/>
        <color rgb="FF006100"/>
        <rFont val="Calibri"/>
        <family val="2"/>
        <charset val="162"/>
        <scheme val="minor"/>
      </rPr>
      <t xml:space="preserve"> = Σ (</t>
    </r>
    <r>
      <rPr>
        <b/>
        <i/>
        <sz val="11"/>
        <color rgb="FF006100"/>
        <rFont val="Calibri"/>
        <family val="2"/>
        <scheme val="minor"/>
      </rPr>
      <t>M</t>
    </r>
    <r>
      <rPr>
        <vertAlign val="subscript"/>
        <sz val="11"/>
        <color rgb="FF006100"/>
        <rFont val="Calibri"/>
        <family val="2"/>
        <scheme val="minor"/>
      </rPr>
      <t>canonical</t>
    </r>
    <r>
      <rPr>
        <sz val="11"/>
        <color rgb="FF006100"/>
        <rFont val="Calibri"/>
        <family val="2"/>
        <charset val="162"/>
        <scheme val="minor"/>
      </rPr>
      <t>) (Countable additivity)</t>
    </r>
  </si>
  <si>
    <r>
      <rPr>
        <i/>
        <sz val="12"/>
        <color theme="0" tint="-0.249977111117893"/>
        <rFont val="Calibri"/>
        <family val="2"/>
        <scheme val="minor"/>
      </rPr>
      <t>k</t>
    </r>
    <r>
      <rPr>
        <sz val="12"/>
        <color theme="0" tint="-0.249977111117893"/>
        <rFont val="Calibri"/>
        <family val="2"/>
        <scheme val="minor"/>
      </rPr>
      <t xml:space="preserve">=1, </t>
    </r>
    <r>
      <rPr>
        <i/>
        <sz val="12"/>
        <color theme="0" tint="-0.249977111117893"/>
        <rFont val="Calibri"/>
        <family val="2"/>
        <scheme val="minor"/>
      </rPr>
      <t>i</t>
    </r>
    <r>
      <rPr>
        <sz val="12"/>
        <color theme="0" tint="-0.249977111117893"/>
        <rFont val="Calibri"/>
        <family val="2"/>
        <scheme val="minor"/>
      </rPr>
      <t xml:space="preserve">=1..10, </t>
    </r>
    <r>
      <rPr>
        <b/>
        <i/>
        <sz val="12"/>
        <color theme="0" tint="-0.249977111117893"/>
        <rFont val="Calibri"/>
        <family val="2"/>
        <scheme val="minor"/>
      </rPr>
      <t>Sn</t>
    </r>
    <r>
      <rPr>
        <sz val="12"/>
        <color theme="0" tint="-0.249977111117893"/>
        <rFont val="Calibri"/>
        <family val="2"/>
        <scheme val="minor"/>
      </rPr>
      <t>=10</t>
    </r>
  </si>
  <si>
    <r>
      <rPr>
        <i/>
        <sz val="12"/>
        <color theme="0" tint="-0.249977111117893"/>
        <rFont val="Calibri"/>
        <family val="2"/>
        <scheme val="minor"/>
      </rPr>
      <t>k</t>
    </r>
    <r>
      <rPr>
        <sz val="12"/>
        <color theme="0" tint="-0.249977111117893"/>
        <rFont val="Calibri"/>
        <family val="2"/>
        <scheme val="minor"/>
      </rPr>
      <t xml:space="preserve">=2, </t>
    </r>
    <r>
      <rPr>
        <i/>
        <sz val="12"/>
        <color theme="0" tint="-0.249977111117893"/>
        <rFont val="Calibri"/>
        <family val="2"/>
        <scheme val="minor"/>
      </rPr>
      <t>i</t>
    </r>
    <r>
      <rPr>
        <sz val="12"/>
        <color theme="0" tint="-0.249977111117893"/>
        <rFont val="Calibri"/>
        <family val="2"/>
        <scheme val="minor"/>
      </rPr>
      <t xml:space="preserve">=11..20, </t>
    </r>
    <r>
      <rPr>
        <b/>
        <i/>
        <sz val="12"/>
        <color theme="0" tint="-0.249977111117893"/>
        <rFont val="Calibri"/>
        <family val="2"/>
        <scheme val="minor"/>
      </rPr>
      <t>Sn</t>
    </r>
    <r>
      <rPr>
        <sz val="12"/>
        <color theme="0" tint="-0.249977111117893"/>
        <rFont val="Calibri"/>
        <family val="2"/>
        <scheme val="minor"/>
      </rPr>
      <t>=10</t>
    </r>
  </si>
  <si>
    <r>
      <rPr>
        <i/>
        <sz val="12"/>
        <color theme="0" tint="-0.249977111117893"/>
        <rFont val="Calibri"/>
        <family val="2"/>
        <scheme val="minor"/>
      </rPr>
      <t>k</t>
    </r>
    <r>
      <rPr>
        <sz val="12"/>
        <color theme="0" tint="-0.249977111117893"/>
        <rFont val="Calibri"/>
        <family val="2"/>
        <scheme val="minor"/>
      </rPr>
      <t xml:space="preserve">=1..2, </t>
    </r>
    <r>
      <rPr>
        <i/>
        <sz val="12"/>
        <color theme="0" tint="-0.249977111117893"/>
        <rFont val="Calibri"/>
        <family val="2"/>
        <scheme val="minor"/>
      </rPr>
      <t>i</t>
    </r>
    <r>
      <rPr>
        <sz val="12"/>
        <color theme="0" tint="-0.249977111117893"/>
        <rFont val="Calibri"/>
        <family val="2"/>
        <scheme val="minor"/>
      </rPr>
      <t xml:space="preserve">=1..20, </t>
    </r>
    <r>
      <rPr>
        <b/>
        <i/>
        <sz val="12"/>
        <color theme="0" tint="-0.249977111117893"/>
        <rFont val="Calibri"/>
        <family val="2"/>
        <scheme val="minor"/>
      </rPr>
      <t>Sn</t>
    </r>
    <r>
      <rPr>
        <sz val="12"/>
        <color theme="0" tint="-0.249977111117893"/>
        <rFont val="Calibri"/>
        <family val="2"/>
        <scheme val="minor"/>
      </rPr>
      <t>=20</t>
    </r>
  </si>
  <si>
    <r>
      <t>BM</t>
    </r>
    <r>
      <rPr>
        <vertAlign val="subscript"/>
        <sz val="12"/>
        <color theme="1"/>
        <rFont val="Calibri (Gövde)"/>
        <charset val="162"/>
      </rPr>
      <t>X1</t>
    </r>
  </si>
  <si>
    <r>
      <t>BM</t>
    </r>
    <r>
      <rPr>
        <vertAlign val="subscript"/>
        <sz val="12"/>
        <color theme="1"/>
        <rFont val="Calibri (Gövde)"/>
        <charset val="162"/>
      </rPr>
      <t>X2</t>
    </r>
  </si>
  <si>
    <r>
      <t>BM</t>
    </r>
    <r>
      <rPr>
        <vertAlign val="subscript"/>
        <sz val="12"/>
        <color theme="1"/>
        <rFont val="Calibri (Gövde)"/>
        <charset val="162"/>
      </rPr>
      <t>X</t>
    </r>
  </si>
  <si>
    <r>
      <rPr>
        <i/>
        <sz val="12"/>
        <color theme="1"/>
        <rFont val="Calibri"/>
        <family val="2"/>
        <scheme val="minor"/>
      </rPr>
      <t>DET</t>
    </r>
    <r>
      <rPr>
        <sz val="12"/>
        <color theme="1"/>
        <rFont val="Calibri"/>
        <family val="2"/>
        <charset val="162"/>
        <scheme val="minor"/>
      </rPr>
      <t>(BM</t>
    </r>
    <r>
      <rPr>
        <vertAlign val="subscript"/>
        <sz val="12"/>
        <color theme="1"/>
        <rFont val="Calibri (Gövde)"/>
        <charset val="162"/>
      </rPr>
      <t>X1</t>
    </r>
    <r>
      <rPr>
        <sz val="12"/>
        <color theme="1"/>
        <rFont val="Calibri (Gövde)"/>
        <charset val="162"/>
      </rPr>
      <t>)</t>
    </r>
  </si>
  <si>
    <r>
      <rPr>
        <i/>
        <sz val="12"/>
        <color theme="1"/>
        <rFont val="Calibri"/>
        <family val="2"/>
        <scheme val="minor"/>
      </rPr>
      <t>DET</t>
    </r>
    <r>
      <rPr>
        <sz val="12"/>
        <color theme="1"/>
        <rFont val="Calibri"/>
        <family val="2"/>
        <charset val="162"/>
        <scheme val="minor"/>
      </rPr>
      <t>(BM</t>
    </r>
    <r>
      <rPr>
        <vertAlign val="subscript"/>
        <sz val="12"/>
        <color theme="1"/>
        <rFont val="Calibri (Gövde)"/>
        <charset val="162"/>
      </rPr>
      <t>X2</t>
    </r>
    <r>
      <rPr>
        <sz val="12"/>
        <color theme="1"/>
        <rFont val="Calibri"/>
        <family val="2"/>
        <charset val="162"/>
        <scheme val="minor"/>
      </rPr>
      <t>)</t>
    </r>
  </si>
  <si>
    <r>
      <rPr>
        <i/>
        <sz val="12"/>
        <color theme="1"/>
        <rFont val="Calibri"/>
        <family val="2"/>
        <scheme val="minor"/>
      </rPr>
      <t>DET</t>
    </r>
    <r>
      <rPr>
        <sz val="12"/>
        <color theme="1"/>
        <rFont val="Calibri"/>
        <family val="2"/>
        <charset val="162"/>
        <scheme val="minor"/>
      </rPr>
      <t>(BM</t>
    </r>
    <r>
      <rPr>
        <vertAlign val="subscript"/>
        <sz val="12"/>
        <color theme="1"/>
        <rFont val="Calibri (Gövde)"/>
        <charset val="162"/>
      </rPr>
      <t>X</t>
    </r>
    <r>
      <rPr>
        <sz val="12"/>
        <color theme="1"/>
        <rFont val="Calibri"/>
        <family val="2"/>
        <charset val="162"/>
        <scheme val="minor"/>
      </rPr>
      <t>)</t>
    </r>
  </si>
  <si>
    <t>+</t>
  </si>
  <si>
    <t>?</t>
  </si>
  <si>
    <t>Press SHIFT + F9 to refresh random class labels and classification outcomes</t>
  </si>
  <si>
    <t>PToPI, Periodic Table of Performance Instruments: 29 measures and 28 metrics. Online: github.com/gurol/ptopi by (CC) Gürol CANBEK v4.4.13, July 2020</t>
  </si>
  <si>
    <r>
      <t xml:space="preserve">   MSE        </t>
    </r>
    <r>
      <rPr>
        <sz val="11"/>
        <color theme="1"/>
        <rFont val="Calibri (Gövde)"/>
        <charset val="162"/>
      </rPr>
      <t>,</t>
    </r>
    <r>
      <rPr>
        <i/>
        <sz val="18"/>
        <color theme="1"/>
        <rFont val="Calibri"/>
        <family val="2"/>
        <scheme val="minor"/>
      </rPr>
      <t xml:space="preserve"> MAE
       nsMAPE</t>
    </r>
  </si>
  <si>
    <r>
      <t xml:space="preserve">Area-Under-ROC-Curve
</t>
    </r>
    <r>
      <rPr>
        <u/>
        <sz val="9"/>
        <color theme="1"/>
        <rFont val="Century Gothic"/>
        <family val="1"/>
      </rPr>
      <t>Variants</t>
    </r>
    <r>
      <rPr>
        <sz val="9"/>
        <color theme="1"/>
        <rFont val="Century Gothic"/>
        <family val="1"/>
      </rPr>
      <t xml:space="preserve">: </t>
    </r>
    <r>
      <rPr>
        <i/>
        <sz val="9"/>
        <color theme="1"/>
        <rFont val="Century Gothic"/>
        <family val="1"/>
      </rPr>
      <t>Gini</t>
    </r>
  </si>
  <si>
    <r>
      <rPr>
        <u/>
        <sz val="8"/>
        <color theme="1"/>
        <rFont val="Century Gothic"/>
        <family val="1"/>
      </rPr>
      <t>Variants</t>
    </r>
    <r>
      <rPr>
        <sz val="8"/>
        <color theme="1"/>
        <rFont val="Century Gothic"/>
        <family val="1"/>
        <charset val="162"/>
      </rPr>
      <t>:
Gini</t>
    </r>
  </si>
  <si>
    <r>
      <rPr>
        <b/>
        <sz val="11"/>
        <color theme="1"/>
        <rFont val="Calibri"/>
        <family val="2"/>
        <scheme val="minor"/>
      </rPr>
      <t>Case 1.1</t>
    </r>
    <r>
      <rPr>
        <sz val="11"/>
        <color theme="1"/>
        <rFont val="Calibri"/>
        <family val="2"/>
        <charset val="162"/>
        <scheme val="minor"/>
      </rPr>
      <t>: Over-prediction (pi &gt; ci) average values for 20 example classifications where ci = 1 (N) ∈ {1, 2}, pi in [1.5, 2] (OP) and Θ = 1.5 (all outcomes are FP, note that c values shifted to 1 and 2 instead of 0 and 1)</t>
    </r>
  </si>
  <si>
    <r>
      <rPr>
        <b/>
        <sz val="11"/>
        <color theme="1"/>
        <rFont val="Calibri"/>
        <family val="2"/>
        <scheme val="minor"/>
      </rPr>
      <t>Case 1.2</t>
    </r>
    <r>
      <rPr>
        <sz val="11"/>
        <color theme="1"/>
        <rFont val="Calibri"/>
        <family val="2"/>
        <charset val="162"/>
        <scheme val="minor"/>
      </rPr>
      <t>: Under-prediction (pi &lt; ci) average values for 20 example classifications where ci = 2 (P) ∈ {1, 2}, pi in [1, 1.5] (ON) and Θ = 1.5 (all outcomes are FN, note that c values shifted to 1 and 2 instead of 0 and 1)</t>
    </r>
  </si>
  <si>
    <r>
      <rPr>
        <b/>
        <sz val="11"/>
        <color theme="1"/>
        <rFont val="Calibri"/>
        <family val="2"/>
        <scheme val="minor"/>
      </rPr>
      <t>Case 2.1:</t>
    </r>
    <r>
      <rPr>
        <sz val="11"/>
        <color theme="1"/>
        <rFont val="Calibri"/>
        <family val="2"/>
        <charset val="162"/>
        <scheme val="minor"/>
      </rPr>
      <t xml:space="preserve"> All TN on negative-only samples with minimizing error where ci = 0 ∈ {0, 1} and pi in [0.5, 0.4] ➝ [0.5, 0.00001] in 7 steps (8 example classifications)</t>
    </r>
  </si>
  <si>
    <r>
      <rPr>
        <b/>
        <sz val="11"/>
        <color theme="1"/>
        <rFont val="Calibri"/>
        <family val="2"/>
        <scheme val="minor"/>
      </rPr>
      <t>Case 2.2:</t>
    </r>
    <r>
      <rPr>
        <sz val="11"/>
        <color theme="1"/>
        <rFont val="Calibri"/>
        <family val="2"/>
        <charset val="162"/>
        <scheme val="minor"/>
      </rPr>
      <t xml:space="preserve"> All TP on positive-only samples with minimizing error where ci = 1 ∈ {0, 1} and pi in [0.5, 1] ➝ [0.9999, 1] in 7 steps (8 example classifications)</t>
    </r>
  </si>
  <si>
    <r>
      <rPr>
        <b/>
        <sz val="11"/>
        <color theme="1"/>
        <rFont val="Calibri"/>
        <family val="2"/>
        <scheme val="minor"/>
      </rPr>
      <t>Case 3.1</t>
    </r>
    <r>
      <rPr>
        <sz val="11"/>
        <color theme="1"/>
        <rFont val="Calibri"/>
        <family val="2"/>
        <scheme val="minor"/>
      </rPr>
      <t>: All FP on negative-only samples with maximizing error where ci = 0 ∈ {0, 1} and random pi in [0.5, 0.6] ➝ [0.99, 1] in 9 steps (10 example classifications)</t>
    </r>
  </si>
  <si>
    <r>
      <rPr>
        <b/>
        <sz val="11"/>
        <color theme="1"/>
        <rFont val="Calibri"/>
        <family val="2"/>
        <scheme val="minor"/>
      </rPr>
      <t>Case 3.2</t>
    </r>
    <r>
      <rPr>
        <sz val="11"/>
        <color theme="1"/>
        <rFont val="Calibri"/>
        <family val="2"/>
        <scheme val="minor"/>
      </rPr>
      <t>: All FN on positive-only samples with maximizing error where ci = 1 ∈ {0, 1} and random pi in [0.4, 0.5] ➝ [0, 0.1] in 9 steps (10 example classifications)</t>
    </r>
  </si>
  <si>
    <r>
      <rPr>
        <b/>
        <sz val="11"/>
        <color theme="1"/>
        <rFont val="Calibri"/>
        <family val="2"/>
        <scheme val="minor"/>
      </rPr>
      <t>Case 4.1</t>
    </r>
    <r>
      <rPr>
        <sz val="11"/>
        <color theme="1"/>
        <rFont val="Calibri"/>
        <family val="2"/>
        <charset val="162"/>
        <scheme val="minor"/>
      </rPr>
      <t>: Random pi in [0, 1] on random ci ∈ {0, 1} samples (20 example classifications)</t>
    </r>
  </si>
  <si>
    <r>
      <rPr>
        <b/>
        <sz val="11"/>
        <color theme="1"/>
        <rFont val="Calibri"/>
        <family val="2"/>
        <scheme val="minor"/>
      </rPr>
      <t>Case 4.2</t>
    </r>
    <r>
      <rPr>
        <sz val="11"/>
        <color theme="1"/>
        <rFont val="Calibri"/>
        <family val="2"/>
        <charset val="162"/>
        <scheme val="minor"/>
      </rPr>
      <t>: Random (with high performance) pi in [0, 1] on random ci ∈ {0, 1} samples where TPR  ≳ 0.8 and TNR ≳ 0.8 (20 example classifications)</t>
    </r>
  </si>
  <si>
    <r>
      <rPr>
        <b/>
        <sz val="11"/>
        <color theme="1"/>
        <rFont val="Calibri"/>
        <family val="2"/>
        <scheme val="minor"/>
      </rPr>
      <t>Case 6.1:</t>
    </r>
    <r>
      <rPr>
        <i/>
        <sz val="11"/>
        <color theme="1"/>
        <rFont val="Calibri"/>
        <family val="2"/>
        <scheme val="minor"/>
      </rPr>
      <t xml:space="preserve"> Increasing FN/Sn: FP = 1 and TP = TN = 0 where FN = 4, 9, 14, 19, and 24, ci and pi ∈ {0, 1} (5 example classifications, Sn = 5, 10, 15, 20, 25)</t>
    </r>
  </si>
  <si>
    <r>
      <rPr>
        <b/>
        <sz val="11"/>
        <color theme="1"/>
        <rFont val="Calibri"/>
        <family val="2"/>
        <scheme val="minor"/>
      </rPr>
      <t>Case 6.2:</t>
    </r>
    <r>
      <rPr>
        <i/>
        <sz val="11"/>
        <color theme="1"/>
        <rFont val="Calibri"/>
        <family val="2"/>
        <scheme val="minor"/>
      </rPr>
      <t xml:space="preserve"> Increasing FP/Sn: FN = 1 and TP = TN = 0 where FP = 4, 9, 14, 19, and 24, ci and pi ∈ {0, 1} (5 example classifications)</t>
    </r>
  </si>
  <si>
    <r>
      <rPr>
        <b/>
        <sz val="11"/>
        <color theme="1"/>
        <rFont val="Calibri"/>
        <family val="2"/>
        <scheme val="minor"/>
      </rPr>
      <t>Case 7.1:</t>
    </r>
    <r>
      <rPr>
        <i/>
        <sz val="11"/>
        <color theme="1"/>
        <rFont val="Calibri"/>
        <family val="2"/>
        <scheme val="minor"/>
      </rPr>
      <t xml:space="preserve"> Increasing FN/Sn: FP = 1 and TP = TN = 0 where FN = 4, 9, 14, 19, and 24, ci ∈ {0, 1} and pi ∈ {0.01, 0.99} (5 example classifications)</t>
    </r>
  </si>
  <si>
    <r>
      <rPr>
        <b/>
        <sz val="11"/>
        <color theme="1"/>
        <rFont val="Calibri"/>
        <family val="2"/>
        <scheme val="minor"/>
      </rPr>
      <t>Case 7.2:</t>
    </r>
    <r>
      <rPr>
        <i/>
        <sz val="11"/>
        <color theme="1"/>
        <rFont val="Calibri"/>
        <family val="2"/>
        <scheme val="minor"/>
      </rPr>
      <t xml:space="preserve"> Increasing FP/Sn: FN = 1 and TP = TN = 0 where FP = 4, 9, 14, 19, and 24, ci ∈ {0, 1} and pi ∈ {0.01, 0.99} (5 example classifications)</t>
    </r>
  </si>
  <si>
    <r>
      <t xml:space="preserve">Use 1 and 2 (instead of 0 and 1) for </t>
    </r>
    <r>
      <rPr>
        <i/>
        <sz val="6"/>
        <color theme="1"/>
        <rFont val="Times New Roman"/>
        <family val="1"/>
      </rPr>
      <t>c</t>
    </r>
    <r>
      <rPr>
        <sz val="6"/>
        <color theme="1"/>
        <rFont val="Times New Roman"/>
        <family val="1"/>
      </rPr>
      <t xml:space="preserve"> negative and positive to test </t>
    </r>
    <r>
      <rPr>
        <i/>
        <sz val="6"/>
        <color theme="1"/>
        <rFont val="Times New Roman"/>
        <family val="1"/>
      </rPr>
      <t>MAPE</t>
    </r>
    <r>
      <rPr>
        <sz val="6"/>
        <color theme="1"/>
        <rFont val="Times New Roman"/>
        <family val="1"/>
      </rPr>
      <t xml:space="preserve"> underestimate / overestimate difference</t>
    </r>
  </si>
  <si>
    <t>Always 0</t>
  </si>
  <si>
    <r>
      <rPr>
        <b/>
        <sz val="11"/>
        <color theme="1"/>
        <rFont val="Calibri"/>
        <family val="2"/>
        <scheme val="minor"/>
      </rPr>
      <t>Case 5.1:</t>
    </r>
    <r>
      <rPr>
        <i/>
        <sz val="11"/>
        <color theme="1"/>
        <rFont val="Calibri"/>
        <family val="2"/>
        <scheme val="minor"/>
      </rPr>
      <t xml:space="preserve"> Increasing performance: TP = 10 − i, FP = i, FN = i, TN = 10 − i where i = 10..0, ci and pi ∈ {0, 1} (11 example classifications)</t>
    </r>
  </si>
  <si>
    <r>
      <rPr>
        <b/>
        <sz val="11"/>
        <color theme="1"/>
        <rFont val="Calibri"/>
        <family val="2"/>
        <scheme val="minor"/>
      </rPr>
      <t>Case 5.2:</t>
    </r>
    <r>
      <rPr>
        <i/>
        <sz val="11"/>
        <color theme="1"/>
        <rFont val="Calibri"/>
        <family val="2"/>
        <scheme val="minor"/>
      </rPr>
      <t xml:space="preserve"> Increasing performance: TP = 10 − i, FP = i, FN = i, TN = 10 − i where i = 10..0, ci ∈ {0, 1} and pi ∈ {0.01, 0.99} (11 example classifications)</t>
    </r>
  </si>
  <si>
    <r>
      <rPr>
        <i/>
        <sz val="11"/>
        <color theme="1"/>
        <rFont val="Calibri"/>
        <family val="2"/>
        <scheme val="minor"/>
      </rPr>
      <t>TP</t>
    </r>
    <r>
      <rPr>
        <sz val="11"/>
        <color theme="1"/>
        <rFont val="Calibri"/>
        <family val="2"/>
        <charset val="162"/>
        <scheme val="minor"/>
      </rPr>
      <t xml:space="preserve"> = 0,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10,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10, </t>
    </r>
    <r>
      <rPr>
        <i/>
        <sz val="11"/>
        <color theme="1"/>
        <rFont val="Calibri"/>
        <family val="2"/>
        <scheme val="minor"/>
      </rPr>
      <t>TN</t>
    </r>
    <r>
      <rPr>
        <sz val="11"/>
        <color theme="1"/>
        <rFont val="Calibri"/>
        <family val="2"/>
        <charset val="162"/>
        <scheme val="minor"/>
      </rPr>
      <t xml:space="preserve"> = 0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{0.01, 0.99}</t>
    </r>
  </si>
  <si>
    <r>
      <rPr>
        <i/>
        <sz val="11"/>
        <color theme="1"/>
        <rFont val="Calibri"/>
        <family val="2"/>
        <scheme val="minor"/>
      </rPr>
      <t>TP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9,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9, </t>
    </r>
    <r>
      <rPr>
        <i/>
        <sz val="11"/>
        <color theme="1"/>
        <rFont val="Calibri"/>
        <family val="2"/>
        <scheme val="minor"/>
      </rPr>
      <t>TN</t>
    </r>
    <r>
      <rPr>
        <sz val="11"/>
        <color theme="1"/>
        <rFont val="Calibri"/>
        <family val="2"/>
        <charset val="162"/>
        <scheme val="minor"/>
      </rPr>
      <t xml:space="preserve"> = 1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{0.01, 0.99}</t>
    </r>
  </si>
  <si>
    <r>
      <rPr>
        <i/>
        <sz val="11"/>
        <color theme="1"/>
        <rFont val="Calibri"/>
        <family val="2"/>
        <scheme val="minor"/>
      </rPr>
      <t>TP</t>
    </r>
    <r>
      <rPr>
        <sz val="11"/>
        <color theme="1"/>
        <rFont val="Calibri"/>
        <family val="2"/>
        <charset val="162"/>
        <scheme val="minor"/>
      </rPr>
      <t xml:space="preserve"> = 2,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8,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8, </t>
    </r>
    <r>
      <rPr>
        <i/>
        <sz val="11"/>
        <color theme="1"/>
        <rFont val="Calibri"/>
        <family val="2"/>
        <scheme val="minor"/>
      </rPr>
      <t>TN</t>
    </r>
    <r>
      <rPr>
        <sz val="11"/>
        <color theme="1"/>
        <rFont val="Calibri"/>
        <family val="2"/>
        <charset val="162"/>
        <scheme val="minor"/>
      </rPr>
      <t xml:space="preserve"> = 2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{0.01, 0.99}</t>
    </r>
  </si>
  <si>
    <r>
      <rPr>
        <i/>
        <sz val="11"/>
        <color theme="1"/>
        <rFont val="Calibri"/>
        <family val="2"/>
        <scheme val="minor"/>
      </rPr>
      <t>TP</t>
    </r>
    <r>
      <rPr>
        <sz val="11"/>
        <color theme="1"/>
        <rFont val="Calibri"/>
        <family val="2"/>
        <charset val="162"/>
        <scheme val="minor"/>
      </rPr>
      <t xml:space="preserve"> = 3,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7,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7, </t>
    </r>
    <r>
      <rPr>
        <i/>
        <sz val="11"/>
        <color theme="1"/>
        <rFont val="Calibri"/>
        <family val="2"/>
        <scheme val="minor"/>
      </rPr>
      <t>TN</t>
    </r>
    <r>
      <rPr>
        <sz val="11"/>
        <color theme="1"/>
        <rFont val="Calibri"/>
        <family val="2"/>
        <charset val="162"/>
        <scheme val="minor"/>
      </rPr>
      <t xml:space="preserve"> = 3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{0.01, 0.99}</t>
    </r>
  </si>
  <si>
    <r>
      <rPr>
        <i/>
        <sz val="11"/>
        <color theme="1"/>
        <rFont val="Calibri"/>
        <family val="2"/>
        <scheme val="minor"/>
      </rPr>
      <t>TP</t>
    </r>
    <r>
      <rPr>
        <sz val="11"/>
        <color theme="1"/>
        <rFont val="Calibri"/>
        <family val="2"/>
        <charset val="162"/>
        <scheme val="minor"/>
      </rPr>
      <t xml:space="preserve"> = 4,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6,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6, </t>
    </r>
    <r>
      <rPr>
        <i/>
        <sz val="11"/>
        <color theme="1"/>
        <rFont val="Calibri"/>
        <family val="2"/>
        <scheme val="minor"/>
      </rPr>
      <t>TN</t>
    </r>
    <r>
      <rPr>
        <sz val="11"/>
        <color theme="1"/>
        <rFont val="Calibri"/>
        <family val="2"/>
        <charset val="162"/>
        <scheme val="minor"/>
      </rPr>
      <t xml:space="preserve"> = 4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{0.01, 0.99}</t>
    </r>
  </si>
  <si>
    <r>
      <rPr>
        <i/>
        <sz val="11"/>
        <color theme="1"/>
        <rFont val="Calibri"/>
        <family val="2"/>
        <scheme val="minor"/>
      </rPr>
      <t>TP</t>
    </r>
    <r>
      <rPr>
        <sz val="11"/>
        <color theme="1"/>
        <rFont val="Calibri"/>
        <family val="2"/>
        <charset val="162"/>
        <scheme val="minor"/>
      </rPr>
      <t xml:space="preserve"> = 5,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5,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5, </t>
    </r>
    <r>
      <rPr>
        <i/>
        <sz val="11"/>
        <color theme="1"/>
        <rFont val="Calibri"/>
        <family val="2"/>
        <scheme val="minor"/>
      </rPr>
      <t>TN</t>
    </r>
    <r>
      <rPr>
        <sz val="11"/>
        <color theme="1"/>
        <rFont val="Calibri"/>
        <family val="2"/>
        <charset val="162"/>
        <scheme val="minor"/>
      </rPr>
      <t xml:space="preserve"> = 5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{0.01, 0.99}</t>
    </r>
  </si>
  <si>
    <r>
      <rPr>
        <i/>
        <sz val="11"/>
        <color theme="1"/>
        <rFont val="Calibri"/>
        <family val="2"/>
        <scheme val="minor"/>
      </rPr>
      <t>TP</t>
    </r>
    <r>
      <rPr>
        <sz val="11"/>
        <color theme="1"/>
        <rFont val="Calibri"/>
        <family val="2"/>
        <charset val="162"/>
        <scheme val="minor"/>
      </rPr>
      <t xml:space="preserve"> = 6,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4,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4, </t>
    </r>
    <r>
      <rPr>
        <i/>
        <sz val="11"/>
        <color theme="1"/>
        <rFont val="Calibri"/>
        <family val="2"/>
        <scheme val="minor"/>
      </rPr>
      <t>TN</t>
    </r>
    <r>
      <rPr>
        <sz val="11"/>
        <color theme="1"/>
        <rFont val="Calibri"/>
        <family val="2"/>
        <charset val="162"/>
        <scheme val="minor"/>
      </rPr>
      <t xml:space="preserve"> = 6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{0.01, 0.99}</t>
    </r>
  </si>
  <si>
    <r>
      <rPr>
        <i/>
        <sz val="11"/>
        <color theme="1"/>
        <rFont val="Calibri"/>
        <family val="2"/>
        <scheme val="minor"/>
      </rPr>
      <t>TP</t>
    </r>
    <r>
      <rPr>
        <sz val="11"/>
        <color theme="1"/>
        <rFont val="Calibri"/>
        <family val="2"/>
        <charset val="162"/>
        <scheme val="minor"/>
      </rPr>
      <t xml:space="preserve"> = 7,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3,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3, </t>
    </r>
    <r>
      <rPr>
        <i/>
        <sz val="11"/>
        <color theme="1"/>
        <rFont val="Calibri"/>
        <family val="2"/>
        <scheme val="minor"/>
      </rPr>
      <t>TN</t>
    </r>
    <r>
      <rPr>
        <sz val="11"/>
        <color theme="1"/>
        <rFont val="Calibri"/>
        <family val="2"/>
        <charset val="162"/>
        <scheme val="minor"/>
      </rPr>
      <t xml:space="preserve"> = 7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{0.01, 0.99}</t>
    </r>
  </si>
  <si>
    <r>
      <rPr>
        <i/>
        <sz val="11"/>
        <color theme="1"/>
        <rFont val="Calibri"/>
        <family val="2"/>
        <scheme val="minor"/>
      </rPr>
      <t>TP</t>
    </r>
    <r>
      <rPr>
        <sz val="11"/>
        <color theme="1"/>
        <rFont val="Calibri"/>
        <family val="2"/>
        <charset val="162"/>
        <scheme val="minor"/>
      </rPr>
      <t xml:space="preserve"> = 8,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2,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2, </t>
    </r>
    <r>
      <rPr>
        <i/>
        <sz val="11"/>
        <color theme="1"/>
        <rFont val="Calibri"/>
        <family val="2"/>
        <scheme val="minor"/>
      </rPr>
      <t>TN</t>
    </r>
    <r>
      <rPr>
        <sz val="11"/>
        <color theme="1"/>
        <rFont val="Calibri"/>
        <family val="2"/>
        <charset val="162"/>
        <scheme val="minor"/>
      </rPr>
      <t xml:space="preserve"> = 8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{0.01, 0.99}</t>
    </r>
  </si>
  <si>
    <r>
      <rPr>
        <i/>
        <sz val="11"/>
        <color theme="1"/>
        <rFont val="Calibri"/>
        <family val="2"/>
        <scheme val="minor"/>
      </rPr>
      <t>TP</t>
    </r>
    <r>
      <rPr>
        <sz val="11"/>
        <color theme="1"/>
        <rFont val="Calibri"/>
        <family val="2"/>
        <charset val="162"/>
        <scheme val="minor"/>
      </rPr>
      <t xml:space="preserve"> = 9,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1, </t>
    </r>
    <r>
      <rPr>
        <i/>
        <sz val="11"/>
        <color theme="1"/>
        <rFont val="Calibri"/>
        <family val="2"/>
        <scheme val="minor"/>
      </rPr>
      <t>TN</t>
    </r>
    <r>
      <rPr>
        <sz val="11"/>
        <color theme="1"/>
        <rFont val="Calibri"/>
        <family val="2"/>
        <charset val="162"/>
        <scheme val="minor"/>
      </rPr>
      <t xml:space="preserve"> = 9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{0.01, 0.99}</t>
    </r>
  </si>
  <si>
    <r>
      <rPr>
        <i/>
        <sz val="11"/>
        <color theme="1"/>
        <rFont val="Calibri"/>
        <family val="2"/>
        <scheme val="minor"/>
      </rPr>
      <t>TP</t>
    </r>
    <r>
      <rPr>
        <sz val="11"/>
        <color theme="1"/>
        <rFont val="Calibri"/>
        <family val="2"/>
        <charset val="162"/>
        <scheme val="minor"/>
      </rPr>
      <t xml:space="preserve"> = 10, </t>
    </r>
    <r>
      <rPr>
        <i/>
        <sz val="11"/>
        <color theme="1"/>
        <rFont val="Calibri"/>
        <family val="2"/>
        <scheme val="minor"/>
      </rPr>
      <t>FP</t>
    </r>
    <r>
      <rPr>
        <sz val="11"/>
        <color theme="1"/>
        <rFont val="Calibri"/>
        <family val="2"/>
        <charset val="162"/>
        <scheme val="minor"/>
      </rPr>
      <t xml:space="preserve"> = 0, </t>
    </r>
    <r>
      <rPr>
        <i/>
        <sz val="11"/>
        <color theme="1"/>
        <rFont val="Calibri"/>
        <family val="2"/>
        <scheme val="minor"/>
      </rPr>
      <t>FN</t>
    </r>
    <r>
      <rPr>
        <sz val="11"/>
        <color theme="1"/>
        <rFont val="Calibri"/>
        <family val="2"/>
        <charset val="162"/>
        <scheme val="minor"/>
      </rPr>
      <t xml:space="preserve"> = 0, </t>
    </r>
    <r>
      <rPr>
        <i/>
        <sz val="11"/>
        <color theme="1"/>
        <rFont val="Calibri"/>
        <family val="2"/>
        <scheme val="minor"/>
      </rPr>
      <t>TN</t>
    </r>
    <r>
      <rPr>
        <sz val="11"/>
        <color theme="1"/>
        <rFont val="Calibri"/>
        <family val="2"/>
        <charset val="162"/>
        <scheme val="minor"/>
      </rPr>
      <t xml:space="preserve"> = 10 where </t>
    </r>
    <r>
      <rPr>
        <i/>
        <sz val="11"/>
        <color theme="1"/>
        <rFont val="Calibri"/>
        <family val="2"/>
        <scheme val="minor"/>
      </rPr>
      <t>c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{0, 1} and </t>
    </r>
    <r>
      <rPr>
        <i/>
        <sz val="11"/>
        <color theme="1"/>
        <rFont val="Calibri"/>
        <family val="2"/>
        <scheme val="minor"/>
      </rPr>
      <t>p</t>
    </r>
    <r>
      <rPr>
        <i/>
        <vertAlign val="subscript"/>
        <sz val="11"/>
        <color theme="1"/>
        <rFont val="Calibri (Gövde)"/>
        <charset val="162"/>
      </rPr>
      <t>i</t>
    </r>
    <r>
      <rPr>
        <sz val="11"/>
        <color theme="1"/>
        <rFont val="Calibri"/>
        <family val="2"/>
        <scheme val="minor"/>
      </rPr>
      <t xml:space="preserve"> ∈ {0.01, 0.99}</t>
    </r>
  </si>
  <si>
    <r>
      <rPr>
        <b/>
        <sz val="14"/>
        <color theme="1"/>
        <rFont val="Times New Roman"/>
        <family val="1"/>
      </rPr>
      <t>BenchMetrics Prob</t>
    </r>
    <r>
      <rPr>
        <sz val="14"/>
        <color theme="1"/>
        <rFont val="Times New Roman"/>
        <family val="1"/>
      </rPr>
      <t xml:space="preserve">
Probabilistic Error/Loss Instrument Calculator and Simulation Tool
</t>
    </r>
    <r>
      <rPr>
        <sz val="11"/>
        <color theme="1"/>
        <rFont val="Times New Roman"/>
        <family val="1"/>
      </rPr>
      <t>for hypothetical classifiers on synthetic datasets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</si>
</sst>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"/>
    <numFmt numFmtId="165" formatCode="0.0"/>
    <numFmt numFmtId="166" formatCode="0.0000"/>
    <numFmt numFmtId="167" formatCode="0.00000"/>
    <numFmt numFmtId="168" formatCode="0.000000"/>
    <numFmt numFmtId="169" formatCode="0.0000000"/>
    <numFmt numFmtId="170" formatCode="0.00000000"/>
    <numFmt numFmtId="171" formatCode="0.000000000"/>
    <numFmt numFmtId="172" formatCode="0.00000000000"/>
    <numFmt numFmtId="173" formatCode="0.000000000000"/>
  </numFmts>
  <fonts count="224" x14ac:knownFonts="1">
    <font>
      <sz val="12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i/>
      <sz val="12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entury Gothic"/>
      <family val="1"/>
    </font>
    <font>
      <i/>
      <sz val="8"/>
      <color theme="1"/>
      <name val="Century Gothic"/>
      <family val="1"/>
    </font>
    <font>
      <sz val="11"/>
      <color theme="1"/>
      <name val="Symbol"/>
      <family val="1"/>
      <charset val="2"/>
    </font>
    <font>
      <b/>
      <i/>
      <sz val="1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8"/>
      <color theme="1"/>
      <name val="Calibri"/>
      <family val="2"/>
      <charset val="162"/>
      <scheme val="minor"/>
    </font>
    <font>
      <sz val="11"/>
      <color theme="1" tint="0.499984740745262"/>
      <name val="Calibri"/>
      <family val="2"/>
      <scheme val="minor"/>
    </font>
    <font>
      <i/>
      <sz val="18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sz val="8"/>
      <color theme="1" tint="0.499984740745262"/>
      <name val="Century Gothic"/>
      <family val="1"/>
    </font>
    <font>
      <i/>
      <sz val="11"/>
      <color theme="1" tint="0.499984740745262"/>
      <name val="Calibri (Gövde)"/>
      <charset val="162"/>
    </font>
    <font>
      <b/>
      <i/>
      <sz val="18"/>
      <color theme="1"/>
      <name val="Calibri"/>
      <family val="2"/>
      <charset val="162"/>
      <scheme val="minor"/>
    </font>
    <font>
      <sz val="16"/>
      <color theme="1" tint="0.499984740745262"/>
      <name val="Calibri (Gövde)"/>
      <charset val="162"/>
    </font>
    <font>
      <sz val="10"/>
      <color theme="1"/>
      <name val="Calibri"/>
      <family val="2"/>
      <scheme val="minor"/>
    </font>
    <font>
      <sz val="8"/>
      <color theme="1"/>
      <name val="Century Gothic"/>
      <family val="1"/>
      <charset val="162"/>
    </font>
    <font>
      <sz val="18"/>
      <color theme="1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sz val="8"/>
      <color theme="1" tint="0.499984740745262"/>
      <name val="Century Gothic"/>
      <family val="1"/>
      <charset val="162"/>
    </font>
    <font>
      <sz val="8"/>
      <color rgb="FF000000"/>
      <name val="Calibri"/>
      <family val="2"/>
    </font>
    <font>
      <sz val="8"/>
      <color theme="0" tint="-0.499984740745262"/>
      <name val="Calibri"/>
      <family val="2"/>
      <charset val="162"/>
    </font>
    <font>
      <sz val="10"/>
      <color rgb="FF000000"/>
      <name val="Calibri"/>
      <family val="2"/>
    </font>
    <font>
      <sz val="10"/>
      <color theme="0" tint="-0.499984740745262"/>
      <name val="Calibri"/>
      <family val="2"/>
      <charset val="162"/>
    </font>
    <font>
      <b/>
      <sz val="14"/>
      <name val="Calibri"/>
      <family val="2"/>
      <scheme val="minor"/>
    </font>
    <font>
      <sz val="8"/>
      <name val="Century Gothic"/>
      <family val="1"/>
      <charset val="16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u/>
      <sz val="12"/>
      <color theme="1"/>
      <name val="Times New Roman"/>
      <family val="1"/>
    </font>
    <font>
      <b/>
      <i/>
      <sz val="12"/>
      <color rgb="FFCC0000"/>
      <name val="Times New Roman"/>
      <family val="1"/>
    </font>
    <font>
      <b/>
      <i/>
      <sz val="12"/>
      <color rgb="FF7D3F3F"/>
      <name val="Times New Roman"/>
      <family val="1"/>
    </font>
    <font>
      <b/>
      <i/>
      <sz val="12"/>
      <color rgb="FF274927"/>
      <name val="Times New Roman"/>
      <family val="1"/>
    </font>
    <font>
      <b/>
      <i/>
      <sz val="12"/>
      <color rgb="FF009900"/>
      <name val="Times New Roman"/>
      <family val="1"/>
    </font>
    <font>
      <b/>
      <i/>
      <sz val="12"/>
      <color rgb="FFFF5050"/>
      <name val="Times New Roman"/>
      <family val="1"/>
    </font>
    <font>
      <b/>
      <i/>
      <sz val="12"/>
      <color rgb="FF33CC33"/>
      <name val="Times New Roman"/>
      <family val="1"/>
    </font>
    <font>
      <b/>
      <i/>
      <sz val="12"/>
      <color rgb="FFFFCCCC"/>
      <name val="Times New Roman"/>
      <family val="1"/>
    </font>
    <font>
      <b/>
      <i/>
      <sz val="12"/>
      <color rgb="FFCCFFCC"/>
      <name val="Times New Roman"/>
      <family val="1"/>
    </font>
    <font>
      <b/>
      <i/>
      <sz val="12"/>
      <color rgb="FF117777"/>
      <name val="Times New Roman"/>
      <family val="1"/>
    </font>
    <font>
      <b/>
      <i/>
      <sz val="12"/>
      <color rgb="FF7030A0"/>
      <name val="Times New Roman"/>
      <family val="1"/>
    </font>
    <font>
      <b/>
      <i/>
      <sz val="12"/>
      <color rgb="FF424100"/>
      <name val="Times New Roman"/>
      <family val="1"/>
    </font>
    <font>
      <i/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rgb="FFCC0000"/>
      <name val="Times New Roman"/>
      <family val="1"/>
    </font>
    <font>
      <b/>
      <sz val="12"/>
      <color rgb="FF7D3F3F"/>
      <name val="Times New Roman"/>
      <family val="1"/>
    </font>
    <font>
      <b/>
      <sz val="12"/>
      <color rgb="FF274927"/>
      <name val="Times New Roman"/>
      <family val="1"/>
    </font>
    <font>
      <b/>
      <sz val="12"/>
      <color rgb="FF009900"/>
      <name val="Times New Roman"/>
      <family val="1"/>
    </font>
    <font>
      <b/>
      <sz val="12"/>
      <color rgb="FFFF5050"/>
      <name val="Times New Roman"/>
      <family val="1"/>
    </font>
    <font>
      <b/>
      <sz val="12"/>
      <color rgb="FF33CC33"/>
      <name val="Times New Roman"/>
      <family val="1"/>
    </font>
    <font>
      <b/>
      <sz val="12"/>
      <color rgb="FFFFCCCC"/>
      <name val="Times New Roman"/>
      <family val="1"/>
    </font>
    <font>
      <b/>
      <sz val="12"/>
      <color rgb="FFCCFFCC"/>
      <name val="Times New Roman"/>
      <family val="1"/>
    </font>
    <font>
      <b/>
      <sz val="12"/>
      <color rgb="FF117777"/>
      <name val="Times New Roman"/>
      <family val="1"/>
    </font>
    <font>
      <b/>
      <sz val="12"/>
      <color rgb="FF7030A0"/>
      <name val="Times New Roman"/>
      <family val="1"/>
    </font>
    <font>
      <b/>
      <sz val="12"/>
      <color rgb="FF424100"/>
      <name val="Times New Roman"/>
      <family val="1"/>
    </font>
    <font>
      <i/>
      <sz val="12"/>
      <color theme="1" tint="0.499984740745262"/>
      <name val="Times New Roman"/>
      <family val="1"/>
    </font>
    <font>
      <sz val="12"/>
      <color rgb="FF000000"/>
      <name val="Calibri"/>
      <family val="2"/>
    </font>
    <font>
      <sz val="12"/>
      <color theme="0" tint="-0.499984740745262"/>
      <name val="Calibri"/>
      <family val="2"/>
      <charset val="162"/>
    </font>
    <font>
      <sz val="7.5"/>
      <color theme="1"/>
      <name val="Century Gothic"/>
      <family val="1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 tint="0.499984740745262"/>
      <name val="Calibri (Gövde)"/>
      <charset val="162"/>
    </font>
    <font>
      <i/>
      <u/>
      <sz val="11"/>
      <color theme="1"/>
      <name val="Calibri (Gövde)"/>
      <charset val="162"/>
    </font>
    <font>
      <sz val="10"/>
      <color theme="1"/>
      <name val="Calibri"/>
      <family val="2"/>
      <charset val="162"/>
      <scheme val="minor"/>
    </font>
    <font>
      <sz val="11.5"/>
      <color theme="1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i/>
      <sz val="18"/>
      <name val="Calibri"/>
      <family val="2"/>
      <scheme val="minor"/>
    </font>
    <font>
      <sz val="14"/>
      <color theme="1" tint="0.499984740745262"/>
      <name val="Century Gothic"/>
      <family val="1"/>
    </font>
    <font>
      <sz val="14"/>
      <color theme="1" tint="0.499984740745262"/>
      <name val="Century Gothic"/>
      <family val="1"/>
      <charset val="162"/>
    </font>
    <font>
      <i/>
      <sz val="8.5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u/>
      <sz val="8"/>
      <color theme="1"/>
      <name val="Century Gothic"/>
      <family val="2"/>
    </font>
    <font>
      <sz val="8"/>
      <color theme="1"/>
      <name val="Century Gothic"/>
      <family val="2"/>
    </font>
    <font>
      <sz val="8"/>
      <color theme="1"/>
      <name val="Calibri"/>
      <family val="2"/>
      <charset val="162"/>
      <scheme val="minor"/>
    </font>
    <font>
      <sz val="11"/>
      <color theme="1"/>
      <name val="Times New Roman"/>
      <family val="1"/>
    </font>
    <font>
      <i/>
      <vertAlign val="subscript"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8"/>
      <color theme="0" tint="-0.249977111117893"/>
      <name val="Times New Roman"/>
      <family val="1"/>
    </font>
    <font>
      <sz val="8"/>
      <color theme="1"/>
      <name val="Times New Roman"/>
      <family val="1"/>
    </font>
    <font>
      <sz val="6"/>
      <color theme="1"/>
      <name val="Times New Roman"/>
      <family val="1"/>
    </font>
    <font>
      <i/>
      <sz val="6"/>
      <color theme="1"/>
      <name val="Times New Roman"/>
      <family val="1"/>
    </font>
    <font>
      <b/>
      <i/>
      <sz val="11"/>
      <name val="Times New Roman"/>
      <family val="1"/>
    </font>
    <font>
      <sz val="11"/>
      <color rgb="FF0000FF"/>
      <name val="Times New Roman"/>
      <family val="1"/>
    </font>
    <font>
      <b/>
      <i/>
      <vertAlign val="subscript"/>
      <sz val="11"/>
      <color theme="1"/>
      <name val="Times New Roman"/>
      <family val="1"/>
    </font>
    <font>
      <b/>
      <sz val="11"/>
      <color theme="1"/>
      <name val="Calibri"/>
      <family val="2"/>
    </font>
    <font>
      <sz val="9"/>
      <color theme="1"/>
      <name val="Times New Roman"/>
      <family val="1"/>
    </font>
    <font>
      <i/>
      <sz val="8"/>
      <color theme="1"/>
      <name val="Times New Roman"/>
      <family val="1"/>
    </font>
    <font>
      <i/>
      <sz val="11"/>
      <name val="Times New Roman"/>
      <family val="1"/>
    </font>
    <font>
      <sz val="9"/>
      <color rgb="FF0000FF"/>
      <name val="Times New Roman"/>
      <family val="1"/>
    </font>
    <font>
      <sz val="11"/>
      <color theme="1" tint="0.499984740745262"/>
      <name val="Times New Roman"/>
      <family val="1"/>
    </font>
    <font>
      <i/>
      <sz val="11"/>
      <color theme="1" tint="0.499984740745262"/>
      <name val="Times New Roman"/>
      <family val="1"/>
    </font>
    <font>
      <sz val="9"/>
      <color theme="1" tint="0.499984740745262"/>
      <name val="Times New Roman"/>
      <family val="1"/>
    </font>
    <font>
      <i/>
      <sz val="11"/>
      <color rgb="FF7030A0"/>
      <name val="Times New Roman"/>
      <family val="1"/>
    </font>
    <font>
      <sz val="11"/>
      <color theme="1"/>
      <name val="Webdings"/>
      <family val="1"/>
      <charset val="2"/>
    </font>
    <font>
      <b/>
      <sz val="11"/>
      <color theme="1"/>
      <name val="Calibri"/>
      <family val="2"/>
      <scheme val="minor"/>
    </font>
    <font>
      <i/>
      <vertAlign val="superscript"/>
      <sz val="11"/>
      <color theme="1"/>
      <name val="Times New Roman"/>
      <family val="1"/>
    </font>
    <font>
      <i/>
      <sz val="11"/>
      <color theme="1"/>
      <name val="Calibri (Gövde)"/>
      <charset val="162"/>
    </font>
    <font>
      <u/>
      <sz val="12"/>
      <color theme="10"/>
      <name val="Calibri"/>
      <family val="2"/>
      <charset val="162"/>
      <scheme val="minor"/>
    </font>
    <font>
      <sz val="11"/>
      <color rgb="FFFF0000"/>
      <name val="Times New Roman"/>
      <family val="1"/>
      <charset val="162"/>
    </font>
    <font>
      <sz val="11"/>
      <color rgb="FFFF0000"/>
      <name val="Calibri"/>
      <family val="2"/>
      <charset val="162"/>
      <scheme val="minor"/>
    </font>
    <font>
      <i/>
      <sz val="8"/>
      <name val="Times New Roman"/>
      <family val="1"/>
    </font>
    <font>
      <sz val="8"/>
      <name val="Times New Roman"/>
      <family val="1"/>
    </font>
    <font>
      <sz val="10"/>
      <color rgb="FFFF0000"/>
      <name val="Times New Roman"/>
      <family val="1"/>
      <charset val="16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0"/>
      <color rgb="FFC00000"/>
      <name val="Times New Roman"/>
      <family val="1"/>
    </font>
    <font>
      <i/>
      <u/>
      <sz val="12"/>
      <color theme="10"/>
      <name val="Times New Roman"/>
      <family val="1"/>
    </font>
    <font>
      <u/>
      <sz val="12"/>
      <color theme="10"/>
      <name val="Times New Roman"/>
      <family val="1"/>
    </font>
    <font>
      <sz val="12"/>
      <color theme="1" tint="0.499984740745262"/>
      <name val="Times New Roman"/>
      <family val="1"/>
    </font>
    <font>
      <b/>
      <sz val="9"/>
      <color rgb="FF0000FF"/>
      <name val="Times New Roman"/>
      <family val="1"/>
    </font>
    <font>
      <i/>
      <sz val="9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1"/>
      <color rgb="FF0000FF"/>
      <name val="Times New Roman"/>
      <family val="1"/>
    </font>
    <font>
      <b/>
      <sz val="9"/>
      <color theme="1" tint="0.499984740745262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vertAlign val="superscript"/>
      <sz val="10"/>
      <name val="Times New Roman"/>
      <family val="1"/>
    </font>
    <font>
      <i/>
      <sz val="9"/>
      <color theme="1" tint="0.499984740745262"/>
      <name val="Times New Roman"/>
      <family val="1"/>
    </font>
    <font>
      <i/>
      <sz val="9"/>
      <color rgb="FF0000FF"/>
      <name val="Times New Roman"/>
      <family val="1"/>
    </font>
    <font>
      <i/>
      <vertAlign val="subscript"/>
      <sz val="9"/>
      <color rgb="FF0000FF"/>
      <name val="Times New Roman"/>
      <family val="1"/>
    </font>
    <font>
      <sz val="11"/>
      <color rgb="FF0000FF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  <font>
      <u/>
      <sz val="10"/>
      <color theme="10"/>
      <name val="Calibri"/>
      <family val="2"/>
      <charset val="162"/>
      <scheme val="minor"/>
    </font>
    <font>
      <sz val="7"/>
      <color theme="0" tint="-0.499984740745262"/>
      <name val="Times New Roman"/>
      <family val="1"/>
    </font>
    <font>
      <u/>
      <sz val="7"/>
      <color theme="10"/>
      <name val="Calibri"/>
      <family val="2"/>
      <charset val="162"/>
      <scheme val="minor"/>
    </font>
    <font>
      <b/>
      <sz val="10"/>
      <color theme="1"/>
      <name val="Arial"/>
      <family val="2"/>
    </font>
    <font>
      <sz val="11"/>
      <color rgb="FF0432FF"/>
      <name val="Times New Roman"/>
      <family val="1"/>
    </font>
    <font>
      <sz val="7.3"/>
      <color theme="1"/>
      <name val="Times New Roman"/>
      <family val="1"/>
    </font>
    <font>
      <b/>
      <sz val="8"/>
      <name val="Times New Roman"/>
      <family val="1"/>
    </font>
    <font>
      <b/>
      <i/>
      <sz val="8"/>
      <name val="Times New Roman"/>
      <family val="1"/>
    </font>
    <font>
      <b/>
      <sz val="8"/>
      <name val="Calibri"/>
      <family val="2"/>
    </font>
    <font>
      <sz val="7"/>
      <name val="Century Gothic"/>
      <family val="1"/>
    </font>
    <font>
      <sz val="7"/>
      <name val="Century Gothic"/>
      <family val="2"/>
    </font>
    <font>
      <strike/>
      <sz val="11"/>
      <color theme="1"/>
      <name val="Times New Roman"/>
      <family val="1"/>
    </font>
    <font>
      <sz val="8"/>
      <name val="Calibri"/>
      <family val="2"/>
      <charset val="162"/>
      <scheme val="minor"/>
    </font>
    <font>
      <sz val="9"/>
      <color theme="1" tint="0.499984740745262"/>
      <name val="Calibri"/>
      <family val="2"/>
    </font>
    <font>
      <u/>
      <sz val="11"/>
      <color theme="1"/>
      <name val="Times New Roman"/>
      <family val="1"/>
    </font>
    <font>
      <u/>
      <sz val="11"/>
      <color theme="1"/>
      <name val="Calibri (Gövde)"/>
      <charset val="162"/>
    </font>
    <font>
      <sz val="11"/>
      <color theme="1"/>
      <name val="Calibri (Gövde)"/>
      <charset val="162"/>
    </font>
    <font>
      <sz val="11"/>
      <color rgb="FFC00000"/>
      <name val="Calibri"/>
      <family val="2"/>
      <scheme val="minor"/>
    </font>
    <font>
      <sz val="9"/>
      <color theme="1"/>
      <name val="Century Gothic"/>
      <family val="1"/>
    </font>
    <font>
      <u/>
      <sz val="9"/>
      <color theme="1"/>
      <name val="Century Gothic"/>
      <family val="1"/>
    </font>
    <font>
      <sz val="9"/>
      <name val="Century Gothic"/>
      <family val="1"/>
    </font>
    <font>
      <i/>
      <sz val="9"/>
      <color theme="1"/>
      <name val="Century Gothic"/>
      <family val="1"/>
    </font>
    <font>
      <sz val="9"/>
      <color theme="1"/>
      <name val="Century Gothic"/>
      <family val="1"/>
      <charset val="162"/>
    </font>
    <font>
      <i/>
      <sz val="9"/>
      <color theme="1"/>
      <name val="Calibri"/>
      <family val="2"/>
      <scheme val="minor"/>
    </font>
    <font>
      <sz val="11"/>
      <color theme="1"/>
      <name val="Times New Roman"/>
      <family val="1"/>
      <charset val="162"/>
    </font>
    <font>
      <i/>
      <vertAlign val="subscript"/>
      <sz val="11"/>
      <color theme="1"/>
      <name val="Calibri (Gövde)"/>
      <charset val="162"/>
    </font>
    <font>
      <sz val="11"/>
      <color theme="1" tint="0.499984740745262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u/>
      <sz val="11"/>
      <name val="Times New Roman"/>
      <family val="1"/>
    </font>
    <font>
      <sz val="8"/>
      <name val="Century Gothic"/>
      <family val="1"/>
    </font>
    <font>
      <u/>
      <sz val="8"/>
      <name val="Century Gothic"/>
      <family val="1"/>
    </font>
    <font>
      <i/>
      <sz val="11"/>
      <color theme="1" tint="0.34998626667073579"/>
      <name val="Calibri"/>
      <family val="2"/>
      <scheme val="minor"/>
    </font>
    <font>
      <sz val="11"/>
      <color theme="0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sz val="10"/>
      <color theme="1"/>
      <name val="Calibri (Gövde)"/>
      <charset val="162"/>
    </font>
    <font>
      <b/>
      <sz val="14"/>
      <color theme="1"/>
      <name val="Calibri (Gövde)"/>
      <charset val="162"/>
    </font>
    <font>
      <sz val="14"/>
      <color theme="1"/>
      <name val="Calibri (Gövde)"/>
      <charset val="162"/>
    </font>
    <font>
      <i/>
      <vertAlign val="subscript"/>
      <sz val="9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i/>
      <u/>
      <sz val="11"/>
      <color theme="1"/>
      <name val="Times New Roman"/>
      <family val="1"/>
    </font>
    <font>
      <b/>
      <i/>
      <u/>
      <vertAlign val="subscript"/>
      <sz val="11"/>
      <color theme="1"/>
      <name val="Times New Roman"/>
      <family val="1"/>
    </font>
    <font>
      <i/>
      <sz val="8"/>
      <color theme="1"/>
      <name val="Calibri"/>
      <family val="2"/>
      <scheme val="minor"/>
    </font>
    <font>
      <u/>
      <sz val="8"/>
      <color theme="1"/>
      <name val="Times New Roman"/>
      <family val="1"/>
    </font>
    <font>
      <b/>
      <i/>
      <sz val="7.5"/>
      <color theme="1"/>
      <name val="Times New Roman"/>
      <family val="1"/>
    </font>
    <font>
      <u/>
      <sz val="8"/>
      <color theme="1"/>
      <name val="Century Gothic"/>
      <family val="1"/>
    </font>
    <font>
      <b/>
      <sz val="7"/>
      <color theme="1"/>
      <name val="Times New Roman"/>
      <family val="1"/>
    </font>
    <font>
      <b/>
      <i/>
      <sz val="7"/>
      <color theme="1"/>
      <name val="Times New Roman"/>
      <family val="1"/>
    </font>
    <font>
      <vertAlign val="superscript"/>
      <sz val="11"/>
      <color theme="1" tint="0.499984740745262"/>
      <name val="Calibri (Gövde)"/>
      <charset val="162"/>
    </font>
    <font>
      <sz val="9.3000000000000007"/>
      <color theme="1"/>
      <name val="Times New Roman"/>
      <family val="1"/>
    </font>
    <font>
      <i/>
      <sz val="9.3000000000000007"/>
      <color theme="1"/>
      <name val="Times New Roman"/>
      <family val="1"/>
    </font>
    <font>
      <b/>
      <i/>
      <sz val="9.3000000000000007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i/>
      <sz val="12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i/>
      <sz val="12"/>
      <color rgb="FFC00000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sz val="11"/>
      <color rgb="FF006100"/>
      <name val="Calibri"/>
      <family val="2"/>
      <charset val="162"/>
      <scheme val="minor"/>
    </font>
    <font>
      <b/>
      <i/>
      <sz val="11"/>
      <color rgb="FF006100"/>
      <name val="Calibri"/>
      <family val="2"/>
      <scheme val="minor"/>
    </font>
    <font>
      <vertAlign val="subscript"/>
      <sz val="11"/>
      <color rgb="FF006100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i/>
      <vertAlign val="subscript"/>
      <sz val="12"/>
      <color theme="1"/>
      <name val="Calibri (Gövde)"/>
      <charset val="162"/>
    </font>
    <font>
      <vertAlign val="subscript"/>
      <sz val="12"/>
      <color theme="1"/>
      <name val="Calibri (Gövde)"/>
      <charset val="162"/>
    </font>
    <font>
      <vertAlign val="subscript"/>
      <sz val="11"/>
      <color rgb="FF006100"/>
      <name val="Calibri (Gövde)"/>
      <charset val="162"/>
    </font>
    <font>
      <sz val="12"/>
      <color theme="0" tint="-0.249977111117893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b/>
      <i/>
      <sz val="12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2"/>
      <color theme="1"/>
      <name val="Calibri (Gövde)"/>
      <charset val="162"/>
    </font>
    <font>
      <sz val="12"/>
      <color rgb="FF0432FF"/>
      <name val="Calibri"/>
      <family val="2"/>
      <charset val="16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76ACDE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99CC99"/>
        <bgColor indexed="64"/>
      </patternFill>
    </fill>
    <fill>
      <patternFill patternType="solid">
        <fgColor rgb="FFCC99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77CCCC"/>
        <bgColor indexed="64"/>
      </patternFill>
    </fill>
    <fill>
      <patternFill patternType="solid">
        <fgColor rgb="FF99996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DA6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D9E1F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143">
    <border>
      <left/>
      <right/>
      <top/>
      <bottom/>
      <diagonal/>
    </border>
    <border>
      <left/>
      <right style="dashed">
        <color auto="1"/>
      </right>
      <top/>
      <bottom/>
      <diagonal/>
    </border>
    <border>
      <left style="thin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dashed">
        <color auto="1"/>
      </right>
      <top style="thin">
        <color auto="1"/>
      </top>
      <bottom/>
      <diagonal/>
    </border>
    <border>
      <left/>
      <right style="dashed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/>
      <right style="thin">
        <color auto="1"/>
      </right>
      <top/>
      <bottom style="dashed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 style="dash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auto="1"/>
      </bottom>
      <diagonal/>
    </border>
    <border>
      <left/>
      <right style="dashed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 style="dashed">
        <color indexed="64"/>
      </top>
      <bottom style="dashed">
        <color auto="1"/>
      </bottom>
      <diagonal/>
    </border>
    <border>
      <left/>
      <right style="thin">
        <color auto="1"/>
      </right>
      <top style="dashed">
        <color indexed="64"/>
      </top>
      <bottom style="dashed">
        <color auto="1"/>
      </bottom>
      <diagonal/>
    </border>
    <border>
      <left style="thin">
        <color indexed="64"/>
      </left>
      <right/>
      <top style="dashed">
        <color indexed="64"/>
      </top>
      <bottom style="thin">
        <color auto="1"/>
      </bottom>
      <diagonal/>
    </border>
    <border>
      <left/>
      <right style="dashed">
        <color auto="1"/>
      </right>
      <top style="dashed">
        <color indexed="64"/>
      </top>
      <bottom style="thin">
        <color auto="1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auto="1"/>
      </bottom>
      <diagonal/>
    </border>
    <border>
      <left/>
      <right style="thin">
        <color auto="1"/>
      </right>
      <top style="thin">
        <color indexed="64"/>
      </top>
      <bottom style="dashed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dotted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auto="1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auto="1"/>
      </right>
      <top style="thin">
        <color theme="0" tint="-0.249977111117893"/>
      </top>
      <bottom/>
      <diagonal/>
    </border>
    <border>
      <left style="thin">
        <color auto="1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auto="1"/>
      </right>
      <top/>
      <bottom style="thin">
        <color theme="0" tint="-0.249977111117893"/>
      </bottom>
      <diagonal/>
    </border>
    <border>
      <left style="thin">
        <color theme="0" tint="-0.24994659260841701"/>
      </left>
      <right/>
      <top style="thin">
        <color auto="1"/>
      </top>
      <bottom/>
      <diagonal/>
    </border>
    <border>
      <left/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/>
      <right style="thin">
        <color theme="0" tint="-0.249977111117893"/>
      </right>
      <top style="thin">
        <color indexed="64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auto="1"/>
      </bottom>
      <diagonal/>
    </border>
    <border>
      <left style="thin">
        <color theme="0" tint="-0.249977111117893"/>
      </left>
      <right/>
      <top style="thin">
        <color indexed="64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auto="1"/>
      </bottom>
      <diagonal/>
    </border>
    <border>
      <left style="dotted">
        <color theme="0" tint="-0.249977111117893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dotted">
        <color theme="0" tint="-0.249977111117893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dotted">
        <color indexed="64"/>
      </bottom>
      <diagonal/>
    </border>
    <border>
      <left/>
      <right style="thick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ck">
        <color indexed="64"/>
      </right>
      <top style="dotted">
        <color indexed="64"/>
      </top>
      <bottom/>
      <diagonal/>
    </border>
    <border>
      <left style="thick">
        <color indexed="64"/>
      </left>
      <right/>
      <top style="dotted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dotted">
        <color indexed="64"/>
      </right>
      <top style="thick">
        <color indexed="64"/>
      </top>
      <bottom/>
      <diagonal/>
    </border>
    <border>
      <left/>
      <right style="dotted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tted">
        <color indexed="64"/>
      </left>
      <right style="dashed">
        <color indexed="64"/>
      </right>
      <top style="thick">
        <color indexed="64"/>
      </top>
      <bottom/>
      <diagonal/>
    </border>
    <border>
      <left style="dotted">
        <color indexed="64"/>
      </left>
      <right style="dashed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/>
      <top style="hair">
        <color auto="1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7" tint="-0.249977111117893"/>
      </left>
      <right/>
      <top style="medium">
        <color theme="7" tint="-0.249977111117893"/>
      </top>
      <bottom/>
      <diagonal/>
    </border>
    <border>
      <left/>
      <right/>
      <top style="medium">
        <color theme="7" tint="-0.249977111117893"/>
      </top>
      <bottom/>
      <diagonal/>
    </border>
    <border>
      <left/>
      <right style="medium">
        <color theme="7" tint="-0.249977111117893"/>
      </right>
      <top style="medium">
        <color theme="7" tint="-0.249977111117893"/>
      </top>
      <bottom/>
      <diagonal/>
    </border>
    <border>
      <left style="medium">
        <color theme="7" tint="-0.249977111117893"/>
      </left>
      <right/>
      <top/>
      <bottom/>
      <diagonal/>
    </border>
    <border>
      <left/>
      <right style="medium">
        <color theme="7" tint="-0.249977111117893"/>
      </right>
      <top/>
      <bottom/>
      <diagonal/>
    </border>
    <border>
      <left style="medium">
        <color theme="7" tint="-0.249977111117893"/>
      </left>
      <right/>
      <top/>
      <bottom style="medium">
        <color theme="7" tint="-0.249977111117893"/>
      </bottom>
      <diagonal/>
    </border>
    <border>
      <left/>
      <right/>
      <top/>
      <bottom style="medium">
        <color theme="7" tint="-0.249977111117893"/>
      </bottom>
      <diagonal/>
    </border>
    <border>
      <left/>
      <right style="medium">
        <color theme="7" tint="-0.249977111117893"/>
      </right>
      <top/>
      <bottom style="medium">
        <color theme="7" tint="-0.249977111117893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theme="0" tint="-0.24994659260841701"/>
      </right>
      <top/>
      <bottom style="thin">
        <color rgb="FFBFBFBF"/>
      </bottom>
      <diagonal/>
    </border>
  </borders>
  <cellStyleXfs count="9">
    <xf numFmtId="0" fontId="0" fillId="0" borderId="0"/>
    <xf numFmtId="0" fontId="7" fillId="0" borderId="0"/>
    <xf numFmtId="9" fontId="7" fillId="0" borderId="0" applyFont="0" applyFill="0" applyBorder="0" applyAlignment="0" applyProtection="0"/>
    <xf numFmtId="0" fontId="119" fillId="0" borderId="0" applyNumberFormat="0" applyFill="0" applyBorder="0" applyAlignment="0" applyProtection="0"/>
    <xf numFmtId="0" fontId="11" fillId="0" borderId="0"/>
    <xf numFmtId="0" fontId="146" fillId="0" borderId="0"/>
    <xf numFmtId="0" fontId="148" fillId="0" borderId="0" applyNumberFormat="0" applyFill="0" applyBorder="0" applyAlignment="0" applyProtection="0"/>
    <xf numFmtId="0" fontId="150" fillId="28" borderId="0" applyNumberFormat="0" applyBorder="0" applyAlignment="0" applyProtection="0"/>
    <xf numFmtId="0" fontId="211" fillId="36" borderId="0" applyNumberFormat="0" applyBorder="0" applyAlignment="0" applyProtection="0"/>
  </cellStyleXfs>
  <cellXfs count="1515">
    <xf numFmtId="0" fontId="0" fillId="0" borderId="0" xfId="0"/>
    <xf numFmtId="0" fontId="9" fillId="5" borderId="0" xfId="0" applyFont="1" applyFill="1" applyBorder="1" applyAlignment="1">
      <alignment horizontal="center" vertical="top"/>
    </xf>
    <xf numFmtId="0" fontId="9" fillId="6" borderId="0" xfId="0" applyFont="1" applyFill="1" applyBorder="1" applyAlignment="1">
      <alignment horizontal="center" vertical="top"/>
    </xf>
    <xf numFmtId="0" fontId="9" fillId="7" borderId="0" xfId="0" applyFont="1" applyFill="1" applyBorder="1" applyAlignment="1">
      <alignment horizontal="center" vertical="top"/>
    </xf>
    <xf numFmtId="0" fontId="9" fillId="6" borderId="0" xfId="0" applyFont="1" applyFill="1" applyBorder="1" applyAlignment="1">
      <alignment vertical="top"/>
    </xf>
    <xf numFmtId="0" fontId="11" fillId="4" borderId="0" xfId="0" applyFont="1" applyFill="1" applyBorder="1" applyAlignment="1">
      <alignment horizontal="left" vertical="top"/>
    </xf>
    <xf numFmtId="0" fontId="11" fillId="6" borderId="0" xfId="0" applyFont="1" applyFill="1" applyBorder="1" applyAlignment="1">
      <alignment horizontal="left" vertical="top"/>
    </xf>
    <xf numFmtId="0" fontId="11" fillId="7" borderId="0" xfId="0" applyFont="1" applyFill="1" applyBorder="1" applyAlignment="1">
      <alignment horizontal="left" vertical="top"/>
    </xf>
    <xf numFmtId="0" fontId="11" fillId="5" borderId="0" xfId="0" applyFont="1" applyFill="1" applyBorder="1" applyAlignment="1">
      <alignment horizontal="left" vertical="top"/>
    </xf>
    <xf numFmtId="0" fontId="0" fillId="0" borderId="0" xfId="0" applyBorder="1"/>
    <xf numFmtId="0" fontId="9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center" vertical="top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vertical="top"/>
    </xf>
    <xf numFmtId="0" fontId="13" fillId="0" borderId="0" xfId="0" applyFont="1" applyBorder="1" applyAlignment="1">
      <alignment wrapText="1"/>
    </xf>
    <xf numFmtId="0" fontId="11" fillId="7" borderId="12" xfId="0" applyFont="1" applyFill="1" applyBorder="1" applyAlignment="1">
      <alignment horizontal="left" vertical="top"/>
    </xf>
    <xf numFmtId="0" fontId="11" fillId="6" borderId="12" xfId="0" applyFont="1" applyFill="1" applyBorder="1" applyAlignment="1">
      <alignment horizontal="left" vertical="top"/>
    </xf>
    <xf numFmtId="0" fontId="11" fillId="5" borderId="12" xfId="0" applyFont="1" applyFill="1" applyBorder="1" applyAlignment="1">
      <alignment horizontal="left" vertical="top"/>
    </xf>
    <xf numFmtId="0" fontId="11" fillId="5" borderId="4" xfId="0" applyFont="1" applyFill="1" applyBorder="1" applyAlignment="1">
      <alignment horizontal="left" vertical="top"/>
    </xf>
    <xf numFmtId="0" fontId="11" fillId="5" borderId="18" xfId="0" applyFont="1" applyFill="1" applyBorder="1" applyAlignment="1">
      <alignment horizontal="left" vertical="top"/>
    </xf>
    <xf numFmtId="0" fontId="9" fillId="0" borderId="0" xfId="0" applyFont="1" applyBorder="1" applyAlignment="1">
      <alignment horizontal="right" vertical="top"/>
    </xf>
    <xf numFmtId="0" fontId="11" fillId="3" borderId="14" xfId="0" applyFont="1" applyFill="1" applyBorder="1" applyAlignment="1">
      <alignment horizontal="right" vertical="top"/>
    </xf>
    <xf numFmtId="0" fontId="11" fillId="4" borderId="0" xfId="0" applyFont="1" applyFill="1" applyBorder="1" applyAlignment="1">
      <alignment horizontal="right" vertical="top"/>
    </xf>
    <xf numFmtId="0" fontId="9" fillId="4" borderId="0" xfId="0" applyFont="1" applyFill="1" applyBorder="1" applyAlignment="1">
      <alignment horizontal="right" vertical="top"/>
    </xf>
    <xf numFmtId="0" fontId="8" fillId="0" borderId="0" xfId="0" applyFont="1" applyBorder="1" applyAlignment="1">
      <alignment horizontal="right" vertical="top"/>
    </xf>
    <xf numFmtId="0" fontId="11" fillId="4" borderId="17" xfId="0" applyFont="1" applyFill="1" applyBorder="1" applyAlignment="1">
      <alignment horizontal="right" vertical="top"/>
    </xf>
    <xf numFmtId="0" fontId="11" fillId="4" borderId="10" xfId="0" applyFont="1" applyFill="1" applyBorder="1" applyAlignment="1">
      <alignment horizontal="right" vertical="top"/>
    </xf>
    <xf numFmtId="0" fontId="11" fillId="7" borderId="0" xfId="0" applyFont="1" applyFill="1" applyBorder="1" applyAlignment="1">
      <alignment horizontal="right" vertical="top"/>
    </xf>
    <xf numFmtId="0" fontId="9" fillId="7" borderId="0" xfId="0" applyFont="1" applyFill="1" applyBorder="1" applyAlignment="1">
      <alignment horizontal="right" vertical="top"/>
    </xf>
    <xf numFmtId="0" fontId="11" fillId="6" borderId="0" xfId="0" applyFont="1" applyFill="1" applyBorder="1" applyAlignment="1">
      <alignment horizontal="right" vertical="top"/>
    </xf>
    <xf numFmtId="0" fontId="9" fillId="6" borderId="0" xfId="0" applyFont="1" applyFill="1" applyBorder="1" applyAlignment="1">
      <alignment horizontal="right" vertical="top"/>
    </xf>
    <xf numFmtId="0" fontId="11" fillId="5" borderId="0" xfId="0" applyFont="1" applyFill="1" applyBorder="1" applyAlignment="1">
      <alignment horizontal="right" vertical="top"/>
    </xf>
    <xf numFmtId="0" fontId="9" fillId="5" borderId="0" xfId="0" applyFont="1" applyFill="1" applyBorder="1" applyAlignment="1">
      <alignment horizontal="right" vertical="top"/>
    </xf>
    <xf numFmtId="0" fontId="11" fillId="2" borderId="17" xfId="0" applyFont="1" applyFill="1" applyBorder="1" applyAlignment="1">
      <alignment horizontal="right" vertical="top"/>
    </xf>
    <xf numFmtId="0" fontId="11" fillId="3" borderId="10" xfId="0" applyFont="1" applyFill="1" applyBorder="1" applyAlignment="1">
      <alignment horizontal="right" vertical="top"/>
    </xf>
    <xf numFmtId="0" fontId="11" fillId="3" borderId="17" xfId="0" applyFont="1" applyFill="1" applyBorder="1" applyAlignment="1">
      <alignment horizontal="right" vertical="top"/>
    </xf>
    <xf numFmtId="0" fontId="11" fillId="6" borderId="14" xfId="0" applyFont="1" applyFill="1" applyBorder="1" applyAlignment="1">
      <alignment horizontal="right" vertical="top"/>
    </xf>
    <xf numFmtId="0" fontId="15" fillId="5" borderId="14" xfId="0" applyFont="1" applyFill="1" applyBorder="1" applyAlignment="1">
      <alignment horizontal="right" vertical="top"/>
    </xf>
    <xf numFmtId="0" fontId="11" fillId="5" borderId="14" xfId="0" applyFont="1" applyFill="1" applyBorder="1" applyAlignment="1">
      <alignment horizontal="right" vertical="top"/>
    </xf>
    <xf numFmtId="0" fontId="11" fillId="4" borderId="14" xfId="0" applyFont="1" applyFill="1" applyBorder="1" applyAlignment="1">
      <alignment horizontal="right" vertical="top"/>
    </xf>
    <xf numFmtId="0" fontId="11" fillId="5" borderId="17" xfId="0" applyFont="1" applyFill="1" applyBorder="1" applyAlignment="1">
      <alignment horizontal="right" vertical="top"/>
    </xf>
    <xf numFmtId="0" fontId="11" fillId="5" borderId="10" xfId="0" applyFont="1" applyFill="1" applyBorder="1" applyAlignment="1">
      <alignment horizontal="right" vertical="top"/>
    </xf>
    <xf numFmtId="0" fontId="11" fillId="6" borderId="17" xfId="0" applyFont="1" applyFill="1" applyBorder="1" applyAlignment="1">
      <alignment horizontal="right" vertical="top"/>
    </xf>
    <xf numFmtId="0" fontId="11" fillId="7" borderId="17" xfId="0" applyFont="1" applyFill="1" applyBorder="1" applyAlignment="1">
      <alignment horizontal="right" vertical="top"/>
    </xf>
    <xf numFmtId="0" fontId="17" fillId="2" borderId="4" xfId="0" applyFont="1" applyFill="1" applyBorder="1" applyAlignment="1">
      <alignment horizontal="left" vertical="top"/>
    </xf>
    <xf numFmtId="0" fontId="17" fillId="2" borderId="18" xfId="0" applyFont="1" applyFill="1" applyBorder="1" applyAlignment="1">
      <alignment horizontal="left" vertical="top"/>
    </xf>
    <xf numFmtId="0" fontId="17" fillId="3" borderId="18" xfId="0" applyFont="1" applyFill="1" applyBorder="1" applyAlignment="1">
      <alignment horizontal="left" vertical="top"/>
    </xf>
    <xf numFmtId="0" fontId="17" fillId="4" borderId="18" xfId="0" applyFont="1" applyFill="1" applyBorder="1" applyAlignment="1">
      <alignment horizontal="left" vertical="top"/>
    </xf>
    <xf numFmtId="0" fontId="17" fillId="3" borderId="12" xfId="0" applyFont="1" applyFill="1" applyBorder="1" applyAlignment="1">
      <alignment horizontal="left" vertical="top"/>
    </xf>
    <xf numFmtId="0" fontId="17" fillId="3" borderId="4" xfId="0" applyFont="1" applyFill="1" applyBorder="1" applyAlignment="1">
      <alignment horizontal="left" vertical="top"/>
    </xf>
    <xf numFmtId="0" fontId="17" fillId="5" borderId="12" xfId="0" applyFont="1" applyFill="1" applyBorder="1" applyAlignment="1">
      <alignment horizontal="left" vertical="top"/>
    </xf>
    <xf numFmtId="0" fontId="17" fillId="4" borderId="4" xfId="0" applyFont="1" applyFill="1" applyBorder="1" applyAlignment="1">
      <alignment horizontal="left" vertical="top"/>
    </xf>
    <xf numFmtId="0" fontId="17" fillId="4" borderId="12" xfId="0" applyFont="1" applyFill="1" applyBorder="1" applyAlignment="1">
      <alignment horizontal="left" vertical="top"/>
    </xf>
    <xf numFmtId="0" fontId="11" fillId="8" borderId="0" xfId="0" applyFont="1" applyFill="1" applyBorder="1" applyAlignment="1">
      <alignment horizontal="left"/>
    </xf>
    <xf numFmtId="0" fontId="9" fillId="8" borderId="0" xfId="0" applyFont="1" applyFill="1" applyBorder="1" applyAlignment="1">
      <alignment horizontal="center" vertical="top"/>
    </xf>
    <xf numFmtId="0" fontId="8" fillId="8" borderId="0" xfId="0" applyFont="1" applyFill="1" applyBorder="1" applyAlignment="1">
      <alignment horizontal="right" vertical="top"/>
    </xf>
    <xf numFmtId="0" fontId="13" fillId="8" borderId="0" xfId="0" applyFont="1" applyFill="1" applyBorder="1" applyAlignment="1">
      <alignment wrapText="1"/>
    </xf>
    <xf numFmtId="0" fontId="11" fillId="8" borderId="0" xfId="0" applyFont="1" applyFill="1" applyBorder="1" applyAlignment="1">
      <alignment horizontal="left" vertical="top"/>
    </xf>
    <xf numFmtId="0" fontId="11" fillId="8" borderId="0" xfId="0" applyFont="1" applyFill="1" applyBorder="1" applyAlignment="1">
      <alignment horizontal="right" vertical="top"/>
    </xf>
    <xf numFmtId="0" fontId="17" fillId="8" borderId="12" xfId="0" applyFont="1" applyFill="1" applyBorder="1" applyAlignment="1">
      <alignment horizontal="left" vertical="top"/>
    </xf>
    <xf numFmtId="0" fontId="11" fillId="8" borderId="17" xfId="0" applyFont="1" applyFill="1" applyBorder="1" applyAlignment="1">
      <alignment horizontal="right" vertical="top"/>
    </xf>
    <xf numFmtId="0" fontId="17" fillId="8" borderId="18" xfId="0" applyFont="1" applyFill="1" applyBorder="1" applyAlignment="1">
      <alignment horizontal="left" vertical="top"/>
    </xf>
    <xf numFmtId="0" fontId="11" fillId="8" borderId="10" xfId="0" applyFont="1" applyFill="1" applyBorder="1" applyAlignment="1">
      <alignment horizontal="right" vertical="top"/>
    </xf>
    <xf numFmtId="0" fontId="17" fillId="8" borderId="4" xfId="0" applyFont="1" applyFill="1" applyBorder="1" applyAlignment="1">
      <alignment horizontal="left" vertical="top"/>
    </xf>
    <xf numFmtId="0" fontId="11" fillId="8" borderId="5" xfId="0" applyFont="1" applyFill="1" applyBorder="1" applyAlignment="1">
      <alignment horizontal="right" vertical="top"/>
    </xf>
    <xf numFmtId="0" fontId="11" fillId="8" borderId="5" xfId="0" applyFont="1" applyFill="1" applyBorder="1" applyAlignment="1">
      <alignment vertical="top"/>
    </xf>
    <xf numFmtId="0" fontId="11" fillId="8" borderId="14" xfId="0" applyFont="1" applyFill="1" applyBorder="1" applyAlignment="1">
      <alignment horizontal="right" vertical="top"/>
    </xf>
    <xf numFmtId="0" fontId="9" fillId="8" borderId="0" xfId="0" applyFont="1" applyFill="1" applyBorder="1" applyAlignment="1">
      <alignment horizontal="right" vertical="top"/>
    </xf>
    <xf numFmtId="0" fontId="9" fillId="4" borderId="19" xfId="0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right" vertical="top"/>
    </xf>
    <xf numFmtId="0" fontId="17" fillId="2" borderId="0" xfId="0" applyFont="1" applyFill="1" applyBorder="1" applyAlignment="1">
      <alignment horizontal="left" vertical="top"/>
    </xf>
    <xf numFmtId="0" fontId="11" fillId="2" borderId="0" xfId="0" applyFont="1" applyFill="1" applyBorder="1" applyAlignment="1">
      <alignment horizontal="right" vertical="top"/>
    </xf>
    <xf numFmtId="0" fontId="20" fillId="7" borderId="0" xfId="0" applyFont="1" applyFill="1" applyBorder="1" applyAlignment="1">
      <alignment horizontal="right" vertical="top"/>
    </xf>
    <xf numFmtId="0" fontId="21" fillId="7" borderId="0" xfId="0" applyFont="1" applyFill="1" applyBorder="1" applyAlignment="1">
      <alignment horizontal="right" vertical="top"/>
    </xf>
    <xf numFmtId="0" fontId="21" fillId="0" borderId="0" xfId="0" applyFont="1" applyBorder="1" applyAlignment="1">
      <alignment horizontal="right" vertical="top"/>
    </xf>
    <xf numFmtId="0" fontId="20" fillId="6" borderId="17" xfId="0" applyFont="1" applyFill="1" applyBorder="1" applyAlignment="1">
      <alignment horizontal="right" vertical="top"/>
    </xf>
    <xf numFmtId="0" fontId="20" fillId="6" borderId="0" xfId="0" applyFont="1" applyFill="1" applyBorder="1" applyAlignment="1">
      <alignment horizontal="right" vertical="top"/>
    </xf>
    <xf numFmtId="0" fontId="21" fillId="6" borderId="0" xfId="0" applyFont="1" applyFill="1" applyBorder="1" applyAlignment="1">
      <alignment horizontal="right" vertical="top"/>
    </xf>
    <xf numFmtId="0" fontId="20" fillId="5" borderId="17" xfId="0" applyFont="1" applyFill="1" applyBorder="1" applyAlignment="1">
      <alignment horizontal="right" vertical="top"/>
    </xf>
    <xf numFmtId="0" fontId="20" fillId="5" borderId="0" xfId="0" applyFont="1" applyFill="1" applyBorder="1" applyAlignment="1">
      <alignment horizontal="right" vertical="top"/>
    </xf>
    <xf numFmtId="0" fontId="21" fillId="5" borderId="0" xfId="0" applyFont="1" applyFill="1" applyBorder="1" applyAlignment="1">
      <alignment horizontal="right" vertical="top"/>
    </xf>
    <xf numFmtId="0" fontId="20" fillId="3" borderId="17" xfId="0" applyFont="1" applyFill="1" applyBorder="1" applyAlignment="1">
      <alignment horizontal="right" vertical="top"/>
    </xf>
    <xf numFmtId="0" fontId="20" fillId="8" borderId="0" xfId="0" applyFont="1" applyFill="1" applyBorder="1" applyAlignment="1">
      <alignment horizontal="right" vertical="top"/>
    </xf>
    <xf numFmtId="0" fontId="21" fillId="8" borderId="0" xfId="0" applyFont="1" applyFill="1" applyBorder="1" applyAlignment="1">
      <alignment horizontal="right" vertical="top"/>
    </xf>
    <xf numFmtId="0" fontId="20" fillId="6" borderId="14" xfId="0" applyFont="1" applyFill="1" applyBorder="1" applyAlignment="1">
      <alignment horizontal="right" vertical="top"/>
    </xf>
    <xf numFmtId="0" fontId="20" fillId="2" borderId="0" xfId="0" applyFont="1" applyFill="1" applyBorder="1" applyAlignment="1">
      <alignment horizontal="right" vertical="top"/>
    </xf>
    <xf numFmtId="0" fontId="20" fillId="4" borderId="17" xfId="0" applyFont="1" applyFill="1" applyBorder="1" applyAlignment="1">
      <alignment horizontal="right" vertical="top"/>
    </xf>
    <xf numFmtId="0" fontId="23" fillId="8" borderId="0" xfId="0" applyFont="1" applyFill="1" applyBorder="1" applyAlignment="1">
      <alignment horizontal="right" vertical="top"/>
    </xf>
    <xf numFmtId="0" fontId="20" fillId="8" borderId="0" xfId="0" applyFont="1" applyFill="1" applyBorder="1" applyAlignment="1">
      <alignment horizontal="left"/>
    </xf>
    <xf numFmtId="0" fontId="23" fillId="0" borderId="0" xfId="0" applyFont="1" applyBorder="1" applyAlignment="1">
      <alignment horizontal="right" vertical="top"/>
    </xf>
    <xf numFmtId="0" fontId="20" fillId="2" borderId="17" xfId="0" applyFont="1" applyFill="1" applyBorder="1" applyAlignment="1">
      <alignment horizontal="right" vertical="top"/>
    </xf>
    <xf numFmtId="0" fontId="11" fillId="2" borderId="21" xfId="0" applyFont="1" applyFill="1" applyBorder="1" applyAlignment="1">
      <alignment horizontal="right" vertical="top"/>
    </xf>
    <xf numFmtId="0" fontId="12" fillId="6" borderId="12" xfId="0" applyFont="1" applyFill="1" applyBorder="1" applyAlignment="1">
      <alignment horizontal="left" vertical="top"/>
    </xf>
    <xf numFmtId="0" fontId="20" fillId="6" borderId="6" xfId="0" applyFont="1" applyFill="1" applyBorder="1" applyAlignment="1">
      <alignment horizontal="right" vertical="top"/>
    </xf>
    <xf numFmtId="0" fontId="13" fillId="7" borderId="0" xfId="0" applyFont="1" applyFill="1" applyBorder="1" applyAlignment="1">
      <alignment horizontal="center" vertical="top" wrapText="1"/>
    </xf>
    <xf numFmtId="0" fontId="13" fillId="7" borderId="0" xfId="0" applyFont="1" applyFill="1" applyBorder="1" applyAlignment="1">
      <alignment horizontal="right" vertical="top" wrapText="1"/>
    </xf>
    <xf numFmtId="0" fontId="13" fillId="6" borderId="0" xfId="0" applyFont="1" applyFill="1" applyBorder="1" applyAlignment="1">
      <alignment horizontal="center" vertical="top" wrapText="1"/>
    </xf>
    <xf numFmtId="0" fontId="13" fillId="6" borderId="0" xfId="0" applyFont="1" applyFill="1" applyBorder="1" applyAlignment="1">
      <alignment horizontal="right" vertical="top" wrapText="1"/>
    </xf>
    <xf numFmtId="0" fontId="13" fillId="5" borderId="0" xfId="0" applyFont="1" applyFill="1" applyBorder="1" applyAlignment="1">
      <alignment horizontal="center" vertical="top" wrapText="1"/>
    </xf>
    <xf numFmtId="0" fontId="13" fillId="5" borderId="0" xfId="0" applyFont="1" applyFill="1" applyBorder="1" applyAlignment="1">
      <alignment horizontal="right" vertical="top" wrapText="1"/>
    </xf>
    <xf numFmtId="0" fontId="13" fillId="0" borderId="0" xfId="0" applyFont="1" applyBorder="1" applyAlignment="1">
      <alignment horizontal="center" vertical="top" wrapText="1"/>
    </xf>
    <xf numFmtId="0" fontId="13" fillId="8" borderId="0" xfId="0" applyFont="1" applyFill="1" applyBorder="1" applyAlignment="1">
      <alignment horizontal="center" vertical="top" wrapText="1"/>
    </xf>
    <xf numFmtId="0" fontId="13" fillId="8" borderId="0" xfId="0" applyFont="1" applyFill="1" applyBorder="1" applyAlignment="1">
      <alignment horizontal="right" vertical="top" wrapText="1"/>
    </xf>
    <xf numFmtId="0" fontId="29" fillId="7" borderId="0" xfId="0" applyFont="1" applyFill="1" applyBorder="1" applyAlignment="1">
      <alignment horizontal="center" vertical="top" wrapText="1"/>
    </xf>
    <xf numFmtId="0" fontId="29" fillId="7" borderId="0" xfId="0" applyFont="1" applyFill="1" applyBorder="1" applyAlignment="1">
      <alignment horizontal="right" vertical="top" wrapText="1"/>
    </xf>
    <xf numFmtId="0" fontId="29" fillId="6" borderId="0" xfId="0" applyFont="1" applyFill="1" applyBorder="1" applyAlignment="1">
      <alignment vertical="top" wrapText="1"/>
    </xf>
    <xf numFmtId="0" fontId="29" fillId="0" borderId="0" xfId="0" applyFont="1" applyBorder="1" applyAlignment="1">
      <alignment horizontal="center" vertical="top" wrapText="1"/>
    </xf>
    <xf numFmtId="0" fontId="29" fillId="0" borderId="0" xfId="0" applyFont="1" applyBorder="1" applyAlignment="1">
      <alignment wrapText="1"/>
    </xf>
    <xf numFmtId="0" fontId="31" fillId="6" borderId="14" xfId="0" applyFont="1" applyFill="1" applyBorder="1" applyAlignment="1">
      <alignment horizontal="right" vertical="top"/>
    </xf>
    <xf numFmtId="0" fontId="24" fillId="7" borderId="0" xfId="0" applyFont="1" applyFill="1" applyBorder="1" applyAlignment="1">
      <alignment horizontal="right" vertical="top" wrapText="1"/>
    </xf>
    <xf numFmtId="0" fontId="24" fillId="8" borderId="0" xfId="0" applyFont="1" applyFill="1" applyBorder="1" applyAlignment="1">
      <alignment horizontal="right" vertical="top" wrapText="1"/>
    </xf>
    <xf numFmtId="0" fontId="24" fillId="6" borderId="0" xfId="0" applyFont="1" applyFill="1" applyBorder="1" applyAlignment="1">
      <alignment horizontal="right" vertical="top" wrapText="1"/>
    </xf>
    <xf numFmtId="0" fontId="32" fillId="7" borderId="0" xfId="0" applyFont="1" applyFill="1" applyBorder="1" applyAlignment="1">
      <alignment horizontal="right" vertical="top" wrapText="1"/>
    </xf>
    <xf numFmtId="0" fontId="29" fillId="8" borderId="0" xfId="0" applyFont="1" applyFill="1" applyBorder="1" applyAlignment="1">
      <alignment wrapText="1"/>
    </xf>
    <xf numFmtId="0" fontId="32" fillId="8" borderId="0" xfId="0" applyFont="1" applyFill="1" applyBorder="1" applyAlignment="1">
      <alignment wrapText="1"/>
    </xf>
    <xf numFmtId="0" fontId="24" fillId="5" borderId="0" xfId="0" applyFont="1" applyFill="1" applyBorder="1" applyAlignment="1">
      <alignment horizontal="right" vertical="top" wrapText="1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13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horizontal="center" vertical="top" wrapText="1"/>
    </xf>
    <xf numFmtId="0" fontId="13" fillId="0" borderId="0" xfId="0" applyFont="1" applyFill="1" applyBorder="1" applyAlignment="1">
      <alignment horizontal="right" vertical="top" wrapText="1"/>
    </xf>
    <xf numFmtId="0" fontId="17" fillId="8" borderId="6" xfId="0" applyFont="1" applyFill="1" applyBorder="1" applyAlignment="1">
      <alignment horizontal="left" vertical="top"/>
    </xf>
    <xf numFmtId="0" fontId="9" fillId="8" borderId="0" xfId="0" applyFont="1" applyFill="1" applyBorder="1" applyAlignment="1">
      <alignment vertical="top"/>
    </xf>
    <xf numFmtId="0" fontId="17" fillId="3" borderId="6" xfId="0" applyFont="1" applyFill="1" applyBorder="1" applyAlignment="1">
      <alignment horizontal="left" vertical="top"/>
    </xf>
    <xf numFmtId="0" fontId="17" fillId="4" borderId="6" xfId="0" applyFont="1" applyFill="1" applyBorder="1" applyAlignment="1">
      <alignment horizontal="left" vertical="top"/>
    </xf>
    <xf numFmtId="0" fontId="17" fillId="2" borderId="6" xfId="0" applyFont="1" applyFill="1" applyBorder="1" applyAlignment="1">
      <alignment horizontal="left" vertical="top"/>
    </xf>
    <xf numFmtId="0" fontId="11" fillId="5" borderId="6" xfId="0" applyFont="1" applyFill="1" applyBorder="1" applyAlignment="1">
      <alignment horizontal="left" vertical="top"/>
    </xf>
    <xf numFmtId="0" fontId="13" fillId="7" borderId="13" xfId="0" applyFont="1" applyFill="1" applyBorder="1" applyAlignment="1">
      <alignment vertical="top" wrapText="1"/>
    </xf>
    <xf numFmtId="0" fontId="13" fillId="7" borderId="9" xfId="0" applyFont="1" applyFill="1" applyBorder="1" applyAlignment="1">
      <alignment vertical="top" wrapText="1"/>
    </xf>
    <xf numFmtId="0" fontId="20" fillId="7" borderId="6" xfId="0" applyFont="1" applyFill="1" applyBorder="1" applyAlignment="1">
      <alignment horizontal="right" vertical="top"/>
    </xf>
    <xf numFmtId="0" fontId="13" fillId="6" borderId="9" xfId="0" applyFont="1" applyFill="1" applyBorder="1" applyAlignment="1">
      <alignment vertical="top" wrapText="1"/>
    </xf>
    <xf numFmtId="0" fontId="13" fillId="6" borderId="0" xfId="0" applyFont="1" applyFill="1" applyBorder="1" applyAlignment="1">
      <alignment vertical="top" wrapText="1"/>
    </xf>
    <xf numFmtId="0" fontId="13" fillId="6" borderId="8" xfId="0" applyFont="1" applyFill="1" applyBorder="1" applyAlignment="1">
      <alignment vertical="top" wrapText="1"/>
    </xf>
    <xf numFmtId="0" fontId="29" fillId="6" borderId="13" xfId="0" applyFont="1" applyFill="1" applyBorder="1" applyAlignment="1">
      <alignment vertical="top" wrapText="1"/>
    </xf>
    <xf numFmtId="0" fontId="29" fillId="6" borderId="9" xfId="0" applyFont="1" applyFill="1" applyBorder="1" applyAlignment="1">
      <alignment vertical="top" wrapText="1"/>
    </xf>
    <xf numFmtId="0" fontId="13" fillId="5" borderId="13" xfId="0" applyFont="1" applyFill="1" applyBorder="1" applyAlignment="1">
      <alignment vertical="top" wrapText="1"/>
    </xf>
    <xf numFmtId="0" fontId="13" fillId="5" borderId="9" xfId="0" applyFont="1" applyFill="1" applyBorder="1" applyAlignment="1">
      <alignment vertical="top" wrapText="1"/>
    </xf>
    <xf numFmtId="0" fontId="29" fillId="5" borderId="9" xfId="0" applyFont="1" applyFill="1" applyBorder="1" applyAlignment="1">
      <alignment vertical="top" wrapText="1"/>
    </xf>
    <xf numFmtId="0" fontId="20" fillId="5" borderId="6" xfId="0" applyFont="1" applyFill="1" applyBorder="1" applyAlignment="1">
      <alignment horizontal="right" vertical="top"/>
    </xf>
    <xf numFmtId="0" fontId="11" fillId="6" borderId="6" xfId="0" applyFont="1" applyFill="1" applyBorder="1" applyAlignment="1">
      <alignment vertical="top"/>
    </xf>
    <xf numFmtId="0" fontId="39" fillId="0" borderId="0" xfId="0" applyFont="1"/>
    <xf numFmtId="0" fontId="40" fillId="0" borderId="0" xfId="0" applyFont="1"/>
    <xf numFmtId="0" fontId="39" fillId="10" borderId="0" xfId="0" applyFont="1" applyFill="1"/>
    <xf numFmtId="0" fontId="42" fillId="0" borderId="0" xfId="0" applyFont="1"/>
    <xf numFmtId="0" fontId="39" fillId="9" borderId="0" xfId="0" applyFont="1" applyFill="1"/>
    <xf numFmtId="0" fontId="43" fillId="12" borderId="0" xfId="0" applyFont="1" applyFill="1" applyBorder="1" applyAlignment="1">
      <alignment horizontal="center" vertical="center" wrapText="1"/>
    </xf>
    <xf numFmtId="0" fontId="39" fillId="0" borderId="0" xfId="0" applyFont="1" applyBorder="1" applyAlignment="1">
      <alignment horizontal="left" vertical="center" wrapText="1"/>
    </xf>
    <xf numFmtId="0" fontId="44" fillId="13" borderId="0" xfId="0" applyFont="1" applyFill="1" applyBorder="1" applyAlignment="1">
      <alignment horizontal="center" vertical="center" wrapText="1"/>
    </xf>
    <xf numFmtId="0" fontId="45" fillId="12" borderId="0" xfId="0" applyFont="1" applyFill="1" applyBorder="1" applyAlignment="1">
      <alignment horizontal="center" vertical="center" wrapText="1"/>
    </xf>
    <xf numFmtId="0" fontId="46" fillId="13" borderId="0" xfId="0" applyFont="1" applyFill="1" applyBorder="1" applyAlignment="1">
      <alignment horizontal="center" vertical="center" wrapText="1"/>
    </xf>
    <xf numFmtId="0" fontId="47" fillId="15" borderId="0" xfId="0" applyFont="1" applyFill="1" applyBorder="1" applyAlignment="1">
      <alignment horizontal="center" vertical="center" wrapText="1"/>
    </xf>
    <xf numFmtId="0" fontId="48" fillId="14" borderId="0" xfId="0" applyFont="1" applyFill="1" applyBorder="1" applyAlignment="1">
      <alignment horizontal="center" vertical="center" wrapText="1"/>
    </xf>
    <xf numFmtId="0" fontId="49" fillId="17" borderId="0" xfId="0" applyFont="1" applyFill="1" applyBorder="1" applyAlignment="1">
      <alignment horizontal="center" vertical="center" wrapText="1"/>
    </xf>
    <xf numFmtId="0" fontId="50" fillId="16" borderId="0" xfId="0" applyFont="1" applyFill="1" applyBorder="1" applyAlignment="1">
      <alignment horizontal="center" vertical="center" wrapText="1"/>
    </xf>
    <xf numFmtId="0" fontId="51" fillId="19" borderId="0" xfId="0" applyFont="1" applyFill="1" applyBorder="1" applyAlignment="1">
      <alignment horizontal="center" vertical="center" wrapText="1"/>
    </xf>
    <xf numFmtId="0" fontId="52" fillId="18" borderId="0" xfId="0" applyFont="1" applyFill="1" applyBorder="1" applyAlignment="1">
      <alignment horizontal="center" vertical="center" wrapText="1"/>
    </xf>
    <xf numFmtId="0" fontId="53" fillId="20" borderId="0" xfId="0" applyFont="1" applyFill="1" applyBorder="1" applyAlignment="1">
      <alignment horizontal="center" vertical="center" wrapText="1"/>
    </xf>
    <xf numFmtId="0" fontId="54" fillId="0" borderId="0" xfId="0" applyFont="1" applyAlignment="1">
      <alignment horizontal="center"/>
    </xf>
    <xf numFmtId="0" fontId="54" fillId="0" borderId="0" xfId="0" applyFont="1" applyBorder="1" applyAlignment="1">
      <alignment horizontal="center" vertical="center" wrapText="1"/>
    </xf>
    <xf numFmtId="0" fontId="39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39" fillId="21" borderId="0" xfId="0" applyFont="1" applyFill="1"/>
    <xf numFmtId="0" fontId="39" fillId="22" borderId="0" xfId="0" applyFont="1" applyFill="1"/>
    <xf numFmtId="0" fontId="40" fillId="0" borderId="0" xfId="0" applyFont="1" applyFill="1" applyAlignment="1">
      <alignment horizontal="center"/>
    </xf>
    <xf numFmtId="0" fontId="43" fillId="0" borderId="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 wrapText="1"/>
    </xf>
    <xf numFmtId="0" fontId="46" fillId="0" borderId="0" xfId="0" applyFont="1" applyFill="1" applyBorder="1" applyAlignment="1">
      <alignment horizontal="center" vertical="center" wrapText="1"/>
    </xf>
    <xf numFmtId="0" fontId="47" fillId="0" borderId="0" xfId="0" applyFont="1" applyFill="1" applyBorder="1" applyAlignment="1">
      <alignment horizontal="center" vertical="center" wrapText="1"/>
    </xf>
    <xf numFmtId="0" fontId="48" fillId="0" borderId="0" xfId="0" applyFont="1" applyFill="1" applyBorder="1" applyAlignment="1">
      <alignment horizontal="center" vertical="center" wrapText="1"/>
    </xf>
    <xf numFmtId="0" fontId="49" fillId="0" borderId="0" xfId="0" applyFont="1" applyFill="1" applyBorder="1" applyAlignment="1">
      <alignment horizontal="center" vertical="center" wrapText="1"/>
    </xf>
    <xf numFmtId="0" fontId="50" fillId="0" borderId="0" xfId="0" applyFont="1" applyFill="1" applyBorder="1" applyAlignment="1">
      <alignment horizontal="center" vertical="center" wrapText="1"/>
    </xf>
    <xf numFmtId="0" fontId="51" fillId="0" borderId="0" xfId="0" applyFont="1" applyFill="1" applyBorder="1" applyAlignment="1">
      <alignment horizontal="center" vertical="center" wrapText="1"/>
    </xf>
    <xf numFmtId="0" fontId="52" fillId="0" borderId="0" xfId="0" applyFont="1" applyFill="1" applyBorder="1" applyAlignment="1">
      <alignment horizontal="center" vertical="center" wrapText="1"/>
    </xf>
    <xf numFmtId="0" fontId="53" fillId="0" borderId="0" xfId="0" applyFont="1" applyFill="1" applyBorder="1" applyAlignment="1">
      <alignment horizontal="center" vertical="center" wrapText="1"/>
    </xf>
    <xf numFmtId="0" fontId="54" fillId="0" borderId="0" xfId="0" applyFont="1" applyFill="1" applyAlignment="1">
      <alignment horizontal="center"/>
    </xf>
    <xf numFmtId="0" fontId="54" fillId="0" borderId="0" xfId="0" applyFont="1" applyFill="1" applyBorder="1" applyAlignment="1">
      <alignment horizontal="center" vertical="center" wrapText="1"/>
    </xf>
    <xf numFmtId="0" fontId="41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55" fillId="0" borderId="0" xfId="0" applyFont="1" applyFill="1" applyBorder="1" applyAlignment="1">
      <alignment horizontal="left" vertical="center" wrapText="1"/>
    </xf>
    <xf numFmtId="0" fontId="55" fillId="0" borderId="0" xfId="0" applyFont="1" applyFill="1" applyAlignment="1">
      <alignment horizontal="left"/>
    </xf>
    <xf numFmtId="0" fontId="39" fillId="23" borderId="0" xfId="0" applyFont="1" applyFill="1"/>
    <xf numFmtId="0" fontId="39" fillId="24" borderId="0" xfId="0" applyFont="1" applyFill="1"/>
    <xf numFmtId="0" fontId="39" fillId="25" borderId="0" xfId="0" applyFont="1" applyFill="1"/>
    <xf numFmtId="0" fontId="56" fillId="11" borderId="0" xfId="0" applyFont="1" applyFill="1"/>
    <xf numFmtId="0" fontId="57" fillId="0" borderId="0" xfId="0" applyFont="1" applyFill="1" applyBorder="1" applyAlignment="1">
      <alignment horizontal="center" vertical="center" wrapText="1"/>
    </xf>
    <xf numFmtId="0" fontId="58" fillId="0" borderId="0" xfId="0" applyFont="1" applyFill="1" applyBorder="1" applyAlignment="1">
      <alignment horizontal="center" vertical="center" wrapText="1"/>
    </xf>
    <xf numFmtId="0" fontId="59" fillId="0" borderId="0" xfId="0" applyFont="1" applyFill="1" applyBorder="1" applyAlignment="1">
      <alignment horizontal="center" vertical="center" wrapText="1"/>
    </xf>
    <xf numFmtId="0" fontId="60" fillId="0" borderId="0" xfId="0" applyFont="1" applyFill="1" applyBorder="1" applyAlignment="1">
      <alignment horizontal="center" vertical="center" wrapText="1"/>
    </xf>
    <xf numFmtId="0" fontId="61" fillId="0" borderId="0" xfId="0" applyFont="1" applyFill="1" applyBorder="1" applyAlignment="1">
      <alignment horizontal="center" vertical="center" wrapText="1"/>
    </xf>
    <xf numFmtId="0" fontId="62" fillId="0" borderId="0" xfId="0" applyFont="1" applyFill="1" applyBorder="1" applyAlignment="1">
      <alignment horizontal="center" vertical="center" wrapText="1"/>
    </xf>
    <xf numFmtId="0" fontId="63" fillId="0" borderId="0" xfId="0" applyFont="1" applyFill="1" applyBorder="1" applyAlignment="1">
      <alignment horizontal="center" vertical="center" wrapText="1"/>
    </xf>
    <xf numFmtId="0" fontId="64" fillId="0" borderId="0" xfId="0" applyFont="1" applyFill="1" applyBorder="1" applyAlignment="1">
      <alignment horizontal="center" vertical="center" wrapText="1"/>
    </xf>
    <xf numFmtId="0" fontId="65" fillId="0" borderId="0" xfId="0" applyFont="1" applyFill="1" applyBorder="1" applyAlignment="1">
      <alignment horizontal="center" vertical="center" wrapText="1"/>
    </xf>
    <xf numFmtId="0" fontId="66" fillId="0" borderId="0" xfId="0" applyFont="1" applyFill="1" applyBorder="1" applyAlignment="1">
      <alignment horizontal="center" vertical="center" wrapText="1"/>
    </xf>
    <xf numFmtId="0" fontId="67" fillId="0" borderId="0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 wrapText="1"/>
    </xf>
    <xf numFmtId="0" fontId="68" fillId="0" borderId="0" xfId="0" applyFont="1" applyFill="1" applyAlignment="1">
      <alignment horizontal="center"/>
    </xf>
    <xf numFmtId="0" fontId="68" fillId="0" borderId="0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top" wrapText="1"/>
    </xf>
    <xf numFmtId="0" fontId="9" fillId="8" borderId="0" xfId="0" applyFont="1" applyFill="1" applyBorder="1" applyAlignment="1">
      <alignment horizontal="center" vertical="top"/>
    </xf>
    <xf numFmtId="0" fontId="9" fillId="5" borderId="0" xfId="0" applyFont="1" applyFill="1" applyBorder="1" applyAlignment="1">
      <alignment horizontal="center" vertical="top"/>
    </xf>
    <xf numFmtId="0" fontId="13" fillId="5" borderId="0" xfId="0" applyFont="1" applyFill="1" applyBorder="1" applyAlignment="1">
      <alignment horizontal="center" vertical="top" wrapText="1"/>
    </xf>
    <xf numFmtId="0" fontId="9" fillId="6" borderId="0" xfId="0" applyFont="1" applyFill="1" applyBorder="1" applyAlignment="1">
      <alignment horizontal="center" vertical="top"/>
    </xf>
    <xf numFmtId="0" fontId="11" fillId="6" borderId="4" xfId="0" applyFont="1" applyFill="1" applyBorder="1" applyAlignment="1">
      <alignment horizontal="left" vertical="top"/>
    </xf>
    <xf numFmtId="0" fontId="9" fillId="4" borderId="0" xfId="0" applyFont="1" applyFill="1" applyBorder="1" applyAlignment="1">
      <alignment horizontal="center" vertical="top"/>
    </xf>
    <xf numFmtId="0" fontId="13" fillId="6" borderId="0" xfId="0" applyFont="1" applyFill="1" applyBorder="1" applyAlignment="1">
      <alignment horizontal="center" vertical="top" wrapText="1"/>
    </xf>
    <xf numFmtId="0" fontId="13" fillId="8" borderId="0" xfId="0" applyFont="1" applyFill="1" applyBorder="1" applyAlignment="1">
      <alignment horizontal="center" vertical="top" wrapText="1"/>
    </xf>
    <xf numFmtId="0" fontId="12" fillId="24" borderId="8" xfId="0" applyFont="1" applyFill="1" applyBorder="1" applyAlignment="1">
      <alignment horizontal="left" vertical="top"/>
    </xf>
    <xf numFmtId="0" fontId="11" fillId="24" borderId="0" xfId="0" applyFont="1" applyFill="1" applyBorder="1" applyAlignment="1">
      <alignment horizontal="right" vertical="top"/>
    </xf>
    <xf numFmtId="0" fontId="9" fillId="24" borderId="0" xfId="0" applyFont="1" applyFill="1" applyBorder="1" applyAlignment="1">
      <alignment horizontal="center" vertical="top"/>
    </xf>
    <xf numFmtId="0" fontId="12" fillId="24" borderId="0" xfId="0" applyFont="1" applyFill="1" applyBorder="1" applyAlignment="1">
      <alignment horizontal="left" vertical="top"/>
    </xf>
    <xf numFmtId="0" fontId="9" fillId="24" borderId="0" xfId="0" applyFont="1" applyFill="1" applyBorder="1" applyAlignment="1">
      <alignment horizontal="center" vertical="top"/>
    </xf>
    <xf numFmtId="0" fontId="9" fillId="4" borderId="0" xfId="0" applyFont="1" applyFill="1" applyBorder="1" applyAlignment="1">
      <alignment horizontal="center" vertical="top"/>
    </xf>
    <xf numFmtId="0" fontId="13" fillId="8" borderId="9" xfId="0" applyFont="1" applyFill="1" applyBorder="1" applyAlignment="1">
      <alignment horizontal="center" vertical="top" wrapText="1"/>
    </xf>
    <xf numFmtId="0" fontId="13" fillId="4" borderId="9" xfId="0" applyFont="1" applyFill="1" applyBorder="1" applyAlignment="1">
      <alignment horizontal="center" vertical="top" wrapText="1"/>
    </xf>
    <xf numFmtId="0" fontId="9" fillId="6" borderId="6" xfId="0" applyFont="1" applyFill="1" applyBorder="1" applyAlignment="1">
      <alignment vertical="center" wrapText="1"/>
    </xf>
    <xf numFmtId="0" fontId="9" fillId="6" borderId="17" xfId="0" applyFont="1" applyFill="1" applyBorder="1" applyAlignment="1">
      <alignment vertical="center" wrapText="1"/>
    </xf>
    <xf numFmtId="0" fontId="9" fillId="24" borderId="0" xfId="0" applyFont="1" applyFill="1" applyBorder="1" applyAlignment="1">
      <alignment horizontal="right" vertical="top"/>
    </xf>
    <xf numFmtId="0" fontId="9" fillId="0" borderId="0" xfId="0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right" vertical="top"/>
    </xf>
    <xf numFmtId="0" fontId="9" fillId="0" borderId="6" xfId="0" applyFont="1" applyFill="1" applyBorder="1" applyAlignment="1">
      <alignment vertical="center" wrapText="1"/>
    </xf>
    <xf numFmtId="0" fontId="9" fillId="0" borderId="17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top"/>
    </xf>
    <xf numFmtId="0" fontId="0" fillId="0" borderId="0" xfId="0" applyFill="1" applyBorder="1"/>
    <xf numFmtId="0" fontId="77" fillId="0" borderId="0" xfId="0" applyFont="1" applyFill="1" applyBorder="1" applyAlignment="1">
      <alignment horizontal="center" vertical="center" textRotation="45" wrapText="1"/>
    </xf>
    <xf numFmtId="0" fontId="17" fillId="2" borderId="8" xfId="0" applyFont="1" applyFill="1" applyBorder="1" applyAlignment="1">
      <alignment horizontal="left" vertical="top"/>
    </xf>
    <xf numFmtId="0" fontId="17" fillId="4" borderId="8" xfId="0" applyFont="1" applyFill="1" applyBorder="1" applyAlignment="1">
      <alignment horizontal="left" vertical="top"/>
    </xf>
    <xf numFmtId="0" fontId="20" fillId="3" borderId="6" xfId="0" applyFont="1" applyFill="1" applyBorder="1" applyAlignment="1">
      <alignment horizontal="right" vertical="top"/>
    </xf>
    <xf numFmtId="0" fontId="11" fillId="6" borderId="49" xfId="0" applyFont="1" applyFill="1" applyBorder="1" applyAlignment="1">
      <alignment horizontal="left" vertical="top"/>
    </xf>
    <xf numFmtId="0" fontId="11" fillId="6" borderId="50" xfId="0" applyFont="1" applyFill="1" applyBorder="1" applyAlignment="1">
      <alignment horizontal="left" vertical="top"/>
    </xf>
    <xf numFmtId="0" fontId="22" fillId="6" borderId="50" xfId="0" applyFont="1" applyFill="1" applyBorder="1" applyAlignment="1">
      <alignment horizontal="right" vertical="top"/>
    </xf>
    <xf numFmtId="0" fontId="13" fillId="6" borderId="52" xfId="0" applyFont="1" applyFill="1" applyBorder="1" applyAlignment="1">
      <alignment vertical="top" wrapText="1"/>
    </xf>
    <xf numFmtId="0" fontId="13" fillId="6" borderId="53" xfId="0" applyFont="1" applyFill="1" applyBorder="1" applyAlignment="1">
      <alignment vertical="top" wrapText="1"/>
    </xf>
    <xf numFmtId="0" fontId="20" fillId="6" borderId="50" xfId="0" applyFont="1" applyFill="1" applyBorder="1" applyAlignment="1">
      <alignment horizontal="right" vertical="top"/>
    </xf>
    <xf numFmtId="0" fontId="29" fillId="6" borderId="53" xfId="0" applyFont="1" applyFill="1" applyBorder="1" applyAlignment="1">
      <alignment vertical="top" wrapText="1"/>
    </xf>
    <xf numFmtId="0" fontId="20" fillId="6" borderId="51" xfId="0" applyFont="1" applyFill="1" applyBorder="1" applyAlignment="1">
      <alignment horizontal="right" vertical="top"/>
    </xf>
    <xf numFmtId="0" fontId="11" fillId="5" borderId="49" xfId="0" applyFont="1" applyFill="1" applyBorder="1" applyAlignment="1">
      <alignment horizontal="left" vertical="top"/>
    </xf>
    <xf numFmtId="0" fontId="20" fillId="5" borderId="50" xfId="0" applyFont="1" applyFill="1" applyBorder="1" applyAlignment="1">
      <alignment horizontal="right" vertical="top"/>
    </xf>
    <xf numFmtId="0" fontId="13" fillId="5" borderId="52" xfId="0" applyFont="1" applyFill="1" applyBorder="1" applyAlignment="1">
      <alignment vertical="top" wrapText="1"/>
    </xf>
    <xf numFmtId="0" fontId="13" fillId="5" borderId="53" xfId="0" applyFont="1" applyFill="1" applyBorder="1" applyAlignment="1">
      <alignment vertical="top" wrapText="1"/>
    </xf>
    <xf numFmtId="0" fontId="17" fillId="4" borderId="49" xfId="0" applyFont="1" applyFill="1" applyBorder="1" applyAlignment="1">
      <alignment horizontal="left" vertical="top"/>
    </xf>
    <xf numFmtId="0" fontId="17" fillId="4" borderId="50" xfId="0" applyFont="1" applyFill="1" applyBorder="1" applyAlignment="1">
      <alignment horizontal="left" vertical="top"/>
    </xf>
    <xf numFmtId="0" fontId="20" fillId="4" borderId="51" xfId="0" applyFont="1" applyFill="1" applyBorder="1" applyAlignment="1">
      <alignment horizontal="right" vertical="top"/>
    </xf>
    <xf numFmtId="0" fontId="22" fillId="4" borderId="51" xfId="0" applyFont="1" applyFill="1" applyBorder="1" applyAlignment="1">
      <alignment horizontal="right" vertical="top"/>
    </xf>
    <xf numFmtId="0" fontId="17" fillId="8" borderId="49" xfId="0" applyFont="1" applyFill="1" applyBorder="1" applyAlignment="1">
      <alignment horizontal="left" vertical="top"/>
    </xf>
    <xf numFmtId="0" fontId="17" fillId="8" borderId="50" xfId="0" applyFont="1" applyFill="1" applyBorder="1" applyAlignment="1">
      <alignment horizontal="left" vertical="top"/>
    </xf>
    <xf numFmtId="0" fontId="20" fillId="8" borderId="50" xfId="0" applyFont="1" applyFill="1" applyBorder="1" applyAlignment="1">
      <alignment horizontal="right" vertical="top"/>
    </xf>
    <xf numFmtId="0" fontId="11" fillId="8" borderId="50" xfId="0" applyFont="1" applyFill="1" applyBorder="1" applyAlignment="1">
      <alignment vertical="top"/>
    </xf>
    <xf numFmtId="0" fontId="22" fillId="8" borderId="50" xfId="0" applyFont="1" applyFill="1" applyBorder="1" applyAlignment="1">
      <alignment horizontal="right" vertical="top"/>
    </xf>
    <xf numFmtId="0" fontId="13" fillId="8" borderId="52" xfId="0" applyFont="1" applyFill="1" applyBorder="1" applyAlignment="1">
      <alignment vertical="top" wrapText="1"/>
    </xf>
    <xf numFmtId="0" fontId="13" fillId="8" borderId="53" xfId="0" applyFont="1" applyFill="1" applyBorder="1" applyAlignment="1">
      <alignment vertical="top" wrapText="1"/>
    </xf>
    <xf numFmtId="0" fontId="17" fillId="3" borderId="49" xfId="0" applyFont="1" applyFill="1" applyBorder="1" applyAlignment="1">
      <alignment horizontal="left" vertical="top"/>
    </xf>
    <xf numFmtId="0" fontId="17" fillId="3" borderId="50" xfId="0" applyFont="1" applyFill="1" applyBorder="1" applyAlignment="1">
      <alignment horizontal="left" vertical="top"/>
    </xf>
    <xf numFmtId="0" fontId="20" fillId="3" borderId="51" xfId="0" applyFont="1" applyFill="1" applyBorder="1" applyAlignment="1">
      <alignment horizontal="right" vertical="top"/>
    </xf>
    <xf numFmtId="0" fontId="17" fillId="3" borderId="55" xfId="0" applyFont="1" applyFill="1" applyBorder="1" applyAlignment="1">
      <alignment horizontal="left" vertical="top"/>
    </xf>
    <xf numFmtId="0" fontId="20" fillId="3" borderId="56" xfId="0" applyFont="1" applyFill="1" applyBorder="1" applyAlignment="1">
      <alignment horizontal="right" vertical="top"/>
    </xf>
    <xf numFmtId="0" fontId="11" fillId="5" borderId="55" xfId="0" applyFont="1" applyFill="1" applyBorder="1" applyAlignment="1">
      <alignment horizontal="left" vertical="top"/>
    </xf>
    <xf numFmtId="0" fontId="29" fillId="5" borderId="59" xfId="0" applyFont="1" applyFill="1" applyBorder="1" applyAlignment="1">
      <alignment vertical="top" wrapText="1"/>
    </xf>
    <xf numFmtId="0" fontId="13" fillId="5" borderId="59" xfId="0" applyFont="1" applyFill="1" applyBorder="1" applyAlignment="1">
      <alignment vertical="top" wrapText="1"/>
    </xf>
    <xf numFmtId="0" fontId="11" fillId="6" borderId="55" xfId="0" applyFont="1" applyFill="1" applyBorder="1" applyAlignment="1">
      <alignment horizontal="left" vertical="top"/>
    </xf>
    <xf numFmtId="0" fontId="25" fillId="6" borderId="56" xfId="0" applyFont="1" applyFill="1" applyBorder="1" applyAlignment="1">
      <alignment horizontal="right" vertical="top"/>
    </xf>
    <xf numFmtId="0" fontId="9" fillId="6" borderId="57" xfId="0" applyFont="1" applyFill="1" applyBorder="1" applyAlignment="1">
      <alignment vertical="top"/>
    </xf>
    <xf numFmtId="0" fontId="21" fillId="6" borderId="58" xfId="0" applyFont="1" applyFill="1" applyBorder="1" applyAlignment="1">
      <alignment horizontal="right" vertical="top"/>
    </xf>
    <xf numFmtId="0" fontId="17" fillId="4" borderId="55" xfId="0" applyFont="1" applyFill="1" applyBorder="1" applyAlignment="1">
      <alignment horizontal="left" vertical="top"/>
    </xf>
    <xf numFmtId="0" fontId="22" fillId="4" borderId="56" xfId="0" applyFont="1" applyFill="1" applyBorder="1" applyAlignment="1">
      <alignment horizontal="right" vertical="top"/>
    </xf>
    <xf numFmtId="0" fontId="9" fillId="4" borderId="57" xfId="0" applyFont="1" applyFill="1" applyBorder="1" applyAlignment="1">
      <alignment horizontal="center" vertical="top"/>
    </xf>
    <xf numFmtId="0" fontId="21" fillId="4" borderId="58" xfId="0" applyFont="1" applyFill="1" applyBorder="1" applyAlignment="1">
      <alignment horizontal="right" vertical="top"/>
    </xf>
    <xf numFmtId="0" fontId="13" fillId="4" borderId="59" xfId="0" applyFont="1" applyFill="1" applyBorder="1" applyAlignment="1">
      <alignment horizontal="center" vertical="top" wrapText="1"/>
    </xf>
    <xf numFmtId="0" fontId="24" fillId="4" borderId="60" xfId="0" applyFont="1" applyFill="1" applyBorder="1" applyAlignment="1">
      <alignment horizontal="right" vertical="top" wrapText="1"/>
    </xf>
    <xf numFmtId="0" fontId="17" fillId="8" borderId="55" xfId="0" applyFont="1" applyFill="1" applyBorder="1" applyAlignment="1">
      <alignment horizontal="left" vertical="top"/>
    </xf>
    <xf numFmtId="0" fontId="22" fillId="8" borderId="56" xfId="0" applyFont="1" applyFill="1" applyBorder="1" applyAlignment="1">
      <alignment horizontal="right" vertical="top"/>
    </xf>
    <xf numFmtId="0" fontId="9" fillId="8" borderId="57" xfId="0" applyFont="1" applyFill="1" applyBorder="1" applyAlignment="1">
      <alignment vertical="top"/>
    </xf>
    <xf numFmtId="0" fontId="23" fillId="8" borderId="58" xfId="0" applyFont="1" applyFill="1" applyBorder="1" applyAlignment="1">
      <alignment horizontal="right" vertical="top"/>
    </xf>
    <xf numFmtId="0" fontId="13" fillId="8" borderId="59" xfId="0" applyFont="1" applyFill="1" applyBorder="1" applyAlignment="1">
      <alignment horizontal="center" vertical="top" wrapText="1"/>
    </xf>
    <xf numFmtId="0" fontId="24" fillId="8" borderId="60" xfId="0" applyFont="1" applyFill="1" applyBorder="1" applyAlignment="1">
      <alignment horizontal="right" vertical="top" wrapText="1"/>
    </xf>
    <xf numFmtId="0" fontId="11" fillId="6" borderId="51" xfId="0" applyFont="1" applyFill="1" applyBorder="1" applyAlignment="1">
      <alignment horizontal="right" vertical="top"/>
    </xf>
    <xf numFmtId="0" fontId="31" fillId="6" borderId="51" xfId="0" applyFont="1" applyFill="1" applyBorder="1" applyAlignment="1">
      <alignment horizontal="right" vertical="top"/>
    </xf>
    <xf numFmtId="0" fontId="11" fillId="5" borderId="51" xfId="0" applyFont="1" applyFill="1" applyBorder="1" applyAlignment="1">
      <alignment horizontal="right" vertical="top"/>
    </xf>
    <xf numFmtId="0" fontId="15" fillId="5" borderId="51" xfId="0" applyFont="1" applyFill="1" applyBorder="1" applyAlignment="1">
      <alignment horizontal="right" vertical="top"/>
    </xf>
    <xf numFmtId="0" fontId="11" fillId="4" borderId="7" xfId="0" applyFont="1" applyFill="1" applyBorder="1" applyAlignment="1">
      <alignment horizontal="right" vertical="top"/>
    </xf>
    <xf numFmtId="0" fontId="11" fillId="4" borderId="51" xfId="0" applyFont="1" applyFill="1" applyBorder="1" applyAlignment="1">
      <alignment horizontal="right" vertical="top"/>
    </xf>
    <xf numFmtId="0" fontId="11" fillId="8" borderId="50" xfId="0" applyFont="1" applyFill="1" applyBorder="1" applyAlignment="1">
      <alignment horizontal="right" vertical="top"/>
    </xf>
    <xf numFmtId="0" fontId="11" fillId="8" borderId="51" xfId="0" applyFont="1" applyFill="1" applyBorder="1" applyAlignment="1">
      <alignment horizontal="right" vertical="top"/>
    </xf>
    <xf numFmtId="0" fontId="11" fillId="5" borderId="61" xfId="0" applyFont="1" applyFill="1" applyBorder="1" applyAlignment="1">
      <alignment horizontal="right" vertical="top"/>
    </xf>
    <xf numFmtId="0" fontId="11" fillId="3" borderId="61" xfId="0" applyFont="1" applyFill="1" applyBorder="1" applyAlignment="1">
      <alignment horizontal="right" vertical="top"/>
    </xf>
    <xf numFmtId="0" fontId="9" fillId="6" borderId="62" xfId="0" applyFont="1" applyFill="1" applyBorder="1" applyAlignment="1">
      <alignment horizontal="right" vertical="top"/>
    </xf>
    <xf numFmtId="0" fontId="11" fillId="6" borderId="61" xfId="0" applyFont="1" applyFill="1" applyBorder="1" applyAlignment="1">
      <alignment horizontal="right" vertical="top"/>
    </xf>
    <xf numFmtId="0" fontId="13" fillId="6" borderId="63" xfId="0" applyFont="1" applyFill="1" applyBorder="1" applyAlignment="1">
      <alignment horizontal="right" vertical="top" wrapText="1"/>
    </xf>
    <xf numFmtId="0" fontId="11" fillId="6" borderId="64" xfId="0" applyFont="1" applyFill="1" applyBorder="1" applyAlignment="1">
      <alignment horizontal="left" vertical="top"/>
    </xf>
    <xf numFmtId="0" fontId="9" fillId="6" borderId="65" xfId="0" applyFont="1" applyFill="1" applyBorder="1" applyAlignment="1">
      <alignment vertical="top"/>
    </xf>
    <xf numFmtId="0" fontId="9" fillId="6" borderId="65" xfId="0" applyFont="1" applyFill="1" applyBorder="1" applyAlignment="1">
      <alignment horizontal="center" vertical="top"/>
    </xf>
    <xf numFmtId="0" fontId="13" fillId="6" borderId="66" xfId="0" applyFont="1" applyFill="1" applyBorder="1" applyAlignment="1">
      <alignment horizontal="center" vertical="top" wrapText="1"/>
    </xf>
    <xf numFmtId="0" fontId="17" fillId="4" borderId="64" xfId="0" applyFont="1" applyFill="1" applyBorder="1" applyAlignment="1">
      <alignment horizontal="left" vertical="top"/>
    </xf>
    <xf numFmtId="0" fontId="9" fillId="4" borderId="65" xfId="0" applyFont="1" applyFill="1" applyBorder="1" applyAlignment="1">
      <alignment horizontal="center" vertical="top"/>
    </xf>
    <xf numFmtId="0" fontId="13" fillId="4" borderId="66" xfId="0" applyFont="1" applyFill="1" applyBorder="1" applyAlignment="1">
      <alignment horizontal="center" vertical="top" wrapText="1"/>
    </xf>
    <xf numFmtId="0" fontId="11" fillId="4" borderId="61" xfId="0" applyFont="1" applyFill="1" applyBorder="1" applyAlignment="1">
      <alignment horizontal="right" vertical="top"/>
    </xf>
    <xf numFmtId="0" fontId="9" fillId="4" borderId="62" xfId="0" applyFont="1" applyFill="1" applyBorder="1" applyAlignment="1">
      <alignment horizontal="right" vertical="top"/>
    </xf>
    <xf numFmtId="0" fontId="13" fillId="4" borderId="63" xfId="0" applyFont="1" applyFill="1" applyBorder="1" applyAlignment="1">
      <alignment horizontal="right" vertical="top" wrapText="1"/>
    </xf>
    <xf numFmtId="0" fontId="17" fillId="8" borderId="64" xfId="0" applyFont="1" applyFill="1" applyBorder="1" applyAlignment="1">
      <alignment horizontal="left" vertical="top"/>
    </xf>
    <xf numFmtId="0" fontId="11" fillId="8" borderId="61" xfId="0" applyFont="1" applyFill="1" applyBorder="1" applyAlignment="1">
      <alignment horizontal="right" vertical="top"/>
    </xf>
    <xf numFmtId="0" fontId="9" fillId="8" borderId="65" xfId="0" applyFont="1" applyFill="1" applyBorder="1" applyAlignment="1">
      <alignment vertical="top"/>
    </xf>
    <xf numFmtId="0" fontId="8" fillId="8" borderId="62" xfId="0" applyFont="1" applyFill="1" applyBorder="1" applyAlignment="1">
      <alignment horizontal="right" vertical="top"/>
    </xf>
    <xf numFmtId="0" fontId="13" fillId="8" borderId="66" xfId="0" applyFont="1" applyFill="1" applyBorder="1" applyAlignment="1">
      <alignment horizontal="center" vertical="top" wrapText="1"/>
    </xf>
    <xf numFmtId="0" fontId="13" fillId="8" borderId="63" xfId="0" applyFont="1" applyFill="1" applyBorder="1" applyAlignment="1">
      <alignment horizontal="right" vertical="top" wrapText="1"/>
    </xf>
    <xf numFmtId="0" fontId="11" fillId="3" borderId="51" xfId="0" applyFont="1" applyFill="1" applyBorder="1" applyAlignment="1">
      <alignment horizontal="right" vertical="top"/>
    </xf>
    <xf numFmtId="0" fontId="11" fillId="24" borderId="0" xfId="0" applyFont="1" applyFill="1" applyBorder="1" applyAlignment="1">
      <alignment horizontal="left"/>
    </xf>
    <xf numFmtId="0" fontId="29" fillId="24" borderId="0" xfId="0" applyFont="1" applyFill="1" applyBorder="1" applyAlignment="1">
      <alignment wrapText="1"/>
    </xf>
    <xf numFmtId="0" fontId="13" fillId="24" borderId="0" xfId="0" applyFont="1" applyFill="1" applyBorder="1" applyAlignment="1">
      <alignment wrapText="1"/>
    </xf>
    <xf numFmtId="0" fontId="21" fillId="24" borderId="0" xfId="0" applyFont="1" applyFill="1" applyBorder="1" applyAlignment="1">
      <alignment horizontal="right" vertical="top"/>
    </xf>
    <xf numFmtId="0" fontId="35" fillId="0" borderId="0" xfId="0" applyFont="1" applyAlignment="1"/>
    <xf numFmtId="0" fontId="36" fillId="0" borderId="0" xfId="0" applyFont="1" applyAlignment="1">
      <alignment vertical="center"/>
    </xf>
    <xf numFmtId="0" fontId="69" fillId="0" borderId="0" xfId="0" applyFont="1" applyAlignment="1"/>
    <xf numFmtId="0" fontId="70" fillId="0" borderId="0" xfId="0" applyFont="1" applyAlignment="1">
      <alignment vertical="center"/>
    </xf>
    <xf numFmtId="0" fontId="31" fillId="21" borderId="51" xfId="0" applyFont="1" applyFill="1" applyBorder="1" applyAlignment="1">
      <alignment horizontal="right" vertical="top"/>
    </xf>
    <xf numFmtId="0" fontId="20" fillId="21" borderId="50" xfId="0" applyFont="1" applyFill="1" applyBorder="1" applyAlignment="1">
      <alignment horizontal="center" vertical="top"/>
    </xf>
    <xf numFmtId="0" fontId="9" fillId="24" borderId="0" xfId="0" applyFont="1" applyFill="1" applyBorder="1" applyAlignment="1">
      <alignment horizontal="center" vertical="top"/>
    </xf>
    <xf numFmtId="0" fontId="11" fillId="25" borderId="0" xfId="0" applyFont="1" applyFill="1" applyBorder="1" applyAlignment="1">
      <alignment horizontal="left" vertical="top"/>
    </xf>
    <xf numFmtId="0" fontId="20" fillId="25" borderId="0" xfId="0" applyFont="1" applyFill="1" applyBorder="1" applyAlignment="1">
      <alignment horizontal="right" vertical="top"/>
    </xf>
    <xf numFmtId="0" fontId="11" fillId="25" borderId="0" xfId="0" applyFont="1" applyFill="1" applyBorder="1" applyAlignment="1">
      <alignment horizontal="left"/>
    </xf>
    <xf numFmtId="0" fontId="9" fillId="25" borderId="0" xfId="0" applyFont="1" applyFill="1" applyBorder="1" applyAlignment="1">
      <alignment horizontal="center" vertical="top"/>
    </xf>
    <xf numFmtId="0" fontId="9" fillId="25" borderId="0" xfId="0" applyFont="1" applyFill="1" applyBorder="1" applyAlignment="1">
      <alignment horizontal="right" vertical="top"/>
    </xf>
    <xf numFmtId="0" fontId="13" fillId="25" borderId="0" xfId="0" applyFont="1" applyFill="1" applyBorder="1" applyAlignment="1">
      <alignment wrapText="1"/>
    </xf>
    <xf numFmtId="0" fontId="11" fillId="6" borderId="49" xfId="0" applyFont="1" applyFill="1" applyBorder="1" applyAlignment="1">
      <alignment horizontal="left" vertical="top"/>
    </xf>
    <xf numFmtId="0" fontId="84" fillId="6" borderId="0" xfId="0" applyFont="1" applyFill="1" applyBorder="1" applyAlignment="1">
      <alignment horizontal="right" vertical="top"/>
    </xf>
    <xf numFmtId="0" fontId="84" fillId="6" borderId="6" xfId="0" applyFont="1" applyFill="1" applyBorder="1" applyAlignment="1">
      <alignment horizontal="right" vertical="top"/>
    </xf>
    <xf numFmtId="0" fontId="12" fillId="6" borderId="6" xfId="0" applyFont="1" applyFill="1" applyBorder="1" applyAlignment="1">
      <alignment horizontal="left" vertical="top"/>
    </xf>
    <xf numFmtId="0" fontId="84" fillId="6" borderId="8" xfId="0" applyFont="1" applyFill="1" applyBorder="1" applyAlignment="1">
      <alignment horizontal="left" vertical="top"/>
    </xf>
    <xf numFmtId="0" fontId="84" fillId="6" borderId="0" xfId="0" applyFont="1" applyFill="1" applyBorder="1" applyAlignment="1">
      <alignment horizontal="left" vertical="top"/>
    </xf>
    <xf numFmtId="0" fontId="84" fillId="6" borderId="6" xfId="0" applyFont="1" applyFill="1" applyBorder="1" applyAlignment="1">
      <alignment horizontal="left" vertical="top"/>
    </xf>
    <xf numFmtId="0" fontId="11" fillId="26" borderId="0" xfId="0" applyFont="1" applyFill="1" applyBorder="1" applyAlignment="1">
      <alignment horizontal="left"/>
    </xf>
    <xf numFmtId="0" fontId="9" fillId="26" borderId="0" xfId="0" applyFont="1" applyFill="1" applyBorder="1" applyAlignment="1">
      <alignment horizontal="center" vertical="top"/>
    </xf>
    <xf numFmtId="0" fontId="21" fillId="26" borderId="0" xfId="0" applyFont="1" applyFill="1" applyBorder="1" applyAlignment="1">
      <alignment horizontal="right" vertical="top"/>
    </xf>
    <xf numFmtId="0" fontId="13" fillId="26" borderId="0" xfId="0" applyFont="1" applyFill="1" applyBorder="1" applyAlignment="1">
      <alignment wrapText="1"/>
    </xf>
    <xf numFmtId="0" fontId="87" fillId="6" borderId="52" xfId="0" applyFont="1" applyFill="1" applyBorder="1" applyAlignment="1">
      <alignment horizontal="left" wrapText="1"/>
    </xf>
    <xf numFmtId="0" fontId="86" fillId="6" borderId="52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center" vertical="top"/>
    </xf>
    <xf numFmtId="0" fontId="11" fillId="6" borderId="4" xfId="0" applyFont="1" applyFill="1" applyBorder="1" applyAlignment="1">
      <alignment horizontal="left" vertical="top"/>
    </xf>
    <xf numFmtId="0" fontId="9" fillId="8" borderId="0" xfId="0" applyFont="1" applyFill="1" applyBorder="1" applyAlignment="1">
      <alignment horizontal="center" vertical="top"/>
    </xf>
    <xf numFmtId="0" fontId="9" fillId="4" borderId="0" xfId="0" applyFont="1" applyFill="1" applyBorder="1" applyAlignment="1">
      <alignment horizontal="center" vertical="top"/>
    </xf>
    <xf numFmtId="0" fontId="16" fillId="0" borderId="44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top"/>
    </xf>
    <xf numFmtId="0" fontId="8" fillId="0" borderId="0" xfId="0" applyFont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right" vertical="top"/>
    </xf>
    <xf numFmtId="0" fontId="11" fillId="0" borderId="0" xfId="0" applyFont="1" applyFill="1" applyBorder="1" applyAlignment="1">
      <alignment horizontal="left"/>
    </xf>
    <xf numFmtId="0" fontId="11" fillId="4" borderId="5" xfId="0" applyFont="1" applyFill="1" applyBorder="1" applyAlignment="1">
      <alignment vertical="top"/>
    </xf>
    <xf numFmtId="0" fontId="11" fillId="4" borderId="0" xfId="0" applyFont="1" applyFill="1" applyBorder="1" applyAlignment="1">
      <alignment horizontal="left"/>
    </xf>
    <xf numFmtId="0" fontId="13" fillId="4" borderId="0" xfId="0" applyFont="1" applyFill="1" applyBorder="1" applyAlignment="1">
      <alignment wrapText="1"/>
    </xf>
    <xf numFmtId="0" fontId="89" fillId="4" borderId="4" xfId="0" applyFont="1" applyFill="1" applyBorder="1" applyAlignment="1">
      <alignment horizontal="left" vertical="top"/>
    </xf>
    <xf numFmtId="0" fontId="33" fillId="0" borderId="0" xfId="0" applyFont="1" applyFill="1" applyAlignment="1">
      <alignment vertical="center"/>
    </xf>
    <xf numFmtId="0" fontId="34" fillId="0" borderId="0" xfId="0" applyFont="1" applyFill="1" applyAlignment="1">
      <alignment vertical="center"/>
    </xf>
    <xf numFmtId="0" fontId="78" fillId="0" borderId="0" xfId="0" applyFont="1" applyBorder="1" applyAlignment="1">
      <alignment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right" vertical="center"/>
    </xf>
    <xf numFmtId="0" fontId="9" fillId="0" borderId="47" xfId="0" applyFont="1" applyFill="1" applyBorder="1" applyAlignment="1">
      <alignment horizontal="right" vertical="center"/>
    </xf>
    <xf numFmtId="0" fontId="9" fillId="0" borderId="47" xfId="0" applyFont="1" applyFill="1" applyBorder="1" applyAlignment="1">
      <alignment horizontal="center" vertical="center"/>
    </xf>
    <xf numFmtId="0" fontId="8" fillId="0" borderId="47" xfId="0" applyFont="1" applyBorder="1" applyAlignment="1">
      <alignment horizontal="center" vertical="center"/>
    </xf>
    <xf numFmtId="0" fontId="77" fillId="0" borderId="0" xfId="0" applyFont="1" applyFill="1" applyBorder="1" applyAlignment="1">
      <alignment horizontal="right" vertical="center" textRotation="90" wrapText="1"/>
    </xf>
    <xf numFmtId="0" fontId="8" fillId="0" borderId="0" xfId="0" applyFont="1" applyFill="1" applyBorder="1" applyAlignment="1">
      <alignment horizontal="center" vertical="center"/>
    </xf>
    <xf numFmtId="0" fontId="77" fillId="0" borderId="0" xfId="0" applyFont="1" applyFill="1" applyBorder="1" applyAlignment="1">
      <alignment horizontal="center" vertical="center" textRotation="90"/>
    </xf>
    <xf numFmtId="0" fontId="0" fillId="0" borderId="0" xfId="0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77" fillId="0" borderId="43" xfId="0" applyFont="1" applyFill="1" applyBorder="1" applyAlignment="1">
      <alignment vertical="center" textRotation="90" wrapText="1"/>
    </xf>
    <xf numFmtId="0" fontId="77" fillId="0" borderId="42" xfId="0" applyFont="1" applyFill="1" applyBorder="1" applyAlignment="1">
      <alignment vertical="center" textRotation="90" wrapText="1"/>
    </xf>
    <xf numFmtId="0" fontId="78" fillId="0" borderId="0" xfId="0" applyFont="1" applyFill="1" applyBorder="1" applyAlignment="1">
      <alignment vertical="center" textRotation="90" wrapText="1"/>
    </xf>
    <xf numFmtId="0" fontId="78" fillId="0" borderId="45" xfId="0" applyFont="1" applyFill="1" applyBorder="1" applyAlignment="1">
      <alignment vertical="center" textRotation="90" wrapText="1"/>
    </xf>
    <xf numFmtId="0" fontId="16" fillId="0" borderId="0" xfId="0" applyFont="1" applyFill="1" applyBorder="1" applyAlignment="1">
      <alignment horizontal="center" vertical="center"/>
    </xf>
    <xf numFmtId="0" fontId="16" fillId="0" borderId="44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9" fillId="24" borderId="37" xfId="0" applyFont="1" applyFill="1" applyBorder="1" applyAlignment="1">
      <alignment horizontal="center" vertical="top"/>
    </xf>
    <xf numFmtId="0" fontId="9" fillId="24" borderId="0" xfId="0" applyFont="1" applyFill="1" applyBorder="1" applyAlignment="1">
      <alignment horizontal="center" vertical="top"/>
    </xf>
    <xf numFmtId="0" fontId="9" fillId="24" borderId="0" xfId="0" applyFont="1" applyFill="1" applyBorder="1" applyAlignment="1">
      <alignment horizontal="right" vertical="top"/>
    </xf>
    <xf numFmtId="0" fontId="40" fillId="0" borderId="0" xfId="0" applyFont="1" applyAlignment="1">
      <alignment horizontal="center" vertical="top"/>
    </xf>
    <xf numFmtId="0" fontId="39" fillId="0" borderId="0" xfId="0" applyFont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left" vertical="top"/>
    </xf>
    <xf numFmtId="0" fontId="7" fillId="0" borderId="0" xfId="1"/>
    <xf numFmtId="0" fontId="93" fillId="0" borderId="0" xfId="1" applyFont="1"/>
    <xf numFmtId="0" fontId="97" fillId="0" borderId="0" xfId="1" applyFont="1" applyFill="1"/>
    <xf numFmtId="0" fontId="93" fillId="0" borderId="0" xfId="1" applyFont="1" applyFill="1"/>
    <xf numFmtId="0" fontId="97" fillId="3" borderId="82" xfId="1" applyFont="1" applyFill="1" applyBorder="1" applyAlignment="1">
      <alignment horizontal="right" wrapText="1"/>
    </xf>
    <xf numFmtId="0" fontId="97" fillId="3" borderId="82" xfId="1" applyFont="1" applyFill="1" applyBorder="1" applyAlignment="1">
      <alignment horizontal="right"/>
    </xf>
    <xf numFmtId="0" fontId="98" fillId="7" borderId="82" xfId="1" applyFont="1" applyFill="1" applyBorder="1" applyAlignment="1">
      <alignment horizontal="right"/>
    </xf>
    <xf numFmtId="0" fontId="98" fillId="6" borderId="82" xfId="1" applyFont="1" applyFill="1" applyBorder="1" applyAlignment="1">
      <alignment horizontal="right"/>
    </xf>
    <xf numFmtId="0" fontId="93" fillId="0" borderId="84" xfId="1" applyFont="1" applyBorder="1"/>
    <xf numFmtId="0" fontId="93" fillId="0" borderId="85" xfId="1" applyFont="1" applyBorder="1"/>
    <xf numFmtId="164" fontId="93" fillId="0" borderId="84" xfId="1" applyNumberFormat="1" applyFont="1" applyBorder="1"/>
    <xf numFmtId="164" fontId="93" fillId="0" borderId="86" xfId="1" applyNumberFormat="1" applyFont="1" applyBorder="1"/>
    <xf numFmtId="0" fontId="97" fillId="3" borderId="12" xfId="1" applyFont="1" applyFill="1" applyBorder="1" applyAlignment="1">
      <alignment horizontal="right" wrapText="1"/>
    </xf>
    <xf numFmtId="0" fontId="97" fillId="2" borderId="87" xfId="1" applyFont="1" applyFill="1" applyBorder="1" applyAlignment="1">
      <alignment horizontal="right"/>
    </xf>
    <xf numFmtId="0" fontId="97" fillId="2" borderId="88" xfId="1" applyFont="1" applyFill="1" applyBorder="1" applyAlignment="1">
      <alignment horizontal="right"/>
    </xf>
    <xf numFmtId="0" fontId="98" fillId="4" borderId="17" xfId="1" applyFont="1" applyFill="1" applyBorder="1" applyAlignment="1">
      <alignment horizontal="right"/>
    </xf>
    <xf numFmtId="0" fontId="98" fillId="5" borderId="82" xfId="1" applyFont="1" applyFill="1" applyBorder="1" applyAlignment="1">
      <alignment horizontal="right"/>
    </xf>
    <xf numFmtId="0" fontId="98" fillId="6" borderId="85" xfId="1" applyFont="1" applyFill="1" applyBorder="1" applyAlignment="1">
      <alignment horizontal="right"/>
    </xf>
    <xf numFmtId="0" fontId="98" fillId="0" borderId="0" xfId="1" applyFont="1" applyFill="1" applyBorder="1" applyAlignment="1">
      <alignment horizontal="right"/>
    </xf>
    <xf numFmtId="0" fontId="93" fillId="0" borderId="13" xfId="1" applyFont="1" applyBorder="1"/>
    <xf numFmtId="0" fontId="93" fillId="0" borderId="89" xfId="1" applyFont="1" applyBorder="1"/>
    <xf numFmtId="0" fontId="93" fillId="0" borderId="90" xfId="1" applyFont="1" applyBorder="1"/>
    <xf numFmtId="164" fontId="93" fillId="0" borderId="85" xfId="1" applyNumberFormat="1" applyFont="1" applyBorder="1"/>
    <xf numFmtId="164" fontId="93" fillId="0" borderId="0" xfId="1" applyNumberFormat="1" applyFont="1" applyFill="1" applyBorder="1"/>
    <xf numFmtId="0" fontId="97" fillId="3" borderId="12" xfId="1" applyFont="1" applyFill="1" applyBorder="1" applyAlignment="1">
      <alignment horizontal="right"/>
    </xf>
    <xf numFmtId="0" fontId="103" fillId="2" borderId="92" xfId="1" applyFont="1" applyFill="1" applyBorder="1" applyAlignment="1">
      <alignment horizontal="right" wrapText="1"/>
    </xf>
    <xf numFmtId="0" fontId="103" fillId="2" borderId="93" xfId="1" applyFont="1" applyFill="1" applyBorder="1" applyAlignment="1">
      <alignment horizontal="right"/>
    </xf>
    <xf numFmtId="0" fontId="98" fillId="5" borderId="22" xfId="1" applyFont="1" applyFill="1" applyBorder="1" applyAlignment="1">
      <alignment horizontal="right"/>
    </xf>
    <xf numFmtId="0" fontId="98" fillId="5" borderId="94" xfId="1" applyFont="1" applyFill="1" applyBorder="1" applyAlignment="1">
      <alignment horizontal="right"/>
    </xf>
    <xf numFmtId="0" fontId="98" fillId="5" borderId="83" xfId="1" applyFont="1" applyFill="1" applyBorder="1" applyAlignment="1">
      <alignment horizontal="right"/>
    </xf>
    <xf numFmtId="0" fontId="97" fillId="3" borderId="83" xfId="1" applyFont="1" applyFill="1" applyBorder="1" applyAlignment="1">
      <alignment horizontal="right" wrapText="1"/>
    </xf>
    <xf numFmtId="0" fontId="96" fillId="0" borderId="95" xfId="1" applyFont="1" applyBorder="1" applyAlignment="1">
      <alignment horizontal="right" indent="1"/>
    </xf>
    <xf numFmtId="0" fontId="104" fillId="27" borderId="96" xfId="1" applyFont="1" applyFill="1" applyBorder="1"/>
    <xf numFmtId="0" fontId="93" fillId="0" borderId="96" xfId="1" applyFont="1" applyBorder="1"/>
    <xf numFmtId="0" fontId="96" fillId="0" borderId="96" xfId="1" applyFont="1" applyBorder="1"/>
    <xf numFmtId="0" fontId="104" fillId="27" borderId="97" xfId="1" applyFont="1" applyFill="1" applyBorder="1"/>
    <xf numFmtId="0" fontId="93" fillId="0" borderId="98" xfId="1" applyFont="1" applyBorder="1"/>
    <xf numFmtId="0" fontId="93" fillId="0" borderId="99" xfId="1" applyFont="1" applyBorder="1"/>
    <xf numFmtId="164" fontId="93" fillId="0" borderId="0" xfId="1" applyNumberFormat="1" applyFont="1"/>
    <xf numFmtId="165" fontId="104" fillId="27" borderId="101" xfId="1" applyNumberFormat="1" applyFont="1" applyFill="1" applyBorder="1"/>
    <xf numFmtId="0" fontId="98" fillId="4" borderId="102" xfId="1" applyFont="1" applyFill="1" applyBorder="1" applyAlignment="1">
      <alignment horizontal="right"/>
    </xf>
    <xf numFmtId="0" fontId="97" fillId="4" borderId="82" xfId="1" applyFont="1" applyFill="1" applyBorder="1" applyAlignment="1">
      <alignment horizontal="right"/>
    </xf>
    <xf numFmtId="0" fontId="98" fillId="0" borderId="8" xfId="1" applyFont="1" applyFill="1" applyBorder="1" applyAlignment="1">
      <alignment horizontal="right"/>
    </xf>
    <xf numFmtId="0" fontId="96" fillId="0" borderId="103" xfId="1" applyFont="1" applyBorder="1" applyAlignment="1">
      <alignment horizontal="right" indent="1"/>
    </xf>
    <xf numFmtId="0" fontId="104" fillId="27" borderId="91" xfId="1" applyFont="1" applyFill="1" applyBorder="1"/>
    <xf numFmtId="0" fontId="93" fillId="0" borderId="91" xfId="1" applyFont="1" applyBorder="1"/>
    <xf numFmtId="0" fontId="96" fillId="0" borderId="91" xfId="1" applyFont="1" applyBorder="1"/>
    <xf numFmtId="164" fontId="93" fillId="0" borderId="94" xfId="1" applyNumberFormat="1" applyFont="1" applyBorder="1"/>
    <xf numFmtId="164" fontId="93" fillId="0" borderId="8" xfId="1" applyNumberFormat="1" applyFont="1" applyFill="1" applyBorder="1"/>
    <xf numFmtId="0" fontId="93" fillId="0" borderId="0" xfId="1" applyFont="1" applyBorder="1" applyAlignment="1"/>
    <xf numFmtId="0" fontId="93" fillId="0" borderId="0" xfId="1" applyFont="1" applyBorder="1"/>
    <xf numFmtId="0" fontId="97" fillId="0" borderId="0" xfId="1" applyFont="1"/>
    <xf numFmtId="0" fontId="93" fillId="0" borderId="0" xfId="1" applyFont="1" applyBorder="1" applyAlignment="1">
      <alignment horizontal="center"/>
    </xf>
    <xf numFmtId="0" fontId="93" fillId="0" borderId="101" xfId="1" applyFont="1" applyBorder="1" applyAlignment="1">
      <alignment horizontal="center"/>
    </xf>
    <xf numFmtId="0" fontId="107" fillId="0" borderId="0" xfId="1" applyFont="1" applyAlignment="1">
      <alignment horizontal="right"/>
    </xf>
    <xf numFmtId="0" fontId="93" fillId="0" borderId="0" xfId="1" applyFont="1" applyFill="1" applyBorder="1"/>
    <xf numFmtId="0" fontId="104" fillId="0" borderId="0" xfId="1" applyFont="1"/>
    <xf numFmtId="2" fontId="0" fillId="0" borderId="0" xfId="2" applyNumberFormat="1" applyFont="1" applyFill="1" applyBorder="1" applyAlignment="1">
      <alignment horizontal="right"/>
    </xf>
    <xf numFmtId="0" fontId="98" fillId="0" borderId="9" xfId="1" applyFont="1" applyBorder="1" applyAlignment="1">
      <alignment horizontal="right"/>
    </xf>
    <xf numFmtId="0" fontId="93" fillId="0" borderId="63" xfId="1" applyFont="1" applyBorder="1" applyAlignment="1"/>
    <xf numFmtId="0" fontId="98" fillId="0" borderId="109" xfId="1" applyFont="1" applyBorder="1" applyAlignment="1">
      <alignment horizontal="right" indent="1"/>
    </xf>
    <xf numFmtId="0" fontId="98" fillId="0" borderId="110" xfId="1" applyFont="1" applyBorder="1" applyAlignment="1">
      <alignment horizontal="right" indent="1"/>
    </xf>
    <xf numFmtId="0" fontId="98" fillId="0" borderId="63" xfId="1" applyFont="1" applyBorder="1" applyAlignment="1">
      <alignment horizontal="right" indent="2"/>
    </xf>
    <xf numFmtId="0" fontId="98" fillId="0" borderId="109" xfId="1" applyFont="1" applyBorder="1" applyAlignment="1">
      <alignment horizontal="right" indent="2"/>
    </xf>
    <xf numFmtId="0" fontId="98" fillId="0" borderId="109" xfId="1" applyFont="1" applyFill="1" applyBorder="1" applyAlignment="1">
      <alignment horizontal="right"/>
    </xf>
    <xf numFmtId="0" fontId="114" fillId="0" borderId="109" xfId="1" applyFont="1" applyBorder="1" applyAlignment="1">
      <alignment horizontal="right" indent="2"/>
    </xf>
    <xf numFmtId="1" fontId="104" fillId="27" borderId="0" xfId="1" applyNumberFormat="1" applyFont="1" applyFill="1" applyBorder="1"/>
    <xf numFmtId="2" fontId="93" fillId="0" borderId="62" xfId="1" applyNumberFormat="1" applyFont="1" applyBorder="1"/>
    <xf numFmtId="2" fontId="93" fillId="0" borderId="0" xfId="1" applyNumberFormat="1" applyFont="1" applyBorder="1"/>
    <xf numFmtId="0" fontId="104" fillId="27" borderId="0" xfId="1" applyFont="1" applyFill="1" applyBorder="1"/>
    <xf numFmtId="2" fontId="93" fillId="0" borderId="101" xfId="1" applyNumberFormat="1" applyFont="1" applyBorder="1"/>
    <xf numFmtId="2" fontId="93" fillId="0" borderId="0" xfId="1" applyNumberFormat="1" applyFont="1" applyBorder="1" applyAlignment="1">
      <alignment horizontal="right"/>
    </xf>
    <xf numFmtId="2" fontId="93" fillId="0" borderId="111" xfId="1" applyNumberFormat="1" applyFont="1" applyBorder="1"/>
    <xf numFmtId="2" fontId="93" fillId="0" borderId="0" xfId="1" applyNumberFormat="1" applyFont="1"/>
    <xf numFmtId="2" fontId="93" fillId="0" borderId="65" xfId="1" applyNumberFormat="1" applyFont="1" applyBorder="1"/>
    <xf numFmtId="2" fontId="93" fillId="0" borderId="111" xfId="1" applyNumberFormat="1" applyFont="1" applyFill="1" applyBorder="1"/>
    <xf numFmtId="0" fontId="7" fillId="0" borderId="0" xfId="1" applyBorder="1" applyProtection="1"/>
    <xf numFmtId="0" fontId="7" fillId="0" borderId="0" xfId="1" applyBorder="1" applyProtection="1">
      <protection locked="0"/>
    </xf>
    <xf numFmtId="0" fontId="97" fillId="2" borderId="0" xfId="1" applyFont="1" applyFill="1" applyBorder="1" applyAlignment="1" applyProtection="1">
      <alignment horizontal="right"/>
    </xf>
    <xf numFmtId="0" fontId="103" fillId="2" borderId="0" xfId="1" applyFont="1" applyFill="1" applyBorder="1" applyAlignment="1" applyProtection="1">
      <alignment horizontal="right"/>
    </xf>
    <xf numFmtId="0" fontId="97" fillId="3" borderId="0" xfId="1" applyFont="1" applyFill="1" applyBorder="1" applyAlignment="1" applyProtection="1">
      <alignment horizontal="right"/>
    </xf>
    <xf numFmtId="0" fontId="97" fillId="3" borderId="0" xfId="1" applyFont="1" applyFill="1" applyBorder="1" applyAlignment="1" applyProtection="1">
      <alignment horizontal="right" wrapText="1"/>
    </xf>
    <xf numFmtId="0" fontId="98" fillId="4" borderId="0" xfId="1" applyFont="1" applyFill="1" applyBorder="1" applyAlignment="1" applyProtection="1">
      <alignment horizontal="right"/>
    </xf>
    <xf numFmtId="0" fontId="97" fillId="4" borderId="0" xfId="1" applyFont="1" applyFill="1" applyBorder="1" applyAlignment="1" applyProtection="1">
      <alignment horizontal="right"/>
    </xf>
    <xf numFmtId="0" fontId="98" fillId="5" borderId="0" xfId="1" applyFont="1" applyFill="1" applyBorder="1" applyAlignment="1" applyProtection="1">
      <alignment horizontal="right"/>
    </xf>
    <xf numFmtId="0" fontId="98" fillId="6" borderId="0" xfId="1" applyFont="1" applyFill="1" applyBorder="1" applyAlignment="1" applyProtection="1">
      <alignment horizontal="right"/>
    </xf>
    <xf numFmtId="0" fontId="98" fillId="7" borderId="0" xfId="1" applyFont="1" applyFill="1" applyBorder="1" applyAlignment="1" applyProtection="1">
      <alignment horizontal="right"/>
    </xf>
    <xf numFmtId="0" fontId="96" fillId="0" borderId="0" xfId="1" applyFont="1" applyBorder="1" applyAlignment="1" applyProtection="1">
      <alignment horizontal="right"/>
    </xf>
    <xf numFmtId="0" fontId="96" fillId="0" borderId="0" xfId="1" applyFont="1" applyBorder="1" applyProtection="1"/>
    <xf numFmtId="0" fontId="106" fillId="0" borderId="0" xfId="1" applyFont="1" applyBorder="1" applyAlignment="1" applyProtection="1"/>
    <xf numFmtId="0" fontId="92" fillId="0" borderId="0" xfId="1" applyFont="1" applyBorder="1" applyProtection="1"/>
    <xf numFmtId="0" fontId="98" fillId="4" borderId="0" xfId="1" applyFont="1" applyFill="1" applyBorder="1" applyAlignment="1" applyProtection="1">
      <alignment horizontal="right" vertical="center"/>
    </xf>
    <xf numFmtId="0" fontId="98" fillId="6" borderId="0" xfId="1" applyFont="1" applyFill="1" applyBorder="1" applyAlignment="1" applyProtection="1">
      <alignment horizontal="right" vertical="center"/>
    </xf>
    <xf numFmtId="0" fontId="115" fillId="0" borderId="0" xfId="1" applyFont="1" applyBorder="1" applyProtection="1"/>
    <xf numFmtId="0" fontId="7" fillId="0" borderId="0" xfId="1" applyFill="1" applyBorder="1" applyProtection="1"/>
    <xf numFmtId="164" fontId="93" fillId="0" borderId="0" xfId="1" applyNumberFormat="1" applyFont="1" applyFill="1" applyBorder="1" applyAlignment="1" applyProtection="1">
      <alignment vertical="center"/>
    </xf>
    <xf numFmtId="0" fontId="100" fillId="0" borderId="0" xfId="1" applyFont="1" applyFill="1" applyBorder="1" applyAlignment="1" applyProtection="1"/>
    <xf numFmtId="0" fontId="92" fillId="0" borderId="0" xfId="1" applyFont="1" applyFill="1" applyBorder="1" applyProtection="1"/>
    <xf numFmtId="2" fontId="7" fillId="0" borderId="0" xfId="1" applyNumberFormat="1" applyFill="1" applyBorder="1" applyProtection="1"/>
    <xf numFmtId="0" fontId="11" fillId="0" borderId="0" xfId="1" applyFont="1" applyBorder="1" applyProtection="1">
      <protection locked="0"/>
    </xf>
    <xf numFmtId="164" fontId="93" fillId="0" borderId="0" xfId="1" applyNumberFormat="1" applyFont="1" applyBorder="1" applyAlignment="1" applyProtection="1">
      <alignment vertical="center"/>
      <protection locked="0"/>
    </xf>
    <xf numFmtId="0" fontId="92" fillId="0" borderId="0" xfId="1" applyFont="1" applyBorder="1" applyProtection="1">
      <protection locked="0"/>
    </xf>
    <xf numFmtId="2" fontId="7" fillId="0" borderId="0" xfId="1" applyNumberFormat="1" applyBorder="1" applyProtection="1">
      <protection locked="0"/>
    </xf>
    <xf numFmtId="0" fontId="7" fillId="0" borderId="0" xfId="1" applyFill="1" applyBorder="1" applyProtection="1">
      <protection locked="0"/>
    </xf>
    <xf numFmtId="164" fontId="7" fillId="0" borderId="0" xfId="1" applyNumberFormat="1" applyBorder="1" applyProtection="1">
      <protection locked="0"/>
    </xf>
    <xf numFmtId="0" fontId="98" fillId="0" borderId="9" xfId="1" applyFont="1" applyBorder="1" applyAlignment="1"/>
    <xf numFmtId="164" fontId="120" fillId="0" borderId="84" xfId="1" applyNumberFormat="1" applyFont="1" applyBorder="1"/>
    <xf numFmtId="164" fontId="120" fillId="0" borderId="94" xfId="1" applyNumberFormat="1" applyFont="1" applyBorder="1"/>
    <xf numFmtId="164" fontId="120" fillId="0" borderId="86" xfId="1" applyNumberFormat="1" applyFont="1" applyBorder="1"/>
    <xf numFmtId="164" fontId="120" fillId="0" borderId="22" xfId="1" applyNumberFormat="1" applyFont="1" applyBorder="1"/>
    <xf numFmtId="0" fontId="128" fillId="0" borderId="0" xfId="3" applyFont="1" applyAlignment="1">
      <alignment horizontal="center"/>
    </xf>
    <xf numFmtId="0" fontId="129" fillId="0" borderId="0" xfId="3" applyFont="1"/>
    <xf numFmtId="0" fontId="39" fillId="0" borderId="0" xfId="0" applyFont="1" applyAlignment="1">
      <alignment horizontal="right"/>
    </xf>
    <xf numFmtId="0" fontId="55" fillId="0" borderId="0" xfId="0" applyFont="1" applyAlignment="1">
      <alignment horizontal="right"/>
    </xf>
    <xf numFmtId="0" fontId="40" fillId="0" borderId="0" xfId="0" applyFont="1" applyAlignment="1">
      <alignment vertical="top"/>
    </xf>
    <xf numFmtId="0" fontId="40" fillId="0" borderId="0" xfId="0" applyFont="1" applyFill="1" applyAlignment="1">
      <alignment horizontal="center" vertical="top"/>
    </xf>
    <xf numFmtId="0" fontId="40" fillId="0" borderId="0" xfId="0" applyFont="1" applyFill="1" applyAlignment="1">
      <alignment horizontal="left" vertical="top"/>
    </xf>
    <xf numFmtId="0" fontId="40" fillId="0" borderId="0" xfId="0" applyFont="1" applyAlignment="1">
      <alignment horizontal="right" vertical="top"/>
    </xf>
    <xf numFmtId="0" fontId="40" fillId="0" borderId="0" xfId="0" applyFont="1" applyAlignment="1">
      <alignment horizontal="left" vertical="top" wrapText="1"/>
    </xf>
    <xf numFmtId="0" fontId="40" fillId="0" borderId="0" xfId="0" applyFont="1" applyAlignment="1">
      <alignment vertical="top" wrapText="1"/>
    </xf>
    <xf numFmtId="0" fontId="39" fillId="0" borderId="0" xfId="0" applyFont="1" applyAlignment="1">
      <alignment vertical="top"/>
    </xf>
    <xf numFmtId="0" fontId="130" fillId="0" borderId="0" xfId="0" applyFont="1" applyAlignment="1">
      <alignment horizontal="right"/>
    </xf>
    <xf numFmtId="0" fontId="54" fillId="0" borderId="0" xfId="0" applyFont="1"/>
    <xf numFmtId="0" fontId="93" fillId="0" borderId="0" xfId="1" applyFont="1" applyAlignment="1">
      <alignment vertical="center"/>
    </xf>
    <xf numFmtId="0" fontId="100" fillId="0" borderId="0" xfId="1" applyFont="1" applyAlignment="1">
      <alignment vertical="center" wrapText="1"/>
    </xf>
    <xf numFmtId="0" fontId="100" fillId="0" borderId="0" xfId="1" applyFont="1" applyAlignment="1">
      <alignment vertical="center"/>
    </xf>
    <xf numFmtId="0" fontId="98" fillId="0" borderId="0" xfId="1" applyFont="1" applyAlignment="1">
      <alignment vertical="center"/>
    </xf>
    <xf numFmtId="0" fontId="99" fillId="0" borderId="0" xfId="1" applyFont="1" applyAlignment="1">
      <alignment vertical="center"/>
    </xf>
    <xf numFmtId="2" fontId="113" fillId="0" borderId="0" xfId="1" applyNumberFormat="1" applyFont="1" applyBorder="1" applyAlignment="1">
      <alignment horizontal="right"/>
    </xf>
    <xf numFmtId="0" fontId="104" fillId="27" borderId="62" xfId="1" applyFont="1" applyFill="1" applyBorder="1" applyAlignment="1">
      <alignment horizontal="center"/>
    </xf>
    <xf numFmtId="0" fontId="136" fillId="0" borderId="0" xfId="1" applyFont="1"/>
    <xf numFmtId="0" fontId="137" fillId="0" borderId="0" xfId="1" applyFont="1" applyBorder="1" applyAlignment="1">
      <alignment horizontal="right"/>
    </xf>
    <xf numFmtId="0" fontId="113" fillId="0" borderId="0" xfId="1" applyFont="1" applyBorder="1" applyAlignment="1"/>
    <xf numFmtId="0" fontId="6" fillId="0" borderId="0" xfId="1" applyFont="1"/>
    <xf numFmtId="0" fontId="113" fillId="0" borderId="9" xfId="1" applyFont="1" applyBorder="1" applyAlignment="1">
      <alignment horizontal="right"/>
    </xf>
    <xf numFmtId="0" fontId="113" fillId="0" borderId="63" xfId="1" applyFont="1" applyBorder="1" applyAlignment="1">
      <alignment horizontal="right"/>
    </xf>
    <xf numFmtId="0" fontId="137" fillId="0" borderId="9" xfId="1" applyFont="1" applyBorder="1" applyAlignment="1">
      <alignment horizontal="right"/>
    </xf>
    <xf numFmtId="0" fontId="113" fillId="0" borderId="9" xfId="1" applyFont="1" applyBorder="1" applyAlignment="1"/>
    <xf numFmtId="2" fontId="113" fillId="0" borderId="9" xfId="1" applyNumberFormat="1" applyFont="1" applyBorder="1" applyAlignment="1">
      <alignment horizontal="right"/>
    </xf>
    <xf numFmtId="2" fontId="104" fillId="27" borderId="16" xfId="1" applyNumberFormat="1" applyFont="1" applyFill="1" applyBorder="1"/>
    <xf numFmtId="0" fontId="136" fillId="0" borderId="0" xfId="1" applyFont="1" applyBorder="1"/>
    <xf numFmtId="0" fontId="104" fillId="0" borderId="0" xfId="1" applyFont="1" applyBorder="1"/>
    <xf numFmtId="0" fontId="104" fillId="27" borderId="7" xfId="1" applyFont="1" applyFill="1" applyBorder="1" applyAlignment="1">
      <alignment horizontal="center"/>
    </xf>
    <xf numFmtId="0" fontId="113" fillId="0" borderId="13" xfId="1" applyFont="1" applyBorder="1" applyAlignment="1">
      <alignment horizontal="right"/>
    </xf>
    <xf numFmtId="0" fontId="113" fillId="0" borderId="16" xfId="1" applyFont="1" applyBorder="1" applyAlignment="1">
      <alignment horizontal="right"/>
    </xf>
    <xf numFmtId="0" fontId="104" fillId="27" borderId="8" xfId="1" applyFont="1" applyFill="1" applyBorder="1" applyAlignment="1">
      <alignment horizontal="right"/>
    </xf>
    <xf numFmtId="0" fontId="104" fillId="27" borderId="0" xfId="1" applyFont="1" applyFill="1" applyBorder="1" applyAlignment="1">
      <alignment horizontal="right"/>
    </xf>
    <xf numFmtId="0" fontId="119" fillId="0" borderId="0" xfId="3"/>
    <xf numFmtId="0" fontId="151" fillId="0" borderId="0" xfId="3" applyFont="1" applyAlignment="1">
      <alignment vertical="center"/>
    </xf>
    <xf numFmtId="0" fontId="99" fillId="0" borderId="9" xfId="1" applyFont="1" applyBorder="1" applyAlignment="1">
      <alignment vertical="top" wrapText="1"/>
    </xf>
    <xf numFmtId="0" fontId="153" fillId="0" borderId="9" xfId="3" applyFont="1" applyBorder="1" applyAlignment="1">
      <alignment horizontal="right" vertical="top" wrapText="1"/>
    </xf>
    <xf numFmtId="0" fontId="96" fillId="0" borderId="0" xfId="1" applyFont="1" applyAlignment="1"/>
    <xf numFmtId="0" fontId="125" fillId="0" borderId="0" xfId="1" applyFont="1" applyAlignment="1">
      <alignment vertical="center"/>
    </xf>
    <xf numFmtId="0" fontId="9" fillId="24" borderId="0" xfId="0" applyFont="1" applyFill="1" applyBorder="1" applyAlignment="1">
      <alignment horizontal="center" vertical="top"/>
    </xf>
    <xf numFmtId="0" fontId="20" fillId="5" borderId="6" xfId="0" applyFont="1" applyFill="1" applyBorder="1" applyAlignment="1">
      <alignment horizontal="right" vertical="top"/>
    </xf>
    <xf numFmtId="2" fontId="120" fillId="0" borderId="113" xfId="1" applyNumberFormat="1" applyFont="1" applyFill="1" applyBorder="1"/>
    <xf numFmtId="2" fontId="134" fillId="0" borderId="91" xfId="1" applyNumberFormat="1" applyFont="1" applyBorder="1"/>
    <xf numFmtId="2" fontId="120" fillId="0" borderId="123" xfId="1" applyNumberFormat="1" applyFont="1" applyFill="1" applyBorder="1"/>
    <xf numFmtId="0" fontId="109" fillId="4" borderId="124" xfId="1" applyFont="1" applyFill="1" applyBorder="1" applyAlignment="1">
      <alignment horizontal="right"/>
    </xf>
    <xf numFmtId="2" fontId="121" fillId="0" borderId="108" xfId="2" applyNumberFormat="1" applyFont="1" applyFill="1" applyBorder="1" applyAlignment="1">
      <alignment horizontal="right"/>
    </xf>
    <xf numFmtId="0" fontId="109" fillId="4" borderId="96" xfId="1" applyFont="1" applyFill="1" applyBorder="1" applyAlignment="1">
      <alignment horizontal="right" wrapText="1"/>
    </xf>
    <xf numFmtId="2" fontId="120" fillId="0" borderId="91" xfId="1" applyNumberFormat="1" applyFont="1" applyFill="1" applyBorder="1"/>
    <xf numFmtId="2" fontId="120" fillId="0" borderId="125" xfId="1" applyNumberFormat="1" applyFont="1" applyFill="1" applyBorder="1" applyAlignment="1">
      <alignment horizontal="right"/>
    </xf>
    <xf numFmtId="0" fontId="109" fillId="4" borderId="95" xfId="1" applyFont="1" applyFill="1" applyBorder="1" applyAlignment="1">
      <alignment horizontal="right"/>
    </xf>
    <xf numFmtId="2" fontId="120" fillId="0" borderId="103" xfId="1" applyNumberFormat="1" applyFont="1" applyFill="1" applyBorder="1"/>
    <xf numFmtId="0" fontId="93" fillId="0" borderId="126" xfId="1" applyFont="1" applyBorder="1"/>
    <xf numFmtId="0" fontId="93" fillId="0" borderId="82" xfId="1" applyFont="1" applyBorder="1" applyAlignment="1">
      <alignment textRotation="90"/>
    </xf>
    <xf numFmtId="0" fontId="155" fillId="29" borderId="84" xfId="1" applyFont="1" applyFill="1" applyBorder="1"/>
    <xf numFmtId="0" fontId="104" fillId="29" borderId="9" xfId="1" applyFont="1" applyFill="1" applyBorder="1" applyAlignment="1">
      <alignment horizontal="right"/>
    </xf>
    <xf numFmtId="0" fontId="93" fillId="29" borderId="9" xfId="1" applyFont="1" applyFill="1" applyBorder="1"/>
    <xf numFmtId="0" fontId="157" fillId="29" borderId="13" xfId="1" applyFont="1" applyFill="1" applyBorder="1" applyAlignment="1">
      <alignment horizontal="right" vertical="center" wrapText="1"/>
    </xf>
    <xf numFmtId="0" fontId="13" fillId="25" borderId="53" xfId="0" applyFont="1" applyFill="1" applyBorder="1" applyAlignment="1">
      <alignment vertical="top" wrapText="1"/>
    </xf>
    <xf numFmtId="0" fontId="13" fillId="25" borderId="53" xfId="0" applyFont="1" applyFill="1" applyBorder="1" applyAlignment="1">
      <alignment vertical="top" textRotation="90" wrapText="1"/>
    </xf>
    <xf numFmtId="0" fontId="118" fillId="25" borderId="0" xfId="0" applyFont="1" applyFill="1" applyBorder="1" applyAlignment="1">
      <alignment horizontal="left" vertical="top"/>
    </xf>
    <xf numFmtId="0" fontId="20" fillId="25" borderId="0" xfId="0" applyFont="1" applyFill="1" applyBorder="1" applyAlignment="1">
      <alignment horizontal="center" vertical="top"/>
    </xf>
    <xf numFmtId="0" fontId="13" fillId="25" borderId="0" xfId="0" applyFont="1" applyFill="1" applyBorder="1" applyAlignment="1">
      <alignment horizontal="right" wrapText="1"/>
    </xf>
    <xf numFmtId="0" fontId="86" fillId="25" borderId="53" xfId="0" applyFont="1" applyFill="1" applyBorder="1" applyAlignment="1">
      <alignment horizontal="left" wrapText="1"/>
    </xf>
    <xf numFmtId="0" fontId="162" fillId="0" borderId="0" xfId="1" applyFont="1" applyAlignment="1">
      <alignment vertical="center"/>
    </xf>
    <xf numFmtId="2" fontId="120" fillId="0" borderId="91" xfId="1" applyNumberFormat="1" applyFont="1" applyFill="1" applyBorder="1" applyAlignment="1"/>
    <xf numFmtId="2" fontId="120" fillId="0" borderId="113" xfId="1" applyNumberFormat="1" applyFont="1" applyFill="1" applyBorder="1" applyAlignment="1"/>
    <xf numFmtId="164" fontId="124" fillId="0" borderId="0" xfId="1" applyNumberFormat="1" applyFont="1" applyBorder="1" applyAlignment="1"/>
    <xf numFmtId="0" fontId="127" fillId="0" borderId="0" xfId="1" applyFont="1" applyBorder="1" applyAlignment="1">
      <alignment vertical="center" wrapText="1"/>
    </xf>
    <xf numFmtId="2" fontId="121" fillId="0" borderId="113" xfId="2" applyNumberFormat="1" applyFont="1" applyFill="1" applyBorder="1" applyAlignment="1">
      <alignment horizontal="right"/>
    </xf>
    <xf numFmtId="0" fontId="98" fillId="4" borderId="97" xfId="1" applyFont="1" applyFill="1" applyBorder="1" applyAlignment="1">
      <alignment horizontal="right"/>
    </xf>
    <xf numFmtId="2" fontId="121" fillId="0" borderId="125" xfId="2" applyNumberFormat="1" applyFont="1" applyFill="1" applyBorder="1" applyAlignment="1">
      <alignment horizontal="right"/>
    </xf>
    <xf numFmtId="0" fontId="98" fillId="4" borderId="101" xfId="1" applyFont="1" applyFill="1" applyBorder="1" applyAlignment="1">
      <alignment horizontal="right"/>
    </xf>
    <xf numFmtId="2" fontId="121" fillId="0" borderId="104" xfId="2" applyNumberFormat="1" applyFont="1" applyFill="1" applyBorder="1" applyAlignment="1">
      <alignment horizontal="right"/>
    </xf>
    <xf numFmtId="2" fontId="120" fillId="0" borderId="127" xfId="1" applyNumberFormat="1" applyFont="1" applyFill="1" applyBorder="1" applyAlignment="1"/>
    <xf numFmtId="0" fontId="109" fillId="4" borderId="128" xfId="1" applyFont="1" applyFill="1" applyBorder="1" applyAlignment="1">
      <alignment horizontal="right"/>
    </xf>
    <xf numFmtId="0" fontId="111" fillId="4" borderId="8" xfId="1" applyFont="1" applyFill="1" applyBorder="1" applyAlignment="1">
      <alignment horizontal="right"/>
    </xf>
    <xf numFmtId="2" fontId="121" fillId="0" borderId="107" xfId="2" applyNumberFormat="1" applyFont="1" applyBorder="1" applyAlignment="1">
      <alignment horizontal="right"/>
    </xf>
    <xf numFmtId="0" fontId="98" fillId="6" borderId="112" xfId="1" applyFont="1" applyFill="1" applyBorder="1" applyAlignment="1">
      <alignment horizontal="right"/>
    </xf>
    <xf numFmtId="2" fontId="121" fillId="0" borderId="122" xfId="2" applyNumberFormat="1" applyFont="1" applyFill="1" applyBorder="1" applyAlignment="1">
      <alignment horizontal="right"/>
    </xf>
    <xf numFmtId="0" fontId="98" fillId="6" borderId="122" xfId="1" applyFont="1" applyFill="1" applyBorder="1" applyAlignment="1">
      <alignment horizontal="right"/>
    </xf>
    <xf numFmtId="164" fontId="124" fillId="0" borderId="113" xfId="1" applyNumberFormat="1" applyFont="1" applyBorder="1" applyAlignment="1"/>
    <xf numFmtId="0" fontId="122" fillId="4" borderId="122" xfId="1" applyFont="1" applyFill="1" applyBorder="1" applyAlignment="1">
      <alignment vertical="center" wrapText="1"/>
    </xf>
    <xf numFmtId="0" fontId="109" fillId="4" borderId="131" xfId="1" applyFont="1" applyFill="1" applyBorder="1" applyAlignment="1">
      <alignment horizontal="right"/>
    </xf>
    <xf numFmtId="2" fontId="120" fillId="0" borderId="132" xfId="1" applyNumberFormat="1" applyFont="1" applyFill="1" applyBorder="1"/>
    <xf numFmtId="2" fontId="120" fillId="0" borderId="122" xfId="1" applyNumberFormat="1" applyFont="1" applyFill="1" applyBorder="1"/>
    <xf numFmtId="2" fontId="120" fillId="0" borderId="100" xfId="1" applyNumberFormat="1" applyFont="1" applyFill="1" applyBorder="1"/>
    <xf numFmtId="2" fontId="120" fillId="0" borderId="104" xfId="1" applyNumberFormat="1" applyFont="1" applyFill="1" applyBorder="1"/>
    <xf numFmtId="0" fontId="98" fillId="6" borderId="83" xfId="1" applyFont="1" applyFill="1" applyBorder="1" applyAlignment="1">
      <alignment horizontal="right"/>
    </xf>
    <xf numFmtId="0" fontId="97" fillId="3" borderId="133" xfId="1" applyFont="1" applyFill="1" applyBorder="1" applyAlignment="1">
      <alignment horizontal="right" wrapText="1"/>
    </xf>
    <xf numFmtId="164" fontId="93" fillId="0" borderId="134" xfId="1" applyNumberFormat="1" applyFont="1" applyBorder="1"/>
    <xf numFmtId="0" fontId="98" fillId="0" borderId="9" xfId="1" applyFont="1" applyBorder="1" applyAlignment="1">
      <alignment horizontal="right" wrapText="1"/>
    </xf>
    <xf numFmtId="0" fontId="164" fillId="0" borderId="0" xfId="1" applyFont="1" applyBorder="1" applyAlignment="1"/>
    <xf numFmtId="0" fontId="5" fillId="0" borderId="0" xfId="1" applyFont="1" applyBorder="1" applyProtection="1">
      <protection locked="0"/>
    </xf>
    <xf numFmtId="2" fontId="98" fillId="4" borderId="0" xfId="1" applyNumberFormat="1" applyFont="1" applyFill="1" applyBorder="1" applyAlignment="1" applyProtection="1">
      <alignment vertical="center"/>
    </xf>
    <xf numFmtId="0" fontId="93" fillId="0" borderId="0" xfId="1" applyFont="1" applyBorder="1" applyAlignment="1" applyProtection="1">
      <alignment horizontal="center"/>
    </xf>
    <xf numFmtId="0" fontId="165" fillId="0" borderId="0" xfId="1" applyFont="1" applyBorder="1" applyAlignment="1" applyProtection="1">
      <alignment horizontal="center"/>
    </xf>
    <xf numFmtId="0" fontId="5" fillId="6" borderId="49" xfId="0" applyFont="1" applyFill="1" applyBorder="1" applyAlignment="1">
      <alignment horizontal="left" vertical="top"/>
    </xf>
    <xf numFmtId="0" fontId="166" fillId="21" borderId="49" xfId="0" applyFont="1" applyFill="1" applyBorder="1" applyAlignment="1">
      <alignment horizontal="left" vertical="top"/>
    </xf>
    <xf numFmtId="0" fontId="5" fillId="6" borderId="12" xfId="0" applyFont="1" applyFill="1" applyBorder="1" applyAlignment="1">
      <alignment horizontal="left" vertical="top"/>
    </xf>
    <xf numFmtId="0" fontId="42" fillId="0" borderId="0" xfId="0" applyFont="1" applyAlignment="1">
      <alignment horizontal="right"/>
    </xf>
    <xf numFmtId="0" fontId="9" fillId="25" borderId="0" xfId="0" applyFont="1" applyFill="1" applyBorder="1" applyAlignment="1">
      <alignment horizontal="left" vertical="top"/>
    </xf>
    <xf numFmtId="0" fontId="9" fillId="25" borderId="0" xfId="0" applyFont="1" applyFill="1" applyBorder="1" applyAlignment="1">
      <alignment vertical="top"/>
    </xf>
    <xf numFmtId="0" fontId="11" fillId="24" borderId="49" xfId="0" applyFont="1" applyFill="1" applyBorder="1" applyAlignment="1">
      <alignment horizontal="left" vertical="top"/>
    </xf>
    <xf numFmtId="0" fontId="9" fillId="24" borderId="7" xfId="0" applyFont="1" applyFill="1" applyBorder="1" applyAlignment="1">
      <alignment vertical="top"/>
    </xf>
    <xf numFmtId="0" fontId="167" fillId="21" borderId="49" xfId="0" applyFont="1" applyFill="1" applyBorder="1" applyAlignment="1">
      <alignment horizontal="left" vertical="top"/>
    </xf>
    <xf numFmtId="0" fontId="174" fillId="4" borderId="62" xfId="0" applyFont="1" applyFill="1" applyBorder="1" applyAlignment="1">
      <alignment horizontal="right" vertical="top"/>
    </xf>
    <xf numFmtId="0" fontId="119" fillId="0" borderId="0" xfId="3" applyAlignment="1">
      <alignment horizontal="right"/>
    </xf>
    <xf numFmtId="0" fontId="7" fillId="0" borderId="23" xfId="1" applyBorder="1" applyProtection="1">
      <protection locked="0"/>
    </xf>
    <xf numFmtId="166" fontId="7" fillId="0" borderId="0" xfId="1" applyNumberFormat="1" applyBorder="1" applyProtection="1">
      <protection locked="0"/>
    </xf>
    <xf numFmtId="167" fontId="7" fillId="0" borderId="0" xfId="1" applyNumberFormat="1" applyBorder="1" applyProtection="1">
      <protection locked="0"/>
    </xf>
    <xf numFmtId="168" fontId="7" fillId="0" borderId="0" xfId="1" applyNumberFormat="1" applyBorder="1" applyProtection="1">
      <protection locked="0"/>
    </xf>
    <xf numFmtId="169" fontId="7" fillId="0" borderId="0" xfId="1" applyNumberFormat="1" applyBorder="1" applyProtection="1">
      <protection locked="0"/>
    </xf>
    <xf numFmtId="0" fontId="175" fillId="0" borderId="0" xfId="1" applyFont="1" applyBorder="1" applyAlignment="1" applyProtection="1">
      <alignment horizontal="right"/>
    </xf>
    <xf numFmtId="0" fontId="93" fillId="0" borderId="0" xfId="1" applyFont="1" applyBorder="1" applyAlignment="1" applyProtection="1">
      <alignment horizontal="right"/>
    </xf>
    <xf numFmtId="0" fontId="98" fillId="0" borderId="0" xfId="1" applyFont="1" applyBorder="1" applyAlignment="1" applyProtection="1">
      <alignment horizontal="right"/>
    </xf>
    <xf numFmtId="2" fontId="7" fillId="30" borderId="0" xfId="1" applyNumberFormat="1" applyFill="1" applyBorder="1" applyProtection="1">
      <protection locked="0"/>
    </xf>
    <xf numFmtId="171" fontId="7" fillId="0" borderId="0" xfId="1" applyNumberFormat="1" applyBorder="1" applyProtection="1">
      <protection locked="0"/>
    </xf>
    <xf numFmtId="172" fontId="7" fillId="0" borderId="0" xfId="1" applyNumberFormat="1" applyBorder="1" applyProtection="1">
      <protection locked="0"/>
    </xf>
    <xf numFmtId="173" fontId="7" fillId="0" borderId="0" xfId="1" applyNumberFormat="1" applyBorder="1" applyProtection="1">
      <protection locked="0"/>
    </xf>
    <xf numFmtId="2" fontId="7" fillId="0" borderId="0" xfId="1" applyNumberFormat="1" applyFill="1" applyBorder="1" applyProtection="1">
      <protection locked="0"/>
    </xf>
    <xf numFmtId="2" fontId="177" fillId="0" borderId="0" xfId="1" applyNumberFormat="1" applyFont="1" applyFill="1" applyBorder="1" applyProtection="1"/>
    <xf numFmtId="2" fontId="177" fillId="0" borderId="0" xfId="1" applyNumberFormat="1" applyFont="1" applyBorder="1" applyProtection="1">
      <protection locked="0"/>
    </xf>
    <xf numFmtId="2" fontId="20" fillId="0" borderId="0" xfId="1" applyNumberFormat="1" applyFont="1" applyBorder="1" applyProtection="1">
      <protection locked="0"/>
    </xf>
    <xf numFmtId="166" fontId="20" fillId="0" borderId="0" xfId="1" applyNumberFormat="1" applyFont="1" applyBorder="1" applyProtection="1">
      <protection locked="0"/>
    </xf>
    <xf numFmtId="167" fontId="20" fillId="0" borderId="0" xfId="1" applyNumberFormat="1" applyFont="1" applyBorder="1" applyProtection="1">
      <protection locked="0"/>
    </xf>
    <xf numFmtId="164" fontId="7" fillId="30" borderId="0" xfId="1" applyNumberFormat="1" applyFill="1" applyBorder="1" applyProtection="1">
      <protection locked="0"/>
    </xf>
    <xf numFmtId="166" fontId="7" fillId="30" borderId="0" xfId="1" applyNumberFormat="1" applyFill="1" applyBorder="1" applyProtection="1">
      <protection locked="0"/>
    </xf>
    <xf numFmtId="0" fontId="93" fillId="0" borderId="105" xfId="1" applyFont="1" applyBorder="1" applyAlignment="1">
      <alignment wrapText="1"/>
    </xf>
    <xf numFmtId="164" fontId="7" fillId="0" borderId="0" xfId="1" applyNumberFormat="1" applyFill="1" applyBorder="1" applyProtection="1">
      <protection locked="0"/>
    </xf>
    <xf numFmtId="167" fontId="7" fillId="0" borderId="0" xfId="1" applyNumberFormat="1" applyFill="1" applyBorder="1" applyProtection="1">
      <protection locked="0"/>
    </xf>
    <xf numFmtId="169" fontId="7" fillId="0" borderId="0" xfId="1" applyNumberFormat="1" applyFill="1" applyBorder="1" applyProtection="1">
      <protection locked="0"/>
    </xf>
    <xf numFmtId="171" fontId="7" fillId="0" borderId="0" xfId="1" applyNumberFormat="1" applyFill="1" applyBorder="1" applyProtection="1">
      <protection locked="0"/>
    </xf>
    <xf numFmtId="2" fontId="11" fillId="0" borderId="0" xfId="1" applyNumberFormat="1" applyFont="1" applyBorder="1" applyProtection="1">
      <protection locked="0"/>
    </xf>
    <xf numFmtId="2" fontId="11" fillId="0" borderId="0" xfId="1" applyNumberFormat="1" applyFont="1" applyFill="1" applyBorder="1" applyProtection="1">
      <protection locked="0"/>
    </xf>
    <xf numFmtId="0" fontId="104" fillId="27" borderId="104" xfId="1" applyNumberFormat="1" applyFont="1" applyFill="1" applyBorder="1"/>
    <xf numFmtId="0" fontId="7" fillId="0" borderId="135" xfId="1" applyBorder="1" applyProtection="1">
      <protection locked="0"/>
    </xf>
    <xf numFmtId="0" fontId="11" fillId="0" borderId="135" xfId="1" applyFont="1" applyBorder="1" applyAlignment="1" applyProtection="1">
      <alignment wrapText="1"/>
      <protection locked="0"/>
    </xf>
    <xf numFmtId="0" fontId="92" fillId="0" borderId="135" xfId="1" applyFont="1" applyBorder="1" applyProtection="1">
      <protection locked="0"/>
    </xf>
    <xf numFmtId="2" fontId="11" fillId="0" borderId="135" xfId="1" applyNumberFormat="1" applyFont="1" applyBorder="1" applyProtection="1">
      <protection locked="0"/>
    </xf>
    <xf numFmtId="2" fontId="11" fillId="30" borderId="135" xfId="1" applyNumberFormat="1" applyFont="1" applyFill="1" applyBorder="1" applyProtection="1">
      <protection locked="0"/>
    </xf>
    <xf numFmtId="2" fontId="20" fillId="30" borderId="135" xfId="1" applyNumberFormat="1" applyFont="1" applyFill="1" applyBorder="1" applyProtection="1">
      <protection locked="0"/>
    </xf>
    <xf numFmtId="2" fontId="11" fillId="0" borderId="135" xfId="1" applyNumberFormat="1" applyFont="1" applyFill="1" applyBorder="1" applyProtection="1">
      <protection locked="0"/>
    </xf>
    <xf numFmtId="0" fontId="5" fillId="0" borderId="135" xfId="1" applyFont="1" applyBorder="1" applyProtection="1">
      <protection locked="0"/>
    </xf>
    <xf numFmtId="2" fontId="5" fillId="0" borderId="135" xfId="1" applyNumberFormat="1" applyFont="1" applyFill="1" applyBorder="1" applyProtection="1">
      <protection locked="0"/>
    </xf>
    <xf numFmtId="2" fontId="5" fillId="0" borderId="135" xfId="1" applyNumberFormat="1" applyFont="1" applyBorder="1" applyProtection="1">
      <protection locked="0"/>
    </xf>
    <xf numFmtId="2" fontId="5" fillId="30" borderId="135" xfId="1" applyNumberFormat="1" applyFont="1" applyFill="1" applyBorder="1" applyProtection="1">
      <protection locked="0"/>
    </xf>
    <xf numFmtId="2" fontId="20" fillId="0" borderId="135" xfId="1" applyNumberFormat="1" applyFont="1" applyBorder="1" applyProtection="1">
      <protection locked="0"/>
    </xf>
    <xf numFmtId="2" fontId="7" fillId="31" borderId="135" xfId="1" applyNumberFormat="1" applyFill="1" applyBorder="1" applyProtection="1">
      <protection locked="0"/>
    </xf>
    <xf numFmtId="2" fontId="5" fillId="31" borderId="135" xfId="1" applyNumberFormat="1" applyFont="1" applyFill="1" applyBorder="1" applyProtection="1">
      <protection locked="0"/>
    </xf>
    <xf numFmtId="0" fontId="5" fillId="0" borderId="135" xfId="1" applyFont="1" applyFill="1" applyBorder="1" applyProtection="1">
      <protection locked="0"/>
    </xf>
    <xf numFmtId="0" fontId="20" fillId="0" borderId="135" xfId="1" applyFont="1" applyBorder="1" applyProtection="1">
      <protection locked="0"/>
    </xf>
    <xf numFmtId="0" fontId="5" fillId="30" borderId="135" xfId="1" applyFont="1" applyFill="1" applyBorder="1" applyProtection="1">
      <protection locked="0"/>
    </xf>
    <xf numFmtId="0" fontId="20" fillId="0" borderId="135" xfId="1" quotePrefix="1" applyFont="1" applyBorder="1" applyProtection="1">
      <protection locked="0"/>
    </xf>
    <xf numFmtId="0" fontId="4" fillId="0" borderId="135" xfId="1" quotePrefix="1" applyFont="1" applyBorder="1" applyProtection="1">
      <protection locked="0"/>
    </xf>
    <xf numFmtId="0" fontId="5" fillId="3" borderId="135" xfId="1" applyFont="1" applyFill="1" applyBorder="1" applyProtection="1">
      <protection locked="0"/>
    </xf>
    <xf numFmtId="0" fontId="5" fillId="31" borderId="135" xfId="1" applyFont="1" applyFill="1" applyBorder="1" applyProtection="1">
      <protection locked="0"/>
    </xf>
    <xf numFmtId="2" fontId="7" fillId="0" borderId="135" xfId="1" applyNumberFormat="1" applyBorder="1" applyProtection="1">
      <protection locked="0"/>
    </xf>
    <xf numFmtId="2" fontId="177" fillId="0" borderId="135" xfId="1" applyNumberFormat="1" applyFont="1" applyBorder="1" applyProtection="1">
      <protection locked="0"/>
    </xf>
    <xf numFmtId="165" fontId="7" fillId="0" borderId="0" xfId="1" applyNumberFormat="1" applyBorder="1" applyProtection="1">
      <protection locked="0"/>
    </xf>
    <xf numFmtId="0" fontId="3" fillId="0" borderId="0" xfId="1" applyFont="1" applyBorder="1" applyProtection="1">
      <protection locked="0"/>
    </xf>
    <xf numFmtId="164" fontId="7" fillId="0" borderId="0" xfId="1" applyNumberFormat="1" applyFill="1" applyBorder="1" applyProtection="1"/>
    <xf numFmtId="164" fontId="7" fillId="0" borderId="135" xfId="1" applyNumberFormat="1" applyBorder="1" applyProtection="1">
      <protection locked="0"/>
    </xf>
    <xf numFmtId="0" fontId="7" fillId="0" borderId="135" xfId="1" applyBorder="1" applyAlignment="1" applyProtection="1">
      <alignment wrapText="1"/>
      <protection locked="0"/>
    </xf>
    <xf numFmtId="2" fontId="7" fillId="32" borderId="0" xfId="1" applyNumberFormat="1" applyFill="1" applyBorder="1" applyProtection="1">
      <protection locked="0"/>
    </xf>
    <xf numFmtId="2" fontId="7" fillId="32" borderId="0" xfId="1" applyNumberFormat="1" applyFill="1" applyBorder="1" applyProtection="1"/>
    <xf numFmtId="2" fontId="11" fillId="32" borderId="0" xfId="1" applyNumberFormat="1" applyFont="1" applyFill="1" applyBorder="1" applyProtection="1">
      <protection locked="0"/>
    </xf>
    <xf numFmtId="170" fontId="7" fillId="32" borderId="0" xfId="1" applyNumberFormat="1" applyFill="1" applyBorder="1" applyProtection="1">
      <protection locked="0"/>
    </xf>
    <xf numFmtId="0" fontId="7" fillId="32" borderId="0" xfId="1" applyFill="1" applyBorder="1" applyProtection="1">
      <protection locked="0"/>
    </xf>
    <xf numFmtId="164" fontId="7" fillId="32" borderId="0" xfId="1" applyNumberFormat="1" applyFill="1" applyBorder="1" applyProtection="1">
      <protection locked="0"/>
    </xf>
    <xf numFmtId="166" fontId="7" fillId="32" borderId="0" xfId="1" applyNumberFormat="1" applyFill="1" applyBorder="1" applyProtection="1">
      <protection locked="0"/>
    </xf>
    <xf numFmtId="167" fontId="7" fillId="32" borderId="0" xfId="1" applyNumberFormat="1" applyFill="1" applyBorder="1" applyProtection="1">
      <protection locked="0"/>
    </xf>
    <xf numFmtId="168" fontId="7" fillId="32" borderId="0" xfId="1" applyNumberFormat="1" applyFill="1" applyBorder="1" applyProtection="1">
      <protection locked="0"/>
    </xf>
    <xf numFmtId="2" fontId="7" fillId="0" borderId="135" xfId="1" applyNumberFormat="1" applyFill="1" applyBorder="1" applyProtection="1">
      <protection locked="0"/>
    </xf>
    <xf numFmtId="0" fontId="7" fillId="30" borderId="135" xfId="1" applyFill="1" applyBorder="1" applyAlignment="1" applyProtection="1">
      <alignment wrapText="1"/>
      <protection locked="0"/>
    </xf>
    <xf numFmtId="164" fontId="7" fillId="0" borderId="135" xfId="1" applyNumberFormat="1" applyBorder="1" applyAlignment="1" applyProtection="1">
      <alignment wrapText="1"/>
      <protection locked="0"/>
    </xf>
    <xf numFmtId="165" fontId="7" fillId="0" borderId="0" xfId="1" applyNumberFormat="1" applyFill="1" applyBorder="1" applyProtection="1">
      <protection locked="0"/>
    </xf>
    <xf numFmtId="0" fontId="9" fillId="24" borderId="0" xfId="0" applyFont="1" applyFill="1" applyBorder="1" applyAlignment="1">
      <alignment horizontal="center" vertical="top"/>
    </xf>
    <xf numFmtId="0" fontId="9" fillId="24" borderId="8" xfId="0" applyFont="1" applyFill="1" applyBorder="1" applyAlignment="1">
      <alignment horizontal="right" vertical="top"/>
    </xf>
    <xf numFmtId="0" fontId="9" fillId="24" borderId="0" xfId="0" applyFont="1" applyFill="1" applyBorder="1" applyAlignment="1">
      <alignment horizontal="right" vertical="top"/>
    </xf>
    <xf numFmtId="0" fontId="9" fillId="24" borderId="8" xfId="0" applyFont="1" applyFill="1" applyBorder="1" applyAlignment="1">
      <alignment horizontal="center" vertical="top"/>
    </xf>
    <xf numFmtId="0" fontId="9" fillId="24" borderId="0" xfId="0" applyFont="1" applyFill="1" applyBorder="1" applyAlignment="1">
      <alignment horizontal="center" vertical="top"/>
    </xf>
    <xf numFmtId="0" fontId="9" fillId="6" borderId="0" xfId="0" applyFont="1" applyFill="1" applyBorder="1" applyAlignment="1">
      <alignment horizontal="center" vertical="top"/>
    </xf>
    <xf numFmtId="0" fontId="9" fillId="24" borderId="0" xfId="0" applyFont="1" applyFill="1" applyBorder="1" applyAlignment="1">
      <alignment horizontal="right" vertical="top"/>
    </xf>
    <xf numFmtId="0" fontId="9" fillId="21" borderId="0" xfId="0" applyFont="1" applyFill="1" applyBorder="1" applyAlignment="1">
      <alignment horizontal="center" vertical="top"/>
    </xf>
    <xf numFmtId="0" fontId="13" fillId="6" borderId="9" xfId="0" applyFont="1" applyFill="1" applyBorder="1" applyAlignment="1">
      <alignment horizontal="center" vertical="top" wrapText="1"/>
    </xf>
    <xf numFmtId="0" fontId="100" fillId="0" borderId="0" xfId="1" applyFont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top"/>
    </xf>
    <xf numFmtId="0" fontId="11" fillId="6" borderId="6" xfId="0" applyFont="1" applyFill="1" applyBorder="1" applyAlignment="1">
      <alignment horizontal="right" vertical="top"/>
    </xf>
    <xf numFmtId="0" fontId="11" fillId="6" borderId="6" xfId="0" applyFont="1" applyFill="1" applyBorder="1" applyAlignment="1">
      <alignment horizontal="left" vertical="top"/>
    </xf>
    <xf numFmtId="0" fontId="11" fillId="6" borderId="8" xfId="0" applyFont="1" applyFill="1" applyBorder="1" applyAlignment="1">
      <alignment horizontal="left" vertical="top"/>
    </xf>
    <xf numFmtId="0" fontId="11" fillId="6" borderId="7" xfId="0" applyFont="1" applyFill="1" applyBorder="1" applyAlignment="1">
      <alignment horizontal="right" vertical="top"/>
    </xf>
    <xf numFmtId="0" fontId="7" fillId="0" borderId="0" xfId="1" applyBorder="1" applyAlignment="1" applyProtection="1">
      <alignment wrapText="1"/>
    </xf>
    <xf numFmtId="0" fontId="7" fillId="0" borderId="0" xfId="1" applyBorder="1" applyAlignment="1" applyProtection="1">
      <alignment wrapText="1"/>
      <protection locked="0"/>
    </xf>
    <xf numFmtId="2" fontId="121" fillId="30" borderId="135" xfId="1" applyNumberFormat="1" applyFont="1" applyFill="1" applyBorder="1" applyProtection="1">
      <protection locked="0"/>
    </xf>
    <xf numFmtId="2" fontId="178" fillId="30" borderId="135" xfId="1" applyNumberFormat="1" applyFont="1" applyFill="1" applyBorder="1" applyProtection="1">
      <protection locked="0"/>
    </xf>
    <xf numFmtId="0" fontId="2" fillId="0" borderId="0" xfId="1" applyFont="1" applyBorder="1" applyProtection="1">
      <protection locked="0"/>
    </xf>
    <xf numFmtId="0" fontId="2" fillId="0" borderId="0" xfId="1" applyFont="1" applyBorder="1" applyAlignment="1" applyProtection="1">
      <alignment horizontal="right"/>
      <protection locked="0"/>
    </xf>
    <xf numFmtId="0" fontId="109" fillId="24" borderId="0" xfId="1" applyFont="1" applyFill="1" applyBorder="1" applyAlignment="1" applyProtection="1">
      <alignment horizontal="right" vertical="center"/>
    </xf>
    <xf numFmtId="0" fontId="98" fillId="24" borderId="0" xfId="1" applyFont="1" applyFill="1" applyBorder="1" applyAlignment="1" applyProtection="1">
      <alignment horizontal="right" vertical="center"/>
    </xf>
    <xf numFmtId="2" fontId="98" fillId="24" borderId="0" xfId="1" applyNumberFormat="1" applyFont="1" applyFill="1" applyBorder="1" applyAlignment="1" applyProtection="1">
      <alignment horizontal="right" vertical="center"/>
    </xf>
    <xf numFmtId="0" fontId="98" fillId="9" borderId="0" xfId="1" applyFont="1" applyFill="1" applyBorder="1" applyAlignment="1" applyProtection="1">
      <alignment horizontal="right" vertical="center"/>
    </xf>
    <xf numFmtId="0" fontId="7" fillId="0" borderId="0" xfId="1" applyBorder="1" applyAlignment="1" applyProtection="1">
      <alignment horizontal="right"/>
      <protection locked="0"/>
    </xf>
    <xf numFmtId="0" fontId="93" fillId="0" borderId="0" xfId="1" applyFont="1" applyFill="1" applyBorder="1" applyAlignment="1" applyProtection="1">
      <alignment horizontal="right"/>
    </xf>
    <xf numFmtId="0" fontId="133" fillId="0" borderId="0" xfId="1" applyFont="1" applyFill="1" applyBorder="1" applyAlignment="1" applyProtection="1">
      <alignment horizontal="right"/>
    </xf>
    <xf numFmtId="0" fontId="9" fillId="21" borderId="8" xfId="0" applyFont="1" applyFill="1" applyBorder="1" applyAlignment="1">
      <alignment horizontal="left" vertical="top"/>
    </xf>
    <xf numFmtId="0" fontId="9" fillId="21" borderId="7" xfId="0" applyFont="1" applyFill="1" applyBorder="1" applyAlignment="1">
      <alignment vertical="top"/>
    </xf>
    <xf numFmtId="0" fontId="2" fillId="33" borderId="0" xfId="1" applyFont="1" applyFill="1" applyBorder="1" applyAlignment="1" applyProtection="1">
      <alignment horizontal="right"/>
      <protection locked="0"/>
    </xf>
    <xf numFmtId="0" fontId="7" fillId="33" borderId="0" xfId="1" applyFill="1" applyBorder="1" applyAlignment="1" applyProtection="1">
      <alignment horizontal="right"/>
      <protection locked="0"/>
    </xf>
    <xf numFmtId="0" fontId="11" fillId="21" borderId="49" xfId="0" applyFont="1" applyFill="1" applyBorder="1" applyAlignment="1">
      <alignment horizontal="left" vertical="top"/>
    </xf>
    <xf numFmtId="0" fontId="9" fillId="21" borderId="8" xfId="0" applyFont="1" applyFill="1" applyBorder="1" applyAlignment="1">
      <alignment vertical="top"/>
    </xf>
    <xf numFmtId="0" fontId="9" fillId="21" borderId="0" xfId="0" applyFont="1" applyFill="1" applyBorder="1" applyAlignment="1">
      <alignment vertical="top"/>
    </xf>
    <xf numFmtId="0" fontId="2" fillId="21" borderId="49" xfId="0" applyFont="1" applyFill="1" applyBorder="1" applyAlignment="1">
      <alignment horizontal="left" vertical="top"/>
    </xf>
    <xf numFmtId="0" fontId="92" fillId="0" borderId="0" xfId="1" applyFont="1" applyBorder="1" applyAlignment="1" applyProtection="1">
      <alignment horizontal="right"/>
      <protection locked="0"/>
    </xf>
    <xf numFmtId="0" fontId="2" fillId="6" borderId="49" xfId="0" applyFont="1" applyFill="1" applyBorder="1" applyAlignment="1">
      <alignment horizontal="left" vertical="top"/>
    </xf>
    <xf numFmtId="0" fontId="20" fillId="24" borderId="50" xfId="0" applyFont="1" applyFill="1" applyBorder="1" applyAlignment="1">
      <alignment horizontal="right" vertical="top"/>
    </xf>
    <xf numFmtId="0" fontId="11" fillId="6" borderId="50" xfId="0" applyFont="1" applyFill="1" applyBorder="1" applyAlignment="1">
      <alignment vertical="top"/>
    </xf>
    <xf numFmtId="0" fontId="182" fillId="6" borderId="51" xfId="0" applyFont="1" applyFill="1" applyBorder="1" applyAlignment="1">
      <alignment horizontal="right" vertical="top"/>
    </xf>
    <xf numFmtId="0" fontId="22" fillId="6" borderId="50" xfId="0" applyFont="1" applyFill="1" applyBorder="1" applyAlignment="1">
      <alignment vertical="top"/>
    </xf>
    <xf numFmtId="0" fontId="2" fillId="0" borderId="0" xfId="1" applyFont="1" applyFill="1" applyBorder="1" applyAlignment="1" applyProtection="1">
      <alignment horizontal="right"/>
      <protection locked="0"/>
    </xf>
    <xf numFmtId="0" fontId="98" fillId="24" borderId="0" xfId="1" applyFont="1" applyFill="1" applyAlignment="1">
      <alignment vertical="center"/>
    </xf>
    <xf numFmtId="0" fontId="109" fillId="24" borderId="0" xfId="1" applyFont="1" applyFill="1" applyAlignment="1">
      <alignment vertical="center"/>
    </xf>
    <xf numFmtId="0" fontId="109" fillId="9" borderId="0" xfId="1" applyFont="1" applyFill="1" applyAlignment="1">
      <alignment vertical="center"/>
    </xf>
    <xf numFmtId="0" fontId="98" fillId="9" borderId="0" xfId="1" applyFont="1" applyFill="1" applyAlignment="1">
      <alignment vertical="center"/>
    </xf>
    <xf numFmtId="0" fontId="109" fillId="24" borderId="122" xfId="1" applyFont="1" applyFill="1" applyBorder="1" applyAlignment="1">
      <alignment horizontal="right"/>
    </xf>
    <xf numFmtId="0" fontId="109" fillId="24" borderId="124" xfId="1" applyFont="1" applyFill="1" applyBorder="1" applyAlignment="1">
      <alignment horizontal="right"/>
    </xf>
    <xf numFmtId="0" fontId="109" fillId="24" borderId="95" xfId="1" applyFont="1" applyFill="1" applyBorder="1" applyAlignment="1">
      <alignment horizontal="right"/>
    </xf>
    <xf numFmtId="0" fontId="109" fillId="24" borderId="101" xfId="1" applyFont="1" applyFill="1" applyBorder="1" applyAlignment="1">
      <alignment horizontal="right"/>
    </xf>
    <xf numFmtId="0" fontId="109" fillId="24" borderId="96" xfId="1" applyFont="1" applyFill="1" applyBorder="1" applyAlignment="1">
      <alignment horizontal="right"/>
    </xf>
    <xf numFmtId="0" fontId="109" fillId="24" borderId="97" xfId="1" applyFont="1" applyFill="1" applyBorder="1" applyAlignment="1">
      <alignment horizontal="right"/>
    </xf>
    <xf numFmtId="0" fontId="109" fillId="24" borderId="0" xfId="1" applyFont="1" applyFill="1" applyBorder="1" applyAlignment="1">
      <alignment horizontal="right"/>
    </xf>
    <xf numFmtId="0" fontId="98" fillId="24" borderId="7" xfId="1" applyFont="1" applyFill="1" applyBorder="1" applyAlignment="1">
      <alignment horizontal="right"/>
    </xf>
    <xf numFmtId="0" fontId="183" fillId="34" borderId="0" xfId="1" applyFont="1" applyFill="1" applyBorder="1" applyAlignment="1" applyProtection="1">
      <alignment horizontal="center"/>
      <protection locked="0"/>
    </xf>
    <xf numFmtId="0" fontId="183" fillId="34" borderId="136" xfId="1" applyFont="1" applyFill="1" applyBorder="1" applyAlignment="1" applyProtection="1">
      <alignment horizontal="center"/>
      <protection locked="0"/>
    </xf>
    <xf numFmtId="0" fontId="116" fillId="0" borderId="0" xfId="1" applyFont="1" applyBorder="1" applyAlignment="1" applyProtection="1">
      <alignment horizontal="right"/>
      <protection locked="0"/>
    </xf>
    <xf numFmtId="0" fontId="93" fillId="0" borderId="0" xfId="1" applyFont="1" applyBorder="1" applyAlignment="1" applyProtection="1">
      <alignment horizontal="right" wrapText="1"/>
    </xf>
    <xf numFmtId="0" fontId="134" fillId="0" borderId="0" xfId="1" applyFont="1" applyBorder="1" applyAlignment="1" applyProtection="1">
      <alignment horizontal="right" wrapText="1"/>
    </xf>
    <xf numFmtId="0" fontId="111" fillId="0" borderId="0" xfId="1" applyFont="1" applyBorder="1" applyAlignment="1" applyProtection="1">
      <alignment horizontal="right" wrapText="1"/>
    </xf>
    <xf numFmtId="0" fontId="92" fillId="0" borderId="0" xfId="1" applyFont="1" applyBorder="1" applyAlignment="1" applyProtection="1">
      <alignment horizontal="right" wrapText="1"/>
    </xf>
    <xf numFmtId="1" fontId="7" fillId="0" borderId="0" xfId="1" applyNumberFormat="1" applyBorder="1" applyAlignment="1" applyProtection="1">
      <alignment horizontal="right"/>
    </xf>
    <xf numFmtId="2" fontId="7" fillId="0" borderId="0" xfId="1" applyNumberFormat="1" applyBorder="1" applyAlignment="1" applyProtection="1">
      <alignment horizontal="right"/>
      <protection locked="0"/>
    </xf>
    <xf numFmtId="0" fontId="7" fillId="0" borderId="135" xfId="1" applyBorder="1" applyAlignment="1" applyProtection="1">
      <alignment horizontal="right"/>
      <protection locked="0"/>
    </xf>
    <xf numFmtId="0" fontId="7" fillId="0" borderId="135" xfId="1" applyBorder="1" applyAlignment="1" applyProtection="1">
      <alignment horizontal="right" wrapText="1"/>
      <protection locked="0"/>
    </xf>
    <xf numFmtId="0" fontId="93" fillId="0" borderId="0" xfId="1" applyFont="1" applyAlignment="1">
      <alignment horizontal="center" vertical="center"/>
    </xf>
    <xf numFmtId="0" fontId="93" fillId="0" borderId="0" xfId="1" applyFont="1" applyAlignment="1">
      <alignment horizontal="center" vertical="center" wrapText="1"/>
    </xf>
    <xf numFmtId="0" fontId="107" fillId="0" borderId="0" xfId="1" applyFont="1" applyAlignment="1">
      <alignment horizontal="center" vertical="center" wrapText="1"/>
    </xf>
    <xf numFmtId="0" fontId="93" fillId="0" borderId="0" xfId="1" applyFont="1" applyAlignment="1">
      <alignment vertical="center" wrapText="1"/>
    </xf>
    <xf numFmtId="0" fontId="100" fillId="0" borderId="0" xfId="1" applyFont="1" applyBorder="1" applyAlignment="1"/>
    <xf numFmtId="0" fontId="93" fillId="0" borderId="0" xfId="1" applyFont="1" applyBorder="1" applyAlignment="1">
      <alignment wrapText="1"/>
    </xf>
    <xf numFmtId="0" fontId="96" fillId="0" borderId="9" xfId="1" applyFont="1" applyBorder="1" applyAlignment="1"/>
    <xf numFmtId="0" fontId="96" fillId="0" borderId="9" xfId="1" applyFont="1" applyBorder="1" applyAlignment="1">
      <alignment wrapText="1"/>
    </xf>
    <xf numFmtId="0" fontId="189" fillId="0" borderId="9" xfId="1" applyFont="1" applyBorder="1" applyAlignment="1">
      <alignment wrapText="1"/>
    </xf>
    <xf numFmtId="0" fontId="190" fillId="0" borderId="0" xfId="1" applyFont="1" applyAlignment="1">
      <alignment horizontal="center" vertical="center"/>
    </xf>
    <xf numFmtId="0" fontId="190" fillId="0" borderId="0" xfId="1" applyFont="1" applyAlignment="1">
      <alignment horizontal="center" vertical="center" wrapText="1"/>
    </xf>
    <xf numFmtId="0" fontId="11" fillId="24" borderId="6" xfId="0" applyFont="1" applyFill="1" applyBorder="1" applyAlignment="1">
      <alignment horizontal="left"/>
    </xf>
    <xf numFmtId="0" fontId="13" fillId="6" borderId="9" xfId="0" applyFont="1" applyFill="1" applyBorder="1" applyAlignment="1">
      <alignment vertical="top" textRotation="90" wrapText="1"/>
    </xf>
    <xf numFmtId="0" fontId="35" fillId="0" borderId="0" xfId="0" applyFont="1" applyFill="1" applyAlignment="1"/>
    <xf numFmtId="0" fontId="36" fillId="0" borderId="0" xfId="0" applyFont="1" applyFill="1" applyAlignment="1">
      <alignment vertical="center"/>
    </xf>
    <xf numFmtId="0" fontId="17" fillId="5" borderId="6" xfId="0" applyFont="1" applyFill="1" applyBorder="1" applyAlignment="1">
      <alignment horizontal="left" vertical="top"/>
    </xf>
    <xf numFmtId="0" fontId="9" fillId="6" borderId="22" xfId="0" applyFont="1" applyFill="1" applyBorder="1" applyAlignment="1">
      <alignment horizontal="right" vertical="center" wrapText="1"/>
    </xf>
    <xf numFmtId="0" fontId="9" fillId="0" borderId="2" xfId="0" applyFont="1" applyFill="1" applyBorder="1" applyAlignment="1">
      <alignment vertical="top" wrapText="1"/>
    </xf>
    <xf numFmtId="0" fontId="9" fillId="24" borderId="2" xfId="0" applyFont="1" applyFill="1" applyBorder="1" applyAlignment="1">
      <alignment vertical="top" wrapText="1"/>
    </xf>
    <xf numFmtId="0" fontId="9" fillId="21" borderId="0" xfId="0" applyFont="1" applyFill="1" applyBorder="1" applyAlignment="1">
      <alignment horizontal="right" vertical="top"/>
    </xf>
    <xf numFmtId="0" fontId="193" fillId="6" borderId="24" xfId="0" applyFont="1" applyFill="1" applyBorder="1" applyAlignment="1">
      <alignment horizontal="center" vertical="center"/>
    </xf>
    <xf numFmtId="0" fontId="193" fillId="6" borderId="24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vertical="top"/>
    </xf>
    <xf numFmtId="0" fontId="9" fillId="4" borderId="30" xfId="0" applyFont="1" applyFill="1" applyBorder="1" applyAlignment="1">
      <alignment vertical="top"/>
    </xf>
    <xf numFmtId="0" fontId="193" fillId="4" borderId="31" xfId="0" applyFont="1" applyFill="1" applyBorder="1" applyAlignment="1">
      <alignment horizontal="center" vertical="center" wrapText="1"/>
    </xf>
    <xf numFmtId="0" fontId="7" fillId="35" borderId="135" xfId="1" applyFill="1" applyBorder="1" applyProtection="1">
      <protection locked="0"/>
    </xf>
    <xf numFmtId="0" fontId="166" fillId="25" borderId="0" xfId="0" applyFont="1" applyFill="1" applyBorder="1" applyAlignment="1">
      <alignment horizontal="left" vertical="top"/>
    </xf>
    <xf numFmtId="0" fontId="31" fillId="25" borderId="0" xfId="0" applyFont="1" applyFill="1" applyBorder="1" applyAlignment="1">
      <alignment horizontal="right" vertical="top"/>
    </xf>
    <xf numFmtId="0" fontId="81" fillId="25" borderId="0" xfId="0" applyFont="1" applyFill="1" applyBorder="1" applyAlignment="1">
      <alignment horizontal="left" vertical="top"/>
    </xf>
    <xf numFmtId="0" fontId="100" fillId="0" borderId="0" xfId="0" applyFont="1" applyAlignment="1">
      <alignment wrapText="1"/>
    </xf>
    <xf numFmtId="0" fontId="100" fillId="0" borderId="0" xfId="0" applyFont="1"/>
    <xf numFmtId="0" fontId="128" fillId="0" borderId="0" xfId="3" applyFont="1" applyFill="1" applyAlignment="1">
      <alignment horizontal="center"/>
    </xf>
    <xf numFmtId="164" fontId="93" fillId="0" borderId="108" xfId="1" applyNumberFormat="1" applyFont="1" applyBorder="1"/>
    <xf numFmtId="0" fontId="97" fillId="4" borderId="85" xfId="1" applyFont="1" applyFill="1" applyBorder="1" applyAlignment="1">
      <alignment horizontal="right"/>
    </xf>
    <xf numFmtId="0" fontId="104" fillId="27" borderId="139" xfId="1" applyFont="1" applyFill="1" applyBorder="1"/>
    <xf numFmtId="0" fontId="195" fillId="0" borderId="138" xfId="1" applyFont="1" applyBorder="1" applyAlignment="1">
      <alignment vertical="top" wrapText="1"/>
    </xf>
    <xf numFmtId="0" fontId="13" fillId="6" borderId="52" xfId="0" applyFont="1" applyFill="1" applyBorder="1" applyAlignment="1">
      <alignment horizontal="center" wrapText="1"/>
    </xf>
    <xf numFmtId="0" fontId="39" fillId="0" borderId="0" xfId="0" applyFont="1" applyAlignment="1">
      <alignment horizontal="left"/>
    </xf>
    <xf numFmtId="0" fontId="129" fillId="0" borderId="0" xfId="3" applyFont="1" applyFill="1" applyAlignment="1">
      <alignment horizontal="center"/>
    </xf>
    <xf numFmtId="0" fontId="129" fillId="0" borderId="0" xfId="3" applyFont="1" applyAlignment="1">
      <alignment horizontal="center"/>
    </xf>
    <xf numFmtId="0" fontId="129" fillId="0" borderId="0" xfId="3" applyFont="1" applyFill="1" applyAlignment="1">
      <alignment horizontal="left"/>
    </xf>
    <xf numFmtId="0" fontId="20" fillId="4" borderId="51" xfId="0" applyFont="1" applyFill="1" applyBorder="1" applyAlignment="1">
      <alignment horizontal="right" vertical="top"/>
    </xf>
    <xf numFmtId="0" fontId="96" fillId="0" borderId="9" xfId="1" quotePrefix="1" applyFont="1" applyBorder="1" applyAlignment="1">
      <alignment wrapText="1"/>
    </xf>
    <xf numFmtId="0" fontId="197" fillId="0" borderId="6" xfId="1" applyFont="1" applyBorder="1" applyAlignment="1">
      <alignment wrapText="1"/>
    </xf>
    <xf numFmtId="0" fontId="197" fillId="0" borderId="0" xfId="1" applyFont="1" applyBorder="1" applyAlignment="1">
      <alignment wrapText="1"/>
    </xf>
    <xf numFmtId="0" fontId="96" fillId="0" borderId="9" xfId="1" applyFont="1" applyBorder="1" applyAlignment="1">
      <alignment horizontal="right" vertical="top" textRotation="45"/>
    </xf>
    <xf numFmtId="0" fontId="0" fillId="0" borderId="0" xfId="0" applyAlignment="1">
      <alignment horizontal="right"/>
    </xf>
    <xf numFmtId="0" fontId="203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2" fontId="0" fillId="0" borderId="0" xfId="0" applyNumberFormat="1"/>
    <xf numFmtId="0" fontId="203" fillId="0" borderId="23" xfId="0" applyFont="1" applyBorder="1" applyAlignment="1">
      <alignment horizontal="right"/>
    </xf>
    <xf numFmtId="0" fontId="0" fillId="0" borderId="23" xfId="0" applyBorder="1"/>
    <xf numFmtId="2" fontId="0" fillId="0" borderId="23" xfId="0" applyNumberFormat="1" applyBorder="1"/>
    <xf numFmtId="0" fontId="8" fillId="0" borderId="0" xfId="0" applyFont="1" applyBorder="1" applyAlignment="1">
      <alignment horizontal="right"/>
    </xf>
    <xf numFmtId="0" fontId="203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2" fontId="0" fillId="0" borderId="0" xfId="0" applyNumberFormat="1" applyBorder="1"/>
    <xf numFmtId="0" fontId="146" fillId="0" borderId="0" xfId="0" applyFont="1" applyBorder="1" applyAlignment="1">
      <alignment horizontal="right"/>
    </xf>
    <xf numFmtId="2" fontId="204" fillId="0" borderId="0" xfId="0" applyNumberFormat="1" applyFont="1" applyBorder="1"/>
    <xf numFmtId="2" fontId="204" fillId="0" borderId="23" xfId="0" applyNumberFormat="1" applyFont="1" applyBorder="1"/>
    <xf numFmtId="0" fontId="205" fillId="0" borderId="0" xfId="0" applyFont="1" applyBorder="1" applyAlignment="1">
      <alignment horizontal="right"/>
    </xf>
    <xf numFmtId="0" fontId="206" fillId="0" borderId="0" xfId="0" applyFont="1" applyBorder="1"/>
    <xf numFmtId="0" fontId="207" fillId="0" borderId="0" xfId="0" applyFont="1" applyBorder="1" applyAlignment="1">
      <alignment horizontal="right"/>
    </xf>
    <xf numFmtId="0" fontId="207" fillId="0" borderId="23" xfId="0" applyFont="1" applyBorder="1" applyAlignment="1">
      <alignment horizontal="right"/>
    </xf>
    <xf numFmtId="0" fontId="206" fillId="0" borderId="23" xfId="0" applyFont="1" applyBorder="1"/>
    <xf numFmtId="0" fontId="206" fillId="0" borderId="0" xfId="0" applyFont="1" applyBorder="1" applyAlignment="1">
      <alignment horizontal="right"/>
    </xf>
    <xf numFmtId="2" fontId="206" fillId="0" borderId="23" xfId="0" applyNumberFormat="1" applyFont="1" applyBorder="1"/>
    <xf numFmtId="2" fontId="206" fillId="0" borderId="0" xfId="0" applyNumberFormat="1" applyFont="1" applyBorder="1"/>
    <xf numFmtId="0" fontId="205" fillId="0" borderId="23" xfId="0" applyFont="1" applyBorder="1" applyAlignment="1">
      <alignment horizontal="right"/>
    </xf>
    <xf numFmtId="2" fontId="208" fillId="0" borderId="0" xfId="0" applyNumberFormat="1" applyFont="1" applyBorder="1"/>
    <xf numFmtId="2" fontId="208" fillId="0" borderId="23" xfId="0" applyNumberFormat="1" applyFont="1" applyBorder="1"/>
    <xf numFmtId="0" fontId="203" fillId="0" borderId="91" xfId="0" applyFont="1" applyBorder="1" applyAlignment="1">
      <alignment horizontal="right"/>
    </xf>
    <xf numFmtId="0" fontId="209" fillId="0" borderId="0" xfId="0" applyFont="1" applyBorder="1" applyAlignment="1">
      <alignment horizontal="right"/>
    </xf>
    <xf numFmtId="0" fontId="210" fillId="0" borderId="0" xfId="0" applyFont="1" applyBorder="1" applyAlignment="1">
      <alignment horizontal="right"/>
    </xf>
    <xf numFmtId="0" fontId="0" fillId="0" borderId="0" xfId="0" applyAlignment="1">
      <alignment horizontal="center"/>
    </xf>
    <xf numFmtId="0" fontId="146" fillId="0" borderId="0" xfId="0" applyFont="1"/>
    <xf numFmtId="0" fontId="214" fillId="0" borderId="91" xfId="0" applyFont="1" applyBorder="1" applyAlignment="1">
      <alignment horizontal="right"/>
    </xf>
    <xf numFmtId="0" fontId="0" fillId="0" borderId="9" xfId="0" applyBorder="1"/>
    <xf numFmtId="0" fontId="0" fillId="0" borderId="9" xfId="0" applyBorder="1" applyAlignment="1">
      <alignment horizontal="right"/>
    </xf>
    <xf numFmtId="0" fontId="0" fillId="0" borderId="91" xfId="0" applyBorder="1"/>
    <xf numFmtId="0" fontId="0" fillId="0" borderId="91" xfId="0" applyBorder="1" applyAlignment="1">
      <alignment horizontal="right"/>
    </xf>
    <xf numFmtId="0" fontId="204" fillId="0" borderId="0" xfId="0" applyFont="1"/>
    <xf numFmtId="0" fontId="218" fillId="0" borderId="0" xfId="0" applyFont="1" applyAlignment="1">
      <alignment horizontal="right"/>
    </xf>
    <xf numFmtId="0" fontId="221" fillId="0" borderId="0" xfId="8" applyFont="1" applyFill="1" applyBorder="1" applyAlignment="1">
      <alignment horizontal="center"/>
    </xf>
    <xf numFmtId="0" fontId="218" fillId="0" borderId="23" xfId="0" applyFont="1" applyBorder="1"/>
    <xf numFmtId="0" fontId="218" fillId="0" borderId="0" xfId="0" applyFont="1"/>
    <xf numFmtId="0" fontId="0" fillId="0" borderId="8" xfId="0" applyBorder="1"/>
    <xf numFmtId="0" fontId="0" fillId="0" borderId="7" xfId="0" applyBorder="1"/>
    <xf numFmtId="0" fontId="0" fillId="0" borderId="0" xfId="0" quotePrefix="1" applyAlignment="1">
      <alignment horizontal="center"/>
    </xf>
    <xf numFmtId="0" fontId="17" fillId="4" borderId="0" xfId="0" applyFont="1" applyFill="1" applyBorder="1" applyAlignment="1">
      <alignment horizontal="left" vertical="top"/>
    </xf>
    <xf numFmtId="0" fontId="20" fillId="4" borderId="7" xfId="0" applyFont="1" applyFill="1" applyBorder="1" applyAlignment="1">
      <alignment horizontal="right" vertical="top"/>
    </xf>
    <xf numFmtId="0" fontId="17" fillId="2" borderId="12" xfId="0" applyFont="1" applyFill="1" applyBorder="1" applyAlignment="1">
      <alignment horizontal="left" vertical="top"/>
    </xf>
    <xf numFmtId="0" fontId="20" fillId="2" borderId="56" xfId="0" applyFont="1" applyFill="1" applyBorder="1" applyAlignment="1">
      <alignment horizontal="right" vertical="top"/>
    </xf>
    <xf numFmtId="0" fontId="1" fillId="0" borderId="135" xfId="1" applyFont="1" applyBorder="1" applyAlignment="1" applyProtection="1">
      <alignment wrapText="1"/>
      <protection locked="0"/>
    </xf>
    <xf numFmtId="0" fontId="7" fillId="37" borderId="135" xfId="1" applyFill="1" applyBorder="1" applyAlignment="1" applyProtection="1">
      <alignment wrapText="1"/>
      <protection locked="0"/>
    </xf>
    <xf numFmtId="2" fontId="1" fillId="30" borderId="135" xfId="1" applyNumberFormat="1" applyFont="1" applyFill="1" applyBorder="1" applyAlignment="1" applyProtection="1">
      <alignment wrapText="1"/>
      <protection locked="0"/>
    </xf>
    <xf numFmtId="1" fontId="7" fillId="0" borderId="0" xfId="1" applyNumberFormat="1" applyBorder="1" applyAlignment="1" applyProtection="1">
      <alignment horizontal="right"/>
      <protection locked="0"/>
    </xf>
    <xf numFmtId="0" fontId="9" fillId="4" borderId="8" xfId="0" applyFont="1" applyFill="1" applyBorder="1" applyAlignment="1">
      <alignment horizontal="center" vertical="top"/>
    </xf>
    <xf numFmtId="0" fontId="9" fillId="4" borderId="7" xfId="0" applyFont="1" applyFill="1" applyBorder="1" applyAlignment="1">
      <alignment horizontal="center" vertical="top"/>
    </xf>
    <xf numFmtId="0" fontId="169" fillId="4" borderId="52" xfId="0" applyFont="1" applyFill="1" applyBorder="1" applyAlignment="1">
      <alignment horizontal="center" vertical="top" wrapText="1"/>
    </xf>
    <xf numFmtId="0" fontId="169" fillId="4" borderId="54" xfId="0" applyFont="1" applyFill="1" applyBorder="1" applyAlignment="1">
      <alignment horizontal="center" vertical="top" wrapText="1"/>
    </xf>
    <xf numFmtId="0" fontId="9" fillId="8" borderId="8" xfId="0" applyFont="1" applyFill="1" applyBorder="1" applyAlignment="1">
      <alignment horizontal="center" vertical="top"/>
    </xf>
    <xf numFmtId="0" fontId="9" fillId="8" borderId="7" xfId="0" applyFont="1" applyFill="1" applyBorder="1" applyAlignment="1">
      <alignment horizontal="center" vertical="top"/>
    </xf>
    <xf numFmtId="0" fontId="169" fillId="8" borderId="13" xfId="0" applyFont="1" applyFill="1" applyBorder="1" applyAlignment="1">
      <alignment horizontal="center" vertical="top" wrapText="1"/>
    </xf>
    <xf numFmtId="0" fontId="169" fillId="8" borderId="16" xfId="0" applyFont="1" applyFill="1" applyBorder="1" applyAlignment="1">
      <alignment horizontal="center" vertical="top" wrapText="1"/>
    </xf>
    <xf numFmtId="0" fontId="9" fillId="4" borderId="65" xfId="0" applyFont="1" applyFill="1" applyBorder="1" applyAlignment="1">
      <alignment horizontal="center" vertical="center" wrapText="1"/>
    </xf>
    <xf numFmtId="0" fontId="9" fillId="4" borderId="62" xfId="0" applyFont="1" applyFill="1" applyBorder="1" applyAlignment="1">
      <alignment horizontal="center" vertical="center" wrapText="1"/>
    </xf>
    <xf numFmtId="0" fontId="169" fillId="4" borderId="2" xfId="0" applyFont="1" applyFill="1" applyBorder="1" applyAlignment="1">
      <alignment horizontal="center" vertical="top" wrapText="1"/>
    </xf>
    <xf numFmtId="0" fontId="169" fillId="4" borderId="15" xfId="0" applyFont="1" applyFill="1" applyBorder="1" applyAlignment="1">
      <alignment horizontal="center" vertical="top" wrapText="1"/>
    </xf>
    <xf numFmtId="0" fontId="16" fillId="3" borderId="8" xfId="0" applyFont="1" applyFill="1" applyBorder="1" applyAlignment="1">
      <alignment horizontal="center" vertical="top"/>
    </xf>
    <xf numFmtId="0" fontId="16" fillId="3" borderId="7" xfId="0" applyFont="1" applyFill="1" applyBorder="1" applyAlignment="1">
      <alignment horizontal="center" vertical="top"/>
    </xf>
    <xf numFmtId="0" fontId="171" fillId="5" borderId="52" xfId="0" applyFont="1" applyFill="1" applyBorder="1" applyAlignment="1">
      <alignment horizontal="center" vertical="top" wrapText="1"/>
    </xf>
    <xf numFmtId="0" fontId="171" fillId="5" borderId="54" xfId="0" applyFont="1" applyFill="1" applyBorder="1" applyAlignment="1">
      <alignment horizontal="center" vertical="top" wrapText="1"/>
    </xf>
    <xf numFmtId="0" fontId="16" fillId="3" borderId="0" xfId="0" applyFont="1" applyFill="1" applyBorder="1" applyAlignment="1">
      <alignment horizontal="center" vertical="top"/>
    </xf>
    <xf numFmtId="0" fontId="16" fillId="3" borderId="62" xfId="0" applyFont="1" applyFill="1" applyBorder="1" applyAlignment="1">
      <alignment horizontal="center" vertical="top"/>
    </xf>
    <xf numFmtId="0" fontId="169" fillId="3" borderId="13" xfId="0" applyFont="1" applyFill="1" applyBorder="1" applyAlignment="1">
      <alignment horizontal="center" vertical="top" wrapText="1"/>
    </xf>
    <xf numFmtId="0" fontId="169" fillId="3" borderId="16" xfId="0" applyFont="1" applyFill="1" applyBorder="1" applyAlignment="1">
      <alignment horizontal="center" vertical="top" wrapText="1"/>
    </xf>
    <xf numFmtId="0" fontId="9" fillId="5" borderId="8" xfId="0" applyFont="1" applyFill="1" applyBorder="1" applyAlignment="1">
      <alignment horizontal="center" vertical="top"/>
    </xf>
    <xf numFmtId="0" fontId="9" fillId="5" borderId="7" xfId="0" applyFont="1" applyFill="1" applyBorder="1" applyAlignment="1">
      <alignment horizontal="center" vertical="top"/>
    </xf>
    <xf numFmtId="0" fontId="169" fillId="3" borderId="52" xfId="0" applyFont="1" applyFill="1" applyBorder="1" applyAlignment="1">
      <alignment horizontal="center" vertical="top" wrapText="1"/>
    </xf>
    <xf numFmtId="0" fontId="169" fillId="3" borderId="54" xfId="0" applyFont="1" applyFill="1" applyBorder="1" applyAlignment="1">
      <alignment horizontal="center" vertical="top" wrapText="1"/>
    </xf>
    <xf numFmtId="0" fontId="13" fillId="5" borderId="0" xfId="0" applyFont="1" applyFill="1" applyBorder="1" applyAlignment="1">
      <alignment horizontal="center" vertical="top" wrapText="1"/>
    </xf>
    <xf numFmtId="0" fontId="9" fillId="5" borderId="0" xfId="0" applyFont="1" applyFill="1" applyBorder="1" applyAlignment="1">
      <alignment horizontal="center" vertical="top"/>
    </xf>
    <xf numFmtId="0" fontId="169" fillId="8" borderId="52" xfId="0" applyFont="1" applyFill="1" applyBorder="1" applyAlignment="1">
      <alignment horizontal="center" vertical="top" wrapText="1"/>
    </xf>
    <xf numFmtId="0" fontId="169" fillId="8" borderId="53" xfId="0" applyFont="1" applyFill="1" applyBorder="1" applyAlignment="1">
      <alignment horizontal="center" vertical="top" wrapText="1"/>
    </xf>
    <xf numFmtId="0" fontId="169" fillId="8" borderId="54" xfId="0" applyFont="1" applyFill="1" applyBorder="1" applyAlignment="1">
      <alignment horizontal="center" vertical="top" wrapText="1"/>
    </xf>
    <xf numFmtId="0" fontId="169" fillId="24" borderId="0" xfId="0" applyFont="1" applyFill="1" applyBorder="1" applyAlignment="1">
      <alignment horizontal="center" wrapText="1"/>
    </xf>
    <xf numFmtId="0" fontId="169" fillId="24" borderId="0" xfId="0" applyFont="1" applyFill="1" applyBorder="1" applyAlignment="1">
      <alignment horizontal="center" vertical="top" wrapText="1"/>
    </xf>
    <xf numFmtId="0" fontId="169" fillId="6" borderId="52" xfId="0" applyFont="1" applyFill="1" applyBorder="1" applyAlignment="1">
      <alignment horizontal="center" vertical="top" wrapText="1"/>
    </xf>
    <xf numFmtId="0" fontId="169" fillId="6" borderId="54" xfId="0" applyFont="1" applyFill="1" applyBorder="1" applyAlignment="1">
      <alignment horizontal="center" vertical="top" wrapText="1"/>
    </xf>
    <xf numFmtId="0" fontId="9" fillId="6" borderId="8" xfId="0" applyFont="1" applyFill="1" applyBorder="1" applyAlignment="1">
      <alignment horizontal="center" vertical="top"/>
    </xf>
    <xf numFmtId="0" fontId="9" fillId="6" borderId="0" xfId="0" applyFont="1" applyFill="1" applyBorder="1" applyAlignment="1">
      <alignment horizontal="center" vertical="top"/>
    </xf>
    <xf numFmtId="0" fontId="9" fillId="6" borderId="7" xfId="0" applyFont="1" applyFill="1" applyBorder="1" applyAlignment="1">
      <alignment horizontal="center" vertical="top"/>
    </xf>
    <xf numFmtId="0" fontId="169" fillId="6" borderId="53" xfId="0" applyFont="1" applyFill="1" applyBorder="1" applyAlignment="1">
      <alignment horizontal="center" vertical="top" wrapText="1"/>
    </xf>
    <xf numFmtId="0" fontId="169" fillId="5" borderId="13" xfId="0" applyFont="1" applyFill="1" applyBorder="1" applyAlignment="1">
      <alignment horizontal="center" vertical="top" wrapText="1"/>
    </xf>
    <xf numFmtId="0" fontId="169" fillId="5" borderId="16" xfId="0" applyFont="1" applyFill="1" applyBorder="1" applyAlignment="1">
      <alignment horizontal="center" vertical="top" wrapText="1"/>
    </xf>
    <xf numFmtId="0" fontId="169" fillId="5" borderId="9" xfId="0" applyFont="1" applyFill="1" applyBorder="1" applyAlignment="1">
      <alignment horizontal="center" vertical="top" wrapText="1"/>
    </xf>
    <xf numFmtId="0" fontId="169" fillId="5" borderId="63" xfId="0" applyFont="1" applyFill="1" applyBorder="1" applyAlignment="1">
      <alignment horizontal="center" vertical="top" wrapText="1"/>
    </xf>
    <xf numFmtId="0" fontId="9" fillId="5" borderId="62" xfId="0" applyFont="1" applyFill="1" applyBorder="1" applyAlignment="1">
      <alignment horizontal="center" vertical="top"/>
    </xf>
    <xf numFmtId="0" fontId="173" fillId="5" borderId="9" xfId="0" applyFont="1" applyFill="1" applyBorder="1" applyAlignment="1">
      <alignment horizontal="center" vertical="top" wrapText="1"/>
    </xf>
    <xf numFmtId="0" fontId="173" fillId="5" borderId="63" xfId="0" applyFont="1" applyFill="1" applyBorder="1" applyAlignment="1">
      <alignment horizontal="center" vertical="top" wrapText="1"/>
    </xf>
    <xf numFmtId="0" fontId="173" fillId="3" borderId="9" xfId="0" applyFont="1" applyFill="1" applyBorder="1" applyAlignment="1">
      <alignment horizontal="center" vertical="top" wrapText="1"/>
    </xf>
    <xf numFmtId="0" fontId="173" fillId="3" borderId="63" xfId="0" applyFont="1" applyFill="1" applyBorder="1" applyAlignment="1">
      <alignment horizontal="center" vertical="top" wrapText="1"/>
    </xf>
    <xf numFmtId="0" fontId="36" fillId="0" borderId="0" xfId="0" applyFont="1" applyAlignment="1">
      <alignment horizontal="right" vertical="center"/>
    </xf>
    <xf numFmtId="0" fontId="82" fillId="25" borderId="0" xfId="0" applyFont="1" applyFill="1" applyBorder="1" applyAlignment="1">
      <alignment horizontal="center" vertical="center" wrapText="1"/>
    </xf>
    <xf numFmtId="0" fontId="28" fillId="25" borderId="0" xfId="0" applyFont="1" applyFill="1" applyBorder="1" applyAlignment="1">
      <alignment horizontal="center" vertical="center"/>
    </xf>
    <xf numFmtId="0" fontId="13" fillId="25" borderId="53" xfId="0" applyFont="1" applyFill="1" applyBorder="1" applyAlignment="1">
      <alignment horizontal="left" vertical="top" wrapText="1"/>
    </xf>
    <xf numFmtId="0" fontId="9" fillId="7" borderId="8" xfId="0" applyFont="1" applyFill="1" applyBorder="1" applyAlignment="1">
      <alignment horizontal="center" vertical="top"/>
    </xf>
    <xf numFmtId="0" fontId="9" fillId="7" borderId="7" xfId="0" applyFont="1" applyFill="1" applyBorder="1" applyAlignment="1">
      <alignment horizontal="center" vertical="top"/>
    </xf>
    <xf numFmtId="0" fontId="169" fillId="7" borderId="13" xfId="0" applyFont="1" applyFill="1" applyBorder="1" applyAlignment="1">
      <alignment horizontal="center" vertical="top" wrapText="1"/>
    </xf>
    <xf numFmtId="0" fontId="169" fillId="7" borderId="16" xfId="0" applyFont="1" applyFill="1" applyBorder="1" applyAlignment="1">
      <alignment horizontal="center" vertical="top" wrapText="1"/>
    </xf>
    <xf numFmtId="0" fontId="169" fillId="6" borderId="6" xfId="0" applyFont="1" applyFill="1" applyBorder="1" applyAlignment="1">
      <alignment horizontal="center" vertical="center" wrapText="1"/>
    </xf>
    <xf numFmtId="0" fontId="169" fillId="6" borderId="17" xfId="0" applyFont="1" applyFill="1" applyBorder="1" applyAlignment="1">
      <alignment horizontal="center" vertical="center" wrapText="1"/>
    </xf>
    <xf numFmtId="0" fontId="169" fillId="6" borderId="0" xfId="0" applyFont="1" applyFill="1" applyBorder="1" applyAlignment="1">
      <alignment horizontal="center" vertical="center" wrapText="1"/>
    </xf>
    <xf numFmtId="0" fontId="169" fillId="6" borderId="7" xfId="0" applyFont="1" applyFill="1" applyBorder="1" applyAlignment="1">
      <alignment horizontal="center" vertical="center" wrapText="1"/>
    </xf>
    <xf numFmtId="0" fontId="169" fillId="6" borderId="9" xfId="0" applyFont="1" applyFill="1" applyBorder="1" applyAlignment="1">
      <alignment horizontal="center" vertical="center" wrapText="1"/>
    </xf>
    <xf numFmtId="0" fontId="169" fillId="6" borderId="16" xfId="0" applyFont="1" applyFill="1" applyBorder="1" applyAlignment="1">
      <alignment horizontal="center" vertical="center" wrapText="1"/>
    </xf>
    <xf numFmtId="0" fontId="169" fillId="6" borderId="13" xfId="0" applyFont="1" applyFill="1" applyBorder="1" applyAlignment="1">
      <alignment horizontal="center" vertical="top" wrapText="1"/>
    </xf>
    <xf numFmtId="0" fontId="169" fillId="6" borderId="9" xfId="0" applyFont="1" applyFill="1" applyBorder="1" applyAlignment="1">
      <alignment horizontal="center" vertical="top" wrapText="1"/>
    </xf>
    <xf numFmtId="0" fontId="18" fillId="2" borderId="23" xfId="0" applyFont="1" applyFill="1" applyBorder="1" applyAlignment="1">
      <alignment horizontal="center" vertical="center" wrapText="1"/>
    </xf>
    <xf numFmtId="0" fontId="35" fillId="0" borderId="6" xfId="0" applyFont="1" applyBorder="1" applyAlignment="1">
      <alignment horizontal="center"/>
    </xf>
    <xf numFmtId="0" fontId="169" fillId="6" borderId="16" xfId="0" applyFont="1" applyFill="1" applyBorder="1" applyAlignment="1">
      <alignment horizontal="center" vertical="top" wrapText="1"/>
    </xf>
    <xf numFmtId="0" fontId="169" fillId="6" borderId="0" xfId="0" applyFont="1" applyFill="1" applyBorder="1" applyAlignment="1">
      <alignment horizontal="center" vertical="top" wrapText="1"/>
    </xf>
    <xf numFmtId="0" fontId="169" fillId="6" borderId="7" xfId="0" applyFont="1" applyFill="1" applyBorder="1" applyAlignment="1">
      <alignment horizontal="center" vertical="top" wrapText="1"/>
    </xf>
    <xf numFmtId="0" fontId="169" fillId="4" borderId="13" xfId="0" applyFont="1" applyFill="1" applyBorder="1" applyAlignment="1">
      <alignment horizontal="center" vertical="top" wrapText="1"/>
    </xf>
    <xf numFmtId="0" fontId="169" fillId="4" borderId="16" xfId="0" applyFont="1" applyFill="1" applyBorder="1" applyAlignment="1">
      <alignment horizontal="center" vertical="top" wrapText="1"/>
    </xf>
    <xf numFmtId="0" fontId="169" fillId="6" borderId="52" xfId="0" applyFont="1" applyFill="1" applyBorder="1" applyAlignment="1">
      <alignment horizontal="center" wrapText="1"/>
    </xf>
    <xf numFmtId="0" fontId="169" fillId="6" borderId="54" xfId="0" applyFont="1" applyFill="1" applyBorder="1" applyAlignment="1">
      <alignment horizontal="center" wrapText="1"/>
    </xf>
    <xf numFmtId="0" fontId="169" fillId="5" borderId="52" xfId="0" applyFont="1" applyFill="1" applyBorder="1" applyAlignment="1">
      <alignment horizontal="center" vertical="top" wrapText="1"/>
    </xf>
    <xf numFmtId="0" fontId="169" fillId="5" borderId="54" xfId="0" applyFont="1" applyFill="1" applyBorder="1" applyAlignment="1">
      <alignment horizontal="center" vertical="top" wrapText="1"/>
    </xf>
    <xf numFmtId="0" fontId="10" fillId="4" borderId="8" xfId="0" applyFont="1" applyFill="1" applyBorder="1" applyAlignment="1">
      <alignment horizontal="center" vertical="top"/>
    </xf>
    <xf numFmtId="0" fontId="10" fillId="4" borderId="7" xfId="0" applyFont="1" applyFill="1" applyBorder="1" applyAlignment="1">
      <alignment horizontal="center" vertical="top"/>
    </xf>
    <xf numFmtId="0" fontId="18" fillId="7" borderId="22" xfId="0" applyFont="1" applyFill="1" applyBorder="1" applyAlignment="1">
      <alignment horizontal="center" vertical="center" wrapText="1"/>
    </xf>
    <xf numFmtId="0" fontId="18" fillId="7" borderId="23" xfId="0" applyFont="1" applyFill="1" applyBorder="1" applyAlignment="1">
      <alignment horizontal="center" vertical="center" wrapText="1"/>
    </xf>
    <xf numFmtId="0" fontId="18" fillId="6" borderId="23" xfId="0" applyFont="1" applyFill="1" applyBorder="1" applyAlignment="1">
      <alignment horizontal="center" vertical="center"/>
    </xf>
    <xf numFmtId="0" fontId="72" fillId="0" borderId="26" xfId="0" applyFont="1" applyFill="1" applyBorder="1" applyAlignment="1">
      <alignment horizontal="left" vertical="center"/>
    </xf>
    <xf numFmtId="0" fontId="18" fillId="0" borderId="23" xfId="0" applyFont="1" applyFill="1" applyBorder="1" applyAlignment="1">
      <alignment horizontal="left" vertical="center"/>
    </xf>
    <xf numFmtId="0" fontId="18" fillId="3" borderId="23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top"/>
    </xf>
    <xf numFmtId="0" fontId="16" fillId="2" borderId="8" xfId="0" applyFont="1" applyFill="1" applyBorder="1" applyAlignment="1">
      <alignment horizontal="center" vertical="top"/>
    </xf>
    <xf numFmtId="0" fontId="72" fillId="0" borderId="23" xfId="0" applyFont="1" applyFill="1" applyBorder="1" applyAlignment="1">
      <alignment horizontal="right" vertical="center"/>
    </xf>
    <xf numFmtId="0" fontId="72" fillId="0" borderId="25" xfId="0" applyFont="1" applyFill="1" applyBorder="1" applyAlignment="1">
      <alignment horizontal="right" vertical="center"/>
    </xf>
    <xf numFmtId="0" fontId="18" fillId="5" borderId="23" xfId="0" applyFont="1" applyFill="1" applyBorder="1" applyAlignment="1">
      <alignment horizontal="center" vertical="center"/>
    </xf>
    <xf numFmtId="0" fontId="169" fillId="4" borderId="65" xfId="0" applyFont="1" applyFill="1" applyBorder="1" applyAlignment="1">
      <alignment horizontal="center" vertical="top"/>
    </xf>
    <xf numFmtId="0" fontId="169" fillId="4" borderId="62" xfId="0" applyFont="1" applyFill="1" applyBorder="1" applyAlignment="1">
      <alignment horizontal="center" vertical="top"/>
    </xf>
    <xf numFmtId="0" fontId="9" fillId="8" borderId="0" xfId="0" applyFont="1" applyFill="1" applyBorder="1" applyAlignment="1">
      <alignment horizontal="center" vertical="top"/>
    </xf>
    <xf numFmtId="0" fontId="169" fillId="6" borderId="65" xfId="0" applyFont="1" applyFill="1" applyBorder="1" applyAlignment="1">
      <alignment horizontal="center" vertical="top"/>
    </xf>
    <xf numFmtId="0" fontId="169" fillId="6" borderId="62" xfId="0" applyFont="1" applyFill="1" applyBorder="1" applyAlignment="1">
      <alignment horizontal="center" vertical="top"/>
    </xf>
    <xf numFmtId="0" fontId="18" fillId="4" borderId="23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left" vertical="top"/>
    </xf>
    <xf numFmtId="0" fontId="9" fillId="6" borderId="7" xfId="0" applyFont="1" applyFill="1" applyBorder="1" applyAlignment="1">
      <alignment horizontal="left" vertical="top"/>
    </xf>
    <xf numFmtId="0" fontId="9" fillId="21" borderId="8" xfId="0" applyFont="1" applyFill="1" applyBorder="1" applyAlignment="1">
      <alignment horizontal="center" vertical="top"/>
    </xf>
    <xf numFmtId="0" fontId="9" fillId="21" borderId="7" xfId="0" applyFont="1" applyFill="1" applyBorder="1" applyAlignment="1">
      <alignment horizontal="center" vertical="top"/>
    </xf>
    <xf numFmtId="0" fontId="169" fillId="21" borderId="52" xfId="0" applyFont="1" applyFill="1" applyBorder="1" applyAlignment="1">
      <alignment horizontal="center" vertical="top" wrapText="1"/>
    </xf>
    <xf numFmtId="0" fontId="169" fillId="21" borderId="54" xfId="0" applyFont="1" applyFill="1" applyBorder="1" applyAlignment="1">
      <alignment horizontal="center" vertical="top" wrapText="1"/>
    </xf>
    <xf numFmtId="0" fontId="18" fillId="8" borderId="23" xfId="0" applyFont="1" applyFill="1" applyBorder="1" applyAlignment="1">
      <alignment horizontal="center" vertical="center"/>
    </xf>
    <xf numFmtId="0" fontId="18" fillId="8" borderId="24" xfId="0" applyFont="1" applyFill="1" applyBorder="1" applyAlignment="1">
      <alignment horizontal="center" vertical="center"/>
    </xf>
    <xf numFmtId="0" fontId="9" fillId="24" borderId="0" xfId="0" applyFont="1" applyFill="1" applyBorder="1" applyAlignment="1">
      <alignment horizontal="center" vertical="top"/>
    </xf>
    <xf numFmtId="0" fontId="13" fillId="24" borderId="9" xfId="0" applyFont="1" applyFill="1" applyBorder="1" applyAlignment="1">
      <alignment horizontal="center" vertical="top" wrapText="1"/>
    </xf>
    <xf numFmtId="0" fontId="9" fillId="8" borderId="65" xfId="0" applyFont="1" applyFill="1" applyBorder="1" applyAlignment="1">
      <alignment horizontal="center" vertical="center" wrapText="1"/>
    </xf>
    <xf numFmtId="0" fontId="9" fillId="8" borderId="62" xfId="0" applyFont="1" applyFill="1" applyBorder="1" applyAlignment="1">
      <alignment horizontal="center" vertical="center" wrapText="1"/>
    </xf>
    <xf numFmtId="0" fontId="169" fillId="8" borderId="65" xfId="0" applyFont="1" applyFill="1" applyBorder="1" applyAlignment="1">
      <alignment horizontal="center" vertical="top" wrapText="1"/>
    </xf>
    <xf numFmtId="0" fontId="169" fillId="8" borderId="62" xfId="0" applyFont="1" applyFill="1" applyBorder="1" applyAlignment="1">
      <alignment horizontal="center" vertical="top" wrapText="1"/>
    </xf>
    <xf numFmtId="0" fontId="169" fillId="3" borderId="9" xfId="0" applyFont="1" applyFill="1" applyBorder="1" applyAlignment="1">
      <alignment horizontal="center" vertical="top" wrapText="1"/>
    </xf>
    <xf numFmtId="0" fontId="169" fillId="3" borderId="63" xfId="0" applyFont="1" applyFill="1" applyBorder="1" applyAlignment="1">
      <alignment horizontal="center" vertical="top" wrapText="1"/>
    </xf>
    <xf numFmtId="0" fontId="169" fillId="2" borderId="0" xfId="0" applyFont="1" applyFill="1" applyBorder="1" applyAlignment="1">
      <alignment horizontal="center" vertical="top" wrapText="1"/>
    </xf>
    <xf numFmtId="0" fontId="169" fillId="2" borderId="7" xfId="0" applyFont="1" applyFill="1" applyBorder="1" applyAlignment="1">
      <alignment horizontal="center" vertical="top" wrapText="1"/>
    </xf>
    <xf numFmtId="0" fontId="16" fillId="2" borderId="7" xfId="0" applyFont="1" applyFill="1" applyBorder="1" applyAlignment="1">
      <alignment horizontal="center" vertical="top"/>
    </xf>
    <xf numFmtId="0" fontId="173" fillId="2" borderId="0" xfId="0" applyFont="1" applyFill="1" applyBorder="1" applyAlignment="1">
      <alignment horizontal="center" vertical="top" wrapText="1"/>
    </xf>
    <xf numFmtId="0" fontId="173" fillId="2" borderId="13" xfId="0" applyFont="1" applyFill="1" applyBorder="1" applyAlignment="1">
      <alignment horizontal="center" vertical="top" wrapText="1"/>
    </xf>
    <xf numFmtId="0" fontId="173" fillId="2" borderId="9" xfId="0" applyFont="1" applyFill="1" applyBorder="1" applyAlignment="1">
      <alignment horizontal="center" vertical="top" wrapText="1"/>
    </xf>
    <xf numFmtId="0" fontId="9" fillId="24" borderId="8" xfId="0" applyFont="1" applyFill="1" applyBorder="1" applyAlignment="1">
      <alignment horizontal="center" vertical="top"/>
    </xf>
    <xf numFmtId="0" fontId="9" fillId="24" borderId="7" xfId="0" applyFont="1" applyFill="1" applyBorder="1" applyAlignment="1">
      <alignment horizontal="center" vertical="top"/>
    </xf>
    <xf numFmtId="0" fontId="9" fillId="6" borderId="65" xfId="0" applyFont="1" applyFill="1" applyBorder="1" applyAlignment="1">
      <alignment horizontal="center" vertical="center"/>
    </xf>
    <xf numFmtId="0" fontId="9" fillId="6" borderId="62" xfId="0" applyFont="1" applyFill="1" applyBorder="1" applyAlignment="1">
      <alignment horizontal="center" vertical="center"/>
    </xf>
    <xf numFmtId="0" fontId="169" fillId="21" borderId="52" xfId="0" applyFont="1" applyFill="1" applyBorder="1" applyAlignment="1">
      <alignment horizontal="center" wrapText="1"/>
    </xf>
    <xf numFmtId="0" fontId="169" fillId="21" borderId="54" xfId="0" applyFont="1" applyFill="1" applyBorder="1" applyAlignment="1">
      <alignment horizontal="center" wrapText="1"/>
    </xf>
    <xf numFmtId="0" fontId="20" fillId="6" borderId="0" xfId="0" applyFont="1" applyFill="1" applyBorder="1" applyAlignment="1">
      <alignment horizontal="center" vertical="top"/>
    </xf>
    <xf numFmtId="0" fontId="169" fillId="6" borderId="8" xfId="0" applyFont="1" applyFill="1" applyBorder="1" applyAlignment="1">
      <alignment horizontal="center" vertical="top" wrapText="1"/>
    </xf>
    <xf numFmtId="0" fontId="13" fillId="6" borderId="17" xfId="0" applyFont="1" applyFill="1" applyBorder="1" applyAlignment="1">
      <alignment vertical="top" textRotation="90" wrapText="1"/>
    </xf>
    <xf numFmtId="0" fontId="13" fillId="6" borderId="7" xfId="0" applyFont="1" applyFill="1" applyBorder="1" applyAlignment="1">
      <alignment vertical="top" textRotation="90" wrapText="1"/>
    </xf>
    <xf numFmtId="0" fontId="13" fillId="6" borderId="16" xfId="0" applyFont="1" applyFill="1" applyBorder="1" applyAlignment="1">
      <alignment vertical="top" textRotation="90" wrapText="1"/>
    </xf>
    <xf numFmtId="0" fontId="13" fillId="6" borderId="13" xfId="0" applyFont="1" applyFill="1" applyBorder="1" applyAlignment="1">
      <alignment horizontal="center" vertical="top" wrapText="1"/>
    </xf>
    <xf numFmtId="0" fontId="13" fillId="6" borderId="9" xfId="0" applyFont="1" applyFill="1" applyBorder="1" applyAlignment="1">
      <alignment horizontal="center" vertical="top" wrapText="1"/>
    </xf>
    <xf numFmtId="0" fontId="69" fillId="0" borderId="6" xfId="0" applyFont="1" applyBorder="1" applyAlignment="1">
      <alignment horizontal="center"/>
    </xf>
    <xf numFmtId="0" fontId="18" fillId="0" borderId="23" xfId="0" applyFont="1" applyFill="1" applyBorder="1" applyAlignment="1">
      <alignment horizontal="right" vertical="center"/>
    </xf>
    <xf numFmtId="0" fontId="18" fillId="0" borderId="25" xfId="0" applyFont="1" applyFill="1" applyBorder="1" applyAlignment="1">
      <alignment horizontal="right" vertical="center"/>
    </xf>
    <xf numFmtId="0" fontId="20" fillId="4" borderId="6" xfId="0" applyFont="1" applyFill="1" applyBorder="1" applyAlignment="1">
      <alignment horizontal="right" vertical="top"/>
    </xf>
    <xf numFmtId="0" fontId="20" fillId="4" borderId="17" xfId="0" applyFont="1" applyFill="1" applyBorder="1" applyAlignment="1">
      <alignment horizontal="right" vertical="top"/>
    </xf>
    <xf numFmtId="0" fontId="16" fillId="10" borderId="8" xfId="0" applyFont="1" applyFill="1" applyBorder="1" applyAlignment="1">
      <alignment horizontal="center" vertical="top"/>
    </xf>
    <xf numFmtId="0" fontId="16" fillId="10" borderId="0" xfId="0" applyFont="1" applyFill="1" applyBorder="1" applyAlignment="1">
      <alignment horizontal="center" vertical="top"/>
    </xf>
    <xf numFmtId="0" fontId="13" fillId="8" borderId="51" xfId="0" applyFont="1" applyFill="1" applyBorder="1" applyAlignment="1">
      <alignment horizontal="right" vertical="top" textRotation="90" wrapText="1"/>
    </xf>
    <xf numFmtId="0" fontId="13" fillId="8" borderId="7" xfId="0" applyFont="1" applyFill="1" applyBorder="1" applyAlignment="1">
      <alignment horizontal="right" vertical="top" textRotation="90" wrapText="1"/>
    </xf>
    <xf numFmtId="0" fontId="13" fillId="8" borderId="54" xfId="0" applyFont="1" applyFill="1" applyBorder="1" applyAlignment="1">
      <alignment horizontal="right" vertical="top" textRotation="90" wrapText="1"/>
    </xf>
    <xf numFmtId="0" fontId="13" fillId="5" borderId="13" xfId="0" applyFont="1" applyFill="1" applyBorder="1" applyAlignment="1">
      <alignment horizontal="center" vertical="top" wrapText="1"/>
    </xf>
    <xf numFmtId="0" fontId="13" fillId="5" borderId="9" xfId="0" applyFont="1" applyFill="1" applyBorder="1" applyAlignment="1">
      <alignment horizontal="center" vertical="top" wrapText="1"/>
    </xf>
    <xf numFmtId="0" fontId="13" fillId="5" borderId="16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16" fillId="9" borderId="8" xfId="0" applyFont="1" applyFill="1" applyBorder="1" applyAlignment="1">
      <alignment horizontal="center" vertical="top"/>
    </xf>
    <xf numFmtId="0" fontId="16" fillId="9" borderId="0" xfId="0" applyFont="1" applyFill="1" applyBorder="1" applyAlignment="1">
      <alignment horizontal="center" vertical="top"/>
    </xf>
    <xf numFmtId="0" fontId="16" fillId="9" borderId="7" xfId="0" applyFont="1" applyFill="1" applyBorder="1" applyAlignment="1">
      <alignment horizontal="center" vertical="top"/>
    </xf>
    <xf numFmtId="0" fontId="26" fillId="4" borderId="0" xfId="0" applyFont="1" applyFill="1" applyBorder="1" applyAlignment="1">
      <alignment horizontal="center" vertical="top"/>
    </xf>
    <xf numFmtId="0" fontId="13" fillId="4" borderId="52" xfId="0" applyFont="1" applyFill="1" applyBorder="1" applyAlignment="1">
      <alignment horizontal="center" vertical="top" wrapText="1"/>
    </xf>
    <xf numFmtId="0" fontId="13" fillId="4" borderId="53" xfId="0" applyFont="1" applyFill="1" applyBorder="1" applyAlignment="1">
      <alignment horizontal="center" vertical="top" wrapText="1"/>
    </xf>
    <xf numFmtId="0" fontId="13" fillId="4" borderId="54" xfId="0" applyFont="1" applyFill="1" applyBorder="1" applyAlignment="1">
      <alignment horizontal="center" vertical="top" wrapText="1"/>
    </xf>
    <xf numFmtId="0" fontId="13" fillId="4" borderId="13" xfId="0" applyFont="1" applyFill="1" applyBorder="1" applyAlignment="1">
      <alignment horizontal="center" vertical="top" wrapText="1"/>
    </xf>
    <xf numFmtId="0" fontId="13" fillId="4" borderId="9" xfId="0" applyFont="1" applyFill="1" applyBorder="1" applyAlignment="1">
      <alignment horizontal="center" vertical="top" wrapText="1"/>
    </xf>
    <xf numFmtId="0" fontId="13" fillId="4" borderId="16" xfId="0" applyFont="1" applyFill="1" applyBorder="1" applyAlignment="1">
      <alignment horizontal="center" vertical="top" wrapText="1"/>
    </xf>
    <xf numFmtId="0" fontId="13" fillId="3" borderId="8" xfId="0" applyFont="1" applyFill="1" applyBorder="1" applyAlignment="1">
      <alignment horizontal="center" vertical="top" wrapText="1"/>
    </xf>
    <xf numFmtId="0" fontId="13" fillId="3" borderId="0" xfId="0" applyFont="1" applyFill="1" applyBorder="1" applyAlignment="1">
      <alignment horizontal="center" vertical="top" wrapText="1"/>
    </xf>
    <xf numFmtId="0" fontId="13" fillId="3" borderId="7" xfId="0" applyFont="1" applyFill="1" applyBorder="1" applyAlignment="1">
      <alignment horizontal="center" vertical="top" wrapText="1"/>
    </xf>
    <xf numFmtId="0" fontId="13" fillId="4" borderId="8" xfId="0" applyFont="1" applyFill="1" applyBorder="1" applyAlignment="1">
      <alignment horizontal="center" vertical="top" wrapText="1"/>
    </xf>
    <xf numFmtId="0" fontId="13" fillId="4" borderId="0" xfId="0" applyFont="1" applyFill="1" applyBorder="1" applyAlignment="1">
      <alignment horizontal="center" vertical="top" wrapText="1"/>
    </xf>
    <xf numFmtId="0" fontId="13" fillId="4" borderId="7" xfId="0" applyFont="1" applyFill="1" applyBorder="1" applyAlignment="1">
      <alignment horizontal="center" vertical="top" wrapText="1"/>
    </xf>
    <xf numFmtId="0" fontId="9" fillId="8" borderId="57" xfId="0" applyFont="1" applyFill="1" applyBorder="1" applyAlignment="1">
      <alignment horizontal="center" vertical="center" wrapText="1"/>
    </xf>
    <xf numFmtId="0" fontId="9" fillId="8" borderId="0" xfId="0" applyFont="1" applyFill="1" applyBorder="1" applyAlignment="1">
      <alignment horizontal="center" vertical="center" wrapText="1"/>
    </xf>
    <xf numFmtId="0" fontId="9" fillId="8" borderId="58" xfId="0" applyFont="1" applyFill="1" applyBorder="1" applyAlignment="1">
      <alignment horizontal="center" vertical="center" wrapText="1"/>
    </xf>
    <xf numFmtId="0" fontId="13" fillId="6" borderId="57" xfId="0" applyFont="1" applyFill="1" applyBorder="1" applyAlignment="1">
      <alignment horizontal="center" vertical="top" wrapText="1"/>
    </xf>
    <xf numFmtId="0" fontId="13" fillId="6" borderId="0" xfId="0" applyFont="1" applyFill="1" applyBorder="1" applyAlignment="1">
      <alignment horizontal="center" vertical="top" wrapText="1"/>
    </xf>
    <xf numFmtId="0" fontId="13" fillId="6" borderId="58" xfId="0" applyFont="1" applyFill="1" applyBorder="1" applyAlignment="1">
      <alignment horizontal="center" vertical="top" wrapText="1"/>
    </xf>
    <xf numFmtId="0" fontId="13" fillId="6" borderId="59" xfId="0" applyFont="1" applyFill="1" applyBorder="1" applyAlignment="1">
      <alignment horizontal="center" vertical="top" wrapText="1"/>
    </xf>
    <xf numFmtId="0" fontId="13" fillId="6" borderId="60" xfId="0" applyFont="1" applyFill="1" applyBorder="1" applyAlignment="1">
      <alignment horizontal="center" vertical="top" wrapText="1"/>
    </xf>
    <xf numFmtId="0" fontId="13" fillId="5" borderId="56" xfId="0" applyFont="1" applyFill="1" applyBorder="1" applyAlignment="1">
      <alignment horizontal="right" vertical="top" textRotation="90" wrapText="1"/>
    </xf>
    <xf numFmtId="0" fontId="13" fillId="5" borderId="58" xfId="0" applyFont="1" applyFill="1" applyBorder="1" applyAlignment="1">
      <alignment horizontal="right" vertical="top" textRotation="90" wrapText="1"/>
    </xf>
    <xf numFmtId="0" fontId="13" fillId="5" borderId="60" xfId="0" applyFont="1" applyFill="1" applyBorder="1" applyAlignment="1">
      <alignment horizontal="right" vertical="top" textRotation="90" wrapText="1"/>
    </xf>
    <xf numFmtId="0" fontId="13" fillId="4" borderId="57" xfId="0" applyFont="1" applyFill="1" applyBorder="1" applyAlignment="1">
      <alignment horizontal="center" vertical="top"/>
    </xf>
    <xf numFmtId="0" fontId="13" fillId="4" borderId="0" xfId="0" applyFont="1" applyFill="1" applyBorder="1" applyAlignment="1">
      <alignment horizontal="center" vertical="top"/>
    </xf>
    <xf numFmtId="0" fontId="13" fillId="4" borderId="58" xfId="0" applyFont="1" applyFill="1" applyBorder="1" applyAlignment="1">
      <alignment horizontal="center" vertical="top"/>
    </xf>
    <xf numFmtId="0" fontId="13" fillId="8" borderId="57" xfId="0" applyFont="1" applyFill="1" applyBorder="1" applyAlignment="1">
      <alignment horizontal="center" vertical="top" wrapText="1"/>
    </xf>
    <xf numFmtId="0" fontId="13" fillId="8" borderId="0" xfId="0" applyFont="1" applyFill="1" applyBorder="1" applyAlignment="1">
      <alignment horizontal="center" vertical="top" wrapText="1"/>
    </xf>
    <xf numFmtId="0" fontId="13" fillId="8" borderId="58" xfId="0" applyFont="1" applyFill="1" applyBorder="1" applyAlignment="1">
      <alignment horizontal="center" vertical="top" wrapText="1"/>
    </xf>
    <xf numFmtId="0" fontId="9" fillId="5" borderId="57" xfId="0" applyFont="1" applyFill="1" applyBorder="1" applyAlignment="1">
      <alignment horizontal="center" vertical="top"/>
    </xf>
    <xf numFmtId="0" fontId="10" fillId="9" borderId="0" xfId="0" applyFont="1" applyFill="1" applyBorder="1" applyAlignment="1">
      <alignment horizontal="center" vertical="top"/>
    </xf>
    <xf numFmtId="0" fontId="16" fillId="10" borderId="7" xfId="0" applyFont="1" applyFill="1" applyBorder="1" applyAlignment="1">
      <alignment horizontal="center" vertical="top"/>
    </xf>
    <xf numFmtId="0" fontId="16" fillId="10" borderId="58" xfId="0" applyFont="1" applyFill="1" applyBorder="1" applyAlignment="1">
      <alignment horizontal="center" vertical="top"/>
    </xf>
    <xf numFmtId="0" fontId="13" fillId="3" borderId="9" xfId="0" applyFont="1" applyFill="1" applyBorder="1" applyAlignment="1">
      <alignment horizontal="center" vertical="top" wrapText="1"/>
    </xf>
    <xf numFmtId="0" fontId="13" fillId="2" borderId="0" xfId="0" applyFont="1" applyFill="1" applyBorder="1" applyAlignment="1">
      <alignment horizontal="center" vertical="top" wrapText="1"/>
    </xf>
    <xf numFmtId="0" fontId="13" fillId="2" borderId="7" xfId="0" applyFont="1" applyFill="1" applyBorder="1" applyAlignment="1">
      <alignment horizontal="center" vertical="top" wrapText="1"/>
    </xf>
    <xf numFmtId="0" fontId="13" fillId="2" borderId="140" xfId="0" applyFont="1" applyFill="1" applyBorder="1" applyAlignment="1">
      <alignment horizontal="center" vertical="top" wrapText="1"/>
    </xf>
    <xf numFmtId="0" fontId="13" fillId="2" borderId="141" xfId="0" applyFont="1" applyFill="1" applyBorder="1" applyAlignment="1">
      <alignment horizontal="center" vertical="top" wrapText="1"/>
    </xf>
    <xf numFmtId="0" fontId="13" fillId="2" borderId="142" xfId="0" applyFont="1" applyFill="1" applyBorder="1" applyAlignment="1">
      <alignment horizontal="center" vertical="top" wrapText="1"/>
    </xf>
    <xf numFmtId="0" fontId="30" fillId="6" borderId="57" xfId="0" applyFont="1" applyFill="1" applyBorder="1" applyAlignment="1">
      <alignment horizontal="center" vertical="center"/>
    </xf>
    <xf numFmtId="0" fontId="30" fillId="6" borderId="0" xfId="0" applyFont="1" applyFill="1" applyBorder="1" applyAlignment="1">
      <alignment horizontal="center" vertical="center"/>
    </xf>
    <xf numFmtId="0" fontId="30" fillId="6" borderId="58" xfId="0" applyFont="1" applyFill="1" applyBorder="1" applyAlignment="1">
      <alignment horizontal="center" vertical="center"/>
    </xf>
    <xf numFmtId="0" fontId="29" fillId="3" borderId="59" xfId="0" applyFont="1" applyFill="1" applyBorder="1" applyAlignment="1">
      <alignment horizontal="center" vertical="top" wrapText="1"/>
    </xf>
    <xf numFmtId="0" fontId="29" fillId="3" borderId="9" xfId="0" applyFont="1" applyFill="1" applyBorder="1" applyAlignment="1">
      <alignment horizontal="center" vertical="top" wrapText="1"/>
    </xf>
    <xf numFmtId="0" fontId="29" fillId="3" borderId="60" xfId="0" applyFont="1" applyFill="1" applyBorder="1" applyAlignment="1">
      <alignment horizontal="center" vertical="top" wrapText="1"/>
    </xf>
    <xf numFmtId="0" fontId="29" fillId="2" borderId="0" xfId="0" applyFont="1" applyFill="1" applyBorder="1" applyAlignment="1">
      <alignment horizontal="center" vertical="top" wrapText="1"/>
    </xf>
    <xf numFmtId="0" fontId="29" fillId="2" borderId="13" xfId="0" applyFont="1" applyFill="1" applyBorder="1" applyAlignment="1">
      <alignment horizontal="center" vertical="top" wrapText="1"/>
    </xf>
    <xf numFmtId="0" fontId="29" fillId="2" borderId="9" xfId="0" applyFont="1" applyFill="1" applyBorder="1" applyAlignment="1">
      <alignment horizontal="center" vertical="top" wrapText="1"/>
    </xf>
    <xf numFmtId="0" fontId="9" fillId="4" borderId="57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9" fillId="4" borderId="58" xfId="0" applyFont="1" applyFill="1" applyBorder="1" applyAlignment="1">
      <alignment horizontal="center" vertical="center" wrapText="1"/>
    </xf>
    <xf numFmtId="0" fontId="38" fillId="5" borderId="56" xfId="0" applyFont="1" applyFill="1" applyBorder="1" applyAlignment="1">
      <alignment horizontal="center" vertical="top" textRotation="90" wrapText="1"/>
    </xf>
    <xf numFmtId="0" fontId="38" fillId="5" borderId="58" xfId="0" applyFont="1" applyFill="1" applyBorder="1" applyAlignment="1">
      <alignment horizontal="center" vertical="top" textRotation="90" wrapText="1"/>
    </xf>
    <xf numFmtId="0" fontId="38" fillId="5" borderId="60" xfId="0" applyFont="1" applyFill="1" applyBorder="1" applyAlignment="1">
      <alignment horizontal="center" vertical="top" textRotation="90" wrapText="1"/>
    </xf>
    <xf numFmtId="0" fontId="29" fillId="5" borderId="56" xfId="0" applyFont="1" applyFill="1" applyBorder="1" applyAlignment="1">
      <alignment horizontal="right" vertical="top" textRotation="90" wrapText="1"/>
    </xf>
    <xf numFmtId="0" fontId="29" fillId="5" borderId="58" xfId="0" applyFont="1" applyFill="1" applyBorder="1" applyAlignment="1">
      <alignment horizontal="right" vertical="top" textRotation="90" wrapText="1"/>
    </xf>
    <xf numFmtId="0" fontId="29" fillId="5" borderId="60" xfId="0" applyFont="1" applyFill="1" applyBorder="1" applyAlignment="1">
      <alignment horizontal="right" vertical="top" textRotation="90" wrapText="1"/>
    </xf>
    <xf numFmtId="0" fontId="10" fillId="9" borderId="57" xfId="0" applyFont="1" applyFill="1" applyBorder="1" applyAlignment="1">
      <alignment horizontal="center" vertical="top"/>
    </xf>
    <xf numFmtId="0" fontId="10" fillId="9" borderId="58" xfId="0" applyFont="1" applyFill="1" applyBorder="1" applyAlignment="1">
      <alignment horizontal="center" vertical="top"/>
    </xf>
    <xf numFmtId="0" fontId="13" fillId="3" borderId="13" xfId="0" applyFont="1" applyFill="1" applyBorder="1" applyAlignment="1">
      <alignment horizontal="center" vertical="top" wrapText="1"/>
    </xf>
    <xf numFmtId="0" fontId="13" fillId="3" borderId="16" xfId="0" applyFont="1" applyFill="1" applyBorder="1" applyAlignment="1">
      <alignment horizontal="center" vertical="top" wrapText="1"/>
    </xf>
    <xf numFmtId="0" fontId="13" fillId="3" borderId="52" xfId="0" applyFont="1" applyFill="1" applyBorder="1" applyAlignment="1">
      <alignment horizontal="center" vertical="top" wrapText="1"/>
    </xf>
    <xf numFmtId="0" fontId="13" fillId="3" borderId="53" xfId="0" applyFont="1" applyFill="1" applyBorder="1" applyAlignment="1">
      <alignment horizontal="center" vertical="top" wrapText="1"/>
    </xf>
    <xf numFmtId="0" fontId="13" fillId="3" borderId="54" xfId="0" applyFont="1" applyFill="1" applyBorder="1" applyAlignment="1">
      <alignment horizontal="center" vertical="top" wrapText="1"/>
    </xf>
    <xf numFmtId="0" fontId="20" fillId="8" borderId="6" xfId="0" applyFont="1" applyFill="1" applyBorder="1" applyAlignment="1">
      <alignment horizontal="right" vertical="top"/>
    </xf>
    <xf numFmtId="0" fontId="20" fillId="8" borderId="17" xfId="0" applyFont="1" applyFill="1" applyBorder="1" applyAlignment="1">
      <alignment horizontal="right" vertical="top"/>
    </xf>
    <xf numFmtId="0" fontId="13" fillId="8" borderId="13" xfId="0" applyFont="1" applyFill="1" applyBorder="1" applyAlignment="1">
      <alignment horizontal="center" vertical="top" wrapText="1"/>
    </xf>
    <xf numFmtId="0" fontId="13" fillId="8" borderId="9" xfId="0" applyFont="1" applyFill="1" applyBorder="1" applyAlignment="1">
      <alignment horizontal="center" vertical="top" wrapText="1"/>
    </xf>
    <xf numFmtId="0" fontId="13" fillId="8" borderId="16" xfId="0" applyFont="1" applyFill="1" applyBorder="1" applyAlignment="1">
      <alignment horizontal="center" vertical="top" wrapText="1"/>
    </xf>
    <xf numFmtId="0" fontId="13" fillId="6" borderId="17" xfId="0" applyFont="1" applyFill="1" applyBorder="1" applyAlignment="1">
      <alignment horizontal="right" vertical="top" textRotation="90" wrapText="1"/>
    </xf>
    <xf numFmtId="0" fontId="13" fillId="6" borderId="7" xfId="0" applyFont="1" applyFill="1" applyBorder="1" applyAlignment="1">
      <alignment horizontal="right" vertical="top" textRotation="90" wrapText="1"/>
    </xf>
    <xf numFmtId="0" fontId="13" fillId="6" borderId="16" xfId="0" applyFont="1" applyFill="1" applyBorder="1" applyAlignment="1">
      <alignment horizontal="right" vertical="top" textRotation="90" wrapText="1"/>
    </xf>
    <xf numFmtId="0" fontId="29" fillId="24" borderId="9" xfId="0" applyFont="1" applyFill="1" applyBorder="1" applyAlignment="1">
      <alignment horizontal="center" vertical="top" wrapText="1"/>
    </xf>
    <xf numFmtId="0" fontId="29" fillId="6" borderId="52" xfId="0" applyFont="1" applyFill="1" applyBorder="1" applyAlignment="1">
      <alignment horizontal="center" vertical="top" wrapText="1"/>
    </xf>
    <xf numFmtId="0" fontId="29" fillId="6" borderId="53" xfId="0" applyFont="1" applyFill="1" applyBorder="1" applyAlignment="1">
      <alignment horizontal="center" vertical="top" wrapText="1"/>
    </xf>
    <xf numFmtId="0" fontId="29" fillId="6" borderId="54" xfId="0" applyFont="1" applyFill="1" applyBorder="1" applyAlignment="1">
      <alignment horizontal="center" vertical="top" wrapText="1"/>
    </xf>
    <xf numFmtId="0" fontId="29" fillId="4" borderId="52" xfId="0" applyFont="1" applyFill="1" applyBorder="1" applyAlignment="1">
      <alignment horizontal="center" vertical="top" wrapText="1"/>
    </xf>
    <xf numFmtId="0" fontId="29" fillId="4" borderId="53" xfId="0" applyFont="1" applyFill="1" applyBorder="1" applyAlignment="1">
      <alignment horizontal="center" vertical="top" wrapText="1"/>
    </xf>
    <xf numFmtId="0" fontId="29" fillId="4" borderId="54" xfId="0" applyFont="1" applyFill="1" applyBorder="1" applyAlignment="1">
      <alignment horizontal="center" vertical="top" wrapText="1"/>
    </xf>
    <xf numFmtId="0" fontId="180" fillId="21" borderId="52" xfId="0" applyFont="1" applyFill="1" applyBorder="1" applyAlignment="1">
      <alignment horizontal="center" vertical="top" wrapText="1"/>
    </xf>
    <xf numFmtId="0" fontId="180" fillId="21" borderId="53" xfId="0" applyFont="1" applyFill="1" applyBorder="1" applyAlignment="1">
      <alignment horizontal="center" vertical="top" wrapText="1"/>
    </xf>
    <xf numFmtId="0" fontId="13" fillId="21" borderId="51" xfId="0" applyFont="1" applyFill="1" applyBorder="1" applyAlignment="1">
      <alignment horizontal="right" vertical="top" textRotation="90" wrapText="1"/>
    </xf>
    <xf numFmtId="0" fontId="13" fillId="21" borderId="7" xfId="0" applyFont="1" applyFill="1" applyBorder="1" applyAlignment="1">
      <alignment horizontal="right" vertical="top" textRotation="90" wrapText="1"/>
    </xf>
    <xf numFmtId="0" fontId="13" fillId="21" borderId="54" xfId="0" applyFont="1" applyFill="1" applyBorder="1" applyAlignment="1">
      <alignment horizontal="right" vertical="top" textRotation="90" wrapText="1"/>
    </xf>
    <xf numFmtId="0" fontId="161" fillId="21" borderId="52" xfId="0" applyFont="1" applyFill="1" applyBorder="1" applyAlignment="1">
      <alignment horizontal="center" wrapText="1"/>
    </xf>
    <xf numFmtId="0" fontId="160" fillId="21" borderId="53" xfId="0" applyFont="1" applyFill="1" applyBorder="1" applyAlignment="1">
      <alignment horizontal="center" wrapText="1"/>
    </xf>
    <xf numFmtId="0" fontId="13" fillId="24" borderId="51" xfId="0" applyFont="1" applyFill="1" applyBorder="1" applyAlignment="1">
      <alignment horizontal="right" vertical="top" textRotation="90" wrapText="1"/>
    </xf>
    <xf numFmtId="0" fontId="13" fillId="24" borderId="7" xfId="0" applyFont="1" applyFill="1" applyBorder="1" applyAlignment="1">
      <alignment horizontal="right" vertical="top" textRotation="90" wrapText="1"/>
    </xf>
    <xf numFmtId="0" fontId="13" fillId="24" borderId="54" xfId="0" applyFont="1" applyFill="1" applyBorder="1" applyAlignment="1">
      <alignment horizontal="right" vertical="top" textRotation="90" wrapText="1"/>
    </xf>
    <xf numFmtId="0" fontId="180" fillId="24" borderId="52" xfId="0" applyFont="1" applyFill="1" applyBorder="1" applyAlignment="1">
      <alignment horizontal="center" vertical="top" wrapText="1"/>
    </xf>
    <xf numFmtId="0" fontId="180" fillId="24" borderId="53" xfId="0" applyFont="1" applyFill="1" applyBorder="1" applyAlignment="1">
      <alignment horizontal="center" vertical="top" wrapText="1"/>
    </xf>
    <xf numFmtId="0" fontId="19" fillId="6" borderId="8" xfId="0" applyFont="1" applyFill="1" applyBorder="1" applyAlignment="1">
      <alignment horizontal="center" vertical="top"/>
    </xf>
    <xf numFmtId="0" fontId="19" fillId="6" borderId="0" xfId="0" applyFont="1" applyFill="1" applyBorder="1" applyAlignment="1">
      <alignment horizontal="center" vertical="top"/>
    </xf>
    <xf numFmtId="0" fontId="13" fillId="6" borderId="52" xfId="0" applyFont="1" applyFill="1" applyBorder="1" applyAlignment="1">
      <alignment horizontal="center" vertical="top" wrapText="1"/>
    </xf>
    <xf numFmtId="0" fontId="13" fillId="6" borderId="53" xfId="0" applyFont="1" applyFill="1" applyBorder="1" applyAlignment="1">
      <alignment horizontal="center" vertical="top" wrapText="1"/>
    </xf>
    <xf numFmtId="0" fontId="9" fillId="24" borderId="8" xfId="0" applyFont="1" applyFill="1" applyBorder="1" applyAlignment="1">
      <alignment horizontal="right" vertical="top"/>
    </xf>
    <xf numFmtId="0" fontId="9" fillId="24" borderId="0" xfId="0" applyFont="1" applyFill="1" applyBorder="1" applyAlignment="1">
      <alignment horizontal="right" vertical="top"/>
    </xf>
    <xf numFmtId="0" fontId="9" fillId="24" borderId="8" xfId="0" applyFont="1" applyFill="1" applyBorder="1" applyAlignment="1">
      <alignment horizontal="left" vertical="top"/>
    </xf>
    <xf numFmtId="0" fontId="9" fillId="24" borderId="0" xfId="0" applyFont="1" applyFill="1" applyBorder="1" applyAlignment="1">
      <alignment horizontal="left" vertical="top"/>
    </xf>
    <xf numFmtId="0" fontId="13" fillId="6" borderId="51" xfId="0" applyFont="1" applyFill="1" applyBorder="1" applyAlignment="1">
      <alignment horizontal="center" vertical="top" textRotation="90" wrapText="1"/>
    </xf>
    <xf numFmtId="0" fontId="13" fillId="6" borderId="7" xfId="0" applyFont="1" applyFill="1" applyBorder="1" applyAlignment="1">
      <alignment horizontal="center" vertical="top" textRotation="90" wrapText="1"/>
    </xf>
    <xf numFmtId="0" fontId="13" fillId="6" borderId="54" xfId="0" applyFont="1" applyFill="1" applyBorder="1" applyAlignment="1">
      <alignment horizontal="center" vertical="top" textRotation="90" wrapText="1"/>
    </xf>
    <xf numFmtId="0" fontId="13" fillId="6" borderId="51" xfId="0" applyFont="1" applyFill="1" applyBorder="1" applyAlignment="1">
      <alignment horizontal="right" vertical="top" textRotation="90" wrapText="1"/>
    </xf>
    <xf numFmtId="0" fontId="13" fillId="6" borderId="54" xfId="0" applyFont="1" applyFill="1" applyBorder="1" applyAlignment="1">
      <alignment horizontal="right" vertical="top" textRotation="90" wrapText="1"/>
    </xf>
    <xf numFmtId="0" fontId="9" fillId="6" borderId="8" xfId="0" applyFont="1" applyFill="1" applyBorder="1" applyAlignment="1">
      <alignment horizontal="right" vertical="top"/>
    </xf>
    <xf numFmtId="0" fontId="9" fillId="6" borderId="0" xfId="0" applyFont="1" applyFill="1" applyBorder="1" applyAlignment="1">
      <alignment horizontal="right" vertical="top"/>
    </xf>
    <xf numFmtId="0" fontId="20" fillId="4" borderId="50" xfId="0" applyFont="1" applyFill="1" applyBorder="1" applyAlignment="1">
      <alignment horizontal="right" vertical="top"/>
    </xf>
    <xf numFmtId="0" fontId="20" fillId="4" borderId="51" xfId="0" applyFont="1" applyFill="1" applyBorder="1" applyAlignment="1">
      <alignment horizontal="right" vertical="top"/>
    </xf>
    <xf numFmtId="0" fontId="13" fillId="21" borderId="51" xfId="0" applyFont="1" applyFill="1" applyBorder="1" applyAlignment="1">
      <alignment horizontal="center" vertical="top" textRotation="90" wrapText="1"/>
    </xf>
    <xf numFmtId="0" fontId="13" fillId="21" borderId="7" xfId="0" applyFont="1" applyFill="1" applyBorder="1" applyAlignment="1">
      <alignment horizontal="center" vertical="top" textRotation="90" wrapText="1"/>
    </xf>
    <xf numFmtId="0" fontId="13" fillId="21" borderId="54" xfId="0" applyFont="1" applyFill="1" applyBorder="1" applyAlignment="1">
      <alignment horizontal="center" vertical="top" textRotation="90" wrapText="1"/>
    </xf>
    <xf numFmtId="0" fontId="9" fillId="21" borderId="0" xfId="0" applyFont="1" applyFill="1" applyBorder="1" applyAlignment="1">
      <alignment horizontal="center" vertical="top"/>
    </xf>
    <xf numFmtId="0" fontId="13" fillId="5" borderId="17" xfId="0" applyFont="1" applyFill="1" applyBorder="1" applyAlignment="1">
      <alignment horizontal="right" vertical="top" textRotation="90" wrapText="1"/>
    </xf>
    <xf numFmtId="0" fontId="13" fillId="5" borderId="7" xfId="0" applyFont="1" applyFill="1" applyBorder="1" applyAlignment="1">
      <alignment horizontal="right" vertical="top" textRotation="90" wrapText="1"/>
    </xf>
    <xf numFmtId="0" fontId="13" fillId="5" borderId="16" xfId="0" applyFont="1" applyFill="1" applyBorder="1" applyAlignment="1">
      <alignment horizontal="right" vertical="top" textRotation="90" wrapText="1"/>
    </xf>
    <xf numFmtId="0" fontId="13" fillId="5" borderId="51" xfId="0" applyFont="1" applyFill="1" applyBorder="1" applyAlignment="1">
      <alignment horizontal="right" vertical="top" textRotation="90" wrapText="1"/>
    </xf>
    <xf numFmtId="0" fontId="13" fillId="5" borderId="54" xfId="0" applyFont="1" applyFill="1" applyBorder="1" applyAlignment="1">
      <alignment horizontal="right" vertical="top" textRotation="90" wrapText="1"/>
    </xf>
    <xf numFmtId="0" fontId="13" fillId="4" borderId="2" xfId="0" applyFont="1" applyFill="1" applyBorder="1" applyAlignment="1">
      <alignment horizontal="center" vertical="top" wrapText="1"/>
    </xf>
    <xf numFmtId="0" fontId="13" fillId="4" borderId="3" xfId="0" applyFont="1" applyFill="1" applyBorder="1" applyAlignment="1">
      <alignment horizontal="center" vertical="top" wrapText="1"/>
    </xf>
    <xf numFmtId="0" fontId="13" fillId="4" borderId="15" xfId="0" applyFont="1" applyFill="1" applyBorder="1" applyAlignment="1">
      <alignment horizontal="center" vertical="top" wrapText="1"/>
    </xf>
    <xf numFmtId="0" fontId="20" fillId="4" borderId="5" xfId="0" applyFont="1" applyFill="1" applyBorder="1" applyAlignment="1">
      <alignment horizontal="right" vertical="top"/>
    </xf>
    <xf numFmtId="0" fontId="20" fillId="4" borderId="14" xfId="0" applyFont="1" applyFill="1" applyBorder="1" applyAlignment="1">
      <alignment horizontal="right" vertical="top"/>
    </xf>
    <xf numFmtId="0" fontId="13" fillId="25" borderId="0" xfId="0" applyFont="1" applyFill="1" applyBorder="1" applyAlignment="1">
      <alignment horizontal="right" vertical="top" textRotation="90" wrapText="1"/>
    </xf>
    <xf numFmtId="0" fontId="13" fillId="25" borderId="53" xfId="0" applyFont="1" applyFill="1" applyBorder="1" applyAlignment="1">
      <alignment horizontal="right" vertical="top" textRotation="90" wrapText="1"/>
    </xf>
    <xf numFmtId="0" fontId="85" fillId="25" borderId="0" xfId="0" applyFont="1" applyFill="1" applyBorder="1" applyAlignment="1">
      <alignment horizontal="center" vertical="top"/>
    </xf>
    <xf numFmtId="0" fontId="83" fillId="25" borderId="0" xfId="0" applyFont="1" applyFill="1" applyBorder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top"/>
    </xf>
    <xf numFmtId="0" fontId="19" fillId="7" borderId="0" xfId="0" applyFont="1" applyFill="1" applyBorder="1" applyAlignment="1">
      <alignment horizontal="center" vertical="top"/>
    </xf>
    <xf numFmtId="0" fontId="71" fillId="6" borderId="17" xfId="0" applyFont="1" applyFill="1" applyBorder="1" applyAlignment="1">
      <alignment horizontal="right" vertical="top" textRotation="90" wrapText="1"/>
    </xf>
    <xf numFmtId="0" fontId="91" fillId="6" borderId="7" xfId="0" applyFont="1" applyFill="1" applyBorder="1" applyAlignment="1">
      <alignment horizontal="right" vertical="top" textRotation="90" wrapText="1"/>
    </xf>
    <xf numFmtId="0" fontId="13" fillId="7" borderId="17" xfId="0" applyFont="1" applyFill="1" applyBorder="1" applyAlignment="1">
      <alignment horizontal="right" vertical="top" textRotation="90" wrapText="1"/>
    </xf>
    <xf numFmtId="0" fontId="13" fillId="7" borderId="7" xfId="0" applyFont="1" applyFill="1" applyBorder="1" applyAlignment="1">
      <alignment horizontal="right" vertical="top" textRotation="90" wrapText="1"/>
    </xf>
    <xf numFmtId="0" fontId="13" fillId="7" borderId="16" xfId="0" applyFont="1" applyFill="1" applyBorder="1" applyAlignment="1">
      <alignment horizontal="right" vertical="top" textRotation="90" wrapText="1"/>
    </xf>
    <xf numFmtId="0" fontId="29" fillId="6" borderId="0" xfId="0" applyFont="1" applyFill="1" applyBorder="1" applyAlignment="1">
      <alignment horizontal="right" vertical="top" textRotation="90" wrapText="1"/>
    </xf>
    <xf numFmtId="0" fontId="29" fillId="6" borderId="9" xfId="0" applyFont="1" applyFill="1" applyBorder="1" applyAlignment="1">
      <alignment horizontal="right" vertical="top" textRotation="90" wrapText="1"/>
    </xf>
    <xf numFmtId="0" fontId="13" fillId="6" borderId="6" xfId="0" applyFont="1" applyFill="1" applyBorder="1" applyAlignment="1">
      <alignment horizontal="right" vertical="top" textRotation="90" wrapText="1"/>
    </xf>
    <xf numFmtId="0" fontId="13" fillId="6" borderId="0" xfId="0" applyFont="1" applyFill="1" applyBorder="1" applyAlignment="1">
      <alignment horizontal="right" vertical="top" textRotation="90" wrapText="1"/>
    </xf>
    <xf numFmtId="0" fontId="29" fillId="6" borderId="17" xfId="0" applyFont="1" applyFill="1" applyBorder="1" applyAlignment="1">
      <alignment horizontal="right" vertical="top" textRotation="90" wrapText="1"/>
    </xf>
    <xf numFmtId="0" fontId="29" fillId="6" borderId="7" xfId="0" applyFont="1" applyFill="1" applyBorder="1" applyAlignment="1">
      <alignment horizontal="right" vertical="top" textRotation="90" wrapText="1"/>
    </xf>
    <xf numFmtId="0" fontId="20" fillId="5" borderId="6" xfId="0" applyFont="1" applyFill="1" applyBorder="1" applyAlignment="1">
      <alignment horizontal="right" vertical="top"/>
    </xf>
    <xf numFmtId="0" fontId="20" fillId="5" borderId="17" xfId="0" applyFont="1" applyFill="1" applyBorder="1" applyAlignment="1">
      <alignment horizontal="right" vertical="top"/>
    </xf>
    <xf numFmtId="0" fontId="13" fillId="6" borderId="0" xfId="0" applyFont="1" applyFill="1" applyBorder="1" applyAlignment="1">
      <alignment horizontal="center" vertical="center" wrapText="1"/>
    </xf>
    <xf numFmtId="0" fontId="20" fillId="6" borderId="6" xfId="0" applyFont="1" applyFill="1" applyBorder="1" applyAlignment="1">
      <alignment horizontal="center" vertical="top"/>
    </xf>
    <xf numFmtId="0" fontId="29" fillId="6" borderId="51" xfId="0" applyFont="1" applyFill="1" applyBorder="1" applyAlignment="1">
      <alignment horizontal="right" vertical="top" textRotation="90" wrapText="1"/>
    </xf>
    <xf numFmtId="0" fontId="29" fillId="6" borderId="54" xfId="0" applyFont="1" applyFill="1" applyBorder="1" applyAlignment="1">
      <alignment horizontal="right" vertical="top" textRotation="90" wrapText="1"/>
    </xf>
    <xf numFmtId="0" fontId="96" fillId="0" borderId="9" xfId="1" applyFont="1" applyBorder="1" applyAlignment="1">
      <alignment horizontal="center" vertical="center"/>
    </xf>
    <xf numFmtId="0" fontId="107" fillId="0" borderId="0" xfId="1" applyFont="1" applyBorder="1" applyAlignment="1">
      <alignment horizontal="center" wrapText="1"/>
    </xf>
    <xf numFmtId="0" fontId="127" fillId="0" borderId="95" xfId="1" applyFont="1" applyBorder="1" applyAlignment="1">
      <alignment horizontal="center" vertical="center" wrapText="1"/>
    </xf>
    <xf numFmtId="0" fontId="127" fillId="0" borderId="97" xfId="1" applyFont="1" applyBorder="1" applyAlignment="1">
      <alignment horizontal="center" vertical="center" wrapText="1"/>
    </xf>
    <xf numFmtId="0" fontId="127" fillId="0" borderId="100" xfId="1" applyFont="1" applyBorder="1" applyAlignment="1">
      <alignment horizontal="center" vertical="center" wrapText="1"/>
    </xf>
    <xf numFmtId="0" fontId="127" fillId="0" borderId="101" xfId="1" applyFont="1" applyBorder="1" applyAlignment="1">
      <alignment horizontal="center" vertical="center" wrapText="1"/>
    </xf>
    <xf numFmtId="0" fontId="97" fillId="0" borderId="6" xfId="1" applyFont="1" applyBorder="1" applyAlignment="1">
      <alignment horizontal="center"/>
    </xf>
    <xf numFmtId="0" fontId="97" fillId="0" borderId="17" xfId="1" applyFont="1" applyBorder="1" applyAlignment="1">
      <alignment horizontal="center"/>
    </xf>
    <xf numFmtId="0" fontId="93" fillId="0" borderId="82" xfId="1" applyFont="1" applyBorder="1" applyAlignment="1">
      <alignment horizontal="center" textRotation="90"/>
    </xf>
    <xf numFmtId="0" fontId="93" fillId="0" borderId="84" xfId="1" applyFont="1" applyBorder="1" applyAlignment="1">
      <alignment horizontal="center" textRotation="90"/>
    </xf>
    <xf numFmtId="0" fontId="156" fillId="0" borderId="0" xfId="1" applyFont="1" applyAlignment="1">
      <alignment horizontal="center" textRotation="90" wrapText="1"/>
    </xf>
    <xf numFmtId="0" fontId="156" fillId="0" borderId="9" xfId="1" applyFont="1" applyBorder="1" applyAlignment="1">
      <alignment horizontal="center" textRotation="90" wrapText="1"/>
    </xf>
    <xf numFmtId="2" fontId="121" fillId="0" borderId="130" xfId="2" applyNumberFormat="1" applyFont="1" applyFill="1" applyBorder="1" applyAlignment="1">
      <alignment horizontal="center"/>
    </xf>
    <xf numFmtId="2" fontId="121" fillId="0" borderId="108" xfId="2" applyNumberFormat="1" applyFont="1" applyFill="1" applyBorder="1" applyAlignment="1">
      <alignment horizontal="center"/>
    </xf>
    <xf numFmtId="0" fontId="106" fillId="0" borderId="100" xfId="1" applyFont="1" applyBorder="1" applyAlignment="1">
      <alignment horizontal="right"/>
    </xf>
    <xf numFmtId="0" fontId="96" fillId="0" borderId="0" xfId="1" applyFont="1" applyBorder="1" applyAlignment="1">
      <alignment horizontal="right"/>
    </xf>
    <xf numFmtId="0" fontId="97" fillId="0" borderId="12" xfId="1" applyFont="1" applyBorder="1" applyAlignment="1">
      <alignment horizontal="center"/>
    </xf>
    <xf numFmtId="0" fontId="97" fillId="0" borderId="9" xfId="1" applyFont="1" applyBorder="1" applyAlignment="1">
      <alignment horizontal="center"/>
    </xf>
    <xf numFmtId="0" fontId="97" fillId="0" borderId="105" xfId="1" applyFont="1" applyBorder="1" applyAlignment="1">
      <alignment horizontal="center"/>
    </xf>
    <xf numFmtId="0" fontId="98" fillId="4" borderId="129" xfId="1" applyFont="1" applyFill="1" applyBorder="1" applyAlignment="1">
      <alignment horizontal="center"/>
    </xf>
    <xf numFmtId="0" fontId="98" fillId="4" borderId="106" xfId="1" applyFont="1" applyFill="1" applyBorder="1" applyAlignment="1">
      <alignment horizontal="center"/>
    </xf>
    <xf numFmtId="0" fontId="110" fillId="0" borderId="12" xfId="1" applyFont="1" applyBorder="1" applyAlignment="1">
      <alignment horizontal="center" vertical="center" wrapText="1"/>
    </xf>
    <xf numFmtId="0" fontId="110" fillId="0" borderId="6" xfId="1" applyFont="1" applyBorder="1" applyAlignment="1">
      <alignment horizontal="center" vertical="center" wrapText="1"/>
    </xf>
    <xf numFmtId="0" fontId="110" fillId="0" borderId="17" xfId="1" applyFont="1" applyBorder="1" applyAlignment="1">
      <alignment horizontal="center" vertical="center" wrapText="1"/>
    </xf>
    <xf numFmtId="0" fontId="110" fillId="0" borderId="8" xfId="1" applyFont="1" applyBorder="1" applyAlignment="1">
      <alignment horizontal="center" vertical="center" wrapText="1"/>
    </xf>
    <xf numFmtId="0" fontId="110" fillId="0" borderId="0" xfId="1" applyFont="1" applyBorder="1" applyAlignment="1">
      <alignment horizontal="center" vertical="center" wrapText="1"/>
    </xf>
    <xf numFmtId="0" fontId="110" fillId="0" borderId="7" xfId="1" applyFont="1" applyBorder="1" applyAlignment="1">
      <alignment horizontal="center" vertical="center" wrapText="1"/>
    </xf>
    <xf numFmtId="0" fontId="97" fillId="0" borderId="13" xfId="1" applyFont="1" applyBorder="1" applyAlignment="1">
      <alignment horizontal="center"/>
    </xf>
    <xf numFmtId="0" fontId="97" fillId="0" borderId="16" xfId="1" applyFont="1" applyBorder="1" applyAlignment="1">
      <alignment horizontal="center"/>
    </xf>
    <xf numFmtId="0" fontId="97" fillId="0" borderId="12" xfId="1" applyFont="1" applyBorder="1" applyAlignment="1">
      <alignment horizontal="center" vertical="top" wrapText="1"/>
    </xf>
    <xf numFmtId="0" fontId="97" fillId="0" borderId="6" xfId="1" applyFont="1" applyBorder="1" applyAlignment="1">
      <alignment horizontal="center" vertical="top" wrapText="1"/>
    </xf>
    <xf numFmtId="164" fontId="93" fillId="0" borderId="7" xfId="1" applyNumberFormat="1" applyFont="1" applyBorder="1" applyAlignment="1">
      <alignment horizontal="right" vertical="center"/>
    </xf>
    <xf numFmtId="164" fontId="93" fillId="0" borderId="16" xfId="1" applyNumberFormat="1" applyFont="1" applyBorder="1" applyAlignment="1">
      <alignment horizontal="right" vertical="center"/>
    </xf>
    <xf numFmtId="0" fontId="101" fillId="0" borderId="91" xfId="1" applyFont="1" applyBorder="1" applyAlignment="1">
      <alignment horizontal="center" vertical="center" wrapText="1"/>
    </xf>
    <xf numFmtId="0" fontId="93" fillId="0" borderId="0" xfId="1" applyFont="1" applyAlignment="1">
      <alignment horizontal="center" vertical="top" wrapText="1"/>
    </xf>
    <xf numFmtId="0" fontId="152" fillId="0" borderId="9" xfId="1" applyFont="1" applyBorder="1" applyAlignment="1">
      <alignment horizontal="center" vertical="top" wrapText="1"/>
    </xf>
    <xf numFmtId="0" fontId="97" fillId="0" borderId="17" xfId="1" applyFont="1" applyBorder="1" applyAlignment="1">
      <alignment horizontal="center" vertical="top" wrapText="1"/>
    </xf>
    <xf numFmtId="0" fontId="97" fillId="0" borderId="0" xfId="1" applyFont="1" applyBorder="1" applyAlignment="1">
      <alignment horizontal="center" vertical="top" wrapText="1"/>
    </xf>
    <xf numFmtId="0" fontId="97" fillId="0" borderId="7" xfId="1" applyFont="1" applyBorder="1" applyAlignment="1">
      <alignment horizontal="center" vertical="top" wrapText="1"/>
    </xf>
    <xf numFmtId="0" fontId="108" fillId="5" borderId="12" xfId="1" applyFont="1" applyFill="1" applyBorder="1" applyAlignment="1">
      <alignment horizontal="center" vertical="center" wrapText="1"/>
    </xf>
    <xf numFmtId="0" fontId="108" fillId="5" borderId="17" xfId="1" applyFont="1" applyFill="1" applyBorder="1" applyAlignment="1">
      <alignment horizontal="center" vertical="center" wrapText="1"/>
    </xf>
    <xf numFmtId="164" fontId="124" fillId="0" borderId="13" xfId="1" applyNumberFormat="1" applyFont="1" applyBorder="1" applyAlignment="1">
      <alignment horizontal="center"/>
    </xf>
    <xf numFmtId="164" fontId="124" fillId="0" borderId="16" xfId="1" applyNumberFormat="1" applyFont="1" applyBorder="1" applyAlignment="1">
      <alignment horizontal="center"/>
    </xf>
    <xf numFmtId="0" fontId="2" fillId="0" borderId="0" xfId="1" applyFont="1" applyBorder="1" applyAlignment="1" applyProtection="1">
      <alignment horizontal="center" wrapText="1"/>
    </xf>
    <xf numFmtId="0" fontId="11" fillId="0" borderId="0" xfId="1" applyFont="1" applyBorder="1" applyAlignment="1" applyProtection="1">
      <alignment horizontal="center" wrapText="1"/>
    </xf>
    <xf numFmtId="0" fontId="97" fillId="0" borderId="0" xfId="1" applyFont="1" applyBorder="1" applyAlignment="1" applyProtection="1">
      <alignment horizontal="center"/>
    </xf>
    <xf numFmtId="0" fontId="184" fillId="0" borderId="0" xfId="1" applyFont="1" applyFill="1" applyBorder="1" applyAlignment="1" applyProtection="1">
      <alignment horizontal="center" wrapText="1"/>
    </xf>
    <xf numFmtId="0" fontId="97" fillId="0" borderId="0" xfId="1" applyFont="1" applyBorder="1" applyAlignment="1" applyProtection="1">
      <alignment horizontal="center" wrapText="1"/>
    </xf>
    <xf numFmtId="0" fontId="183" fillId="34" borderId="136" xfId="1" applyFont="1" applyFill="1" applyBorder="1" applyAlignment="1" applyProtection="1">
      <alignment horizontal="center"/>
      <protection locked="0"/>
    </xf>
    <xf numFmtId="0" fontId="183" fillId="34" borderId="0" xfId="1" applyFont="1" applyFill="1" applyBorder="1" applyAlignment="1" applyProtection="1">
      <alignment horizontal="center"/>
      <protection locked="0"/>
    </xf>
    <xf numFmtId="0" fontId="183" fillId="34" borderId="137" xfId="1" applyFont="1" applyFill="1" applyBorder="1" applyAlignment="1" applyProtection="1">
      <alignment horizontal="center"/>
      <protection locked="0"/>
    </xf>
    <xf numFmtId="0" fontId="78" fillId="0" borderId="0" xfId="0" applyFont="1" applyBorder="1" applyAlignment="1">
      <alignment horizontal="center" vertical="center" wrapText="1"/>
    </xf>
    <xf numFmtId="0" fontId="16" fillId="10" borderId="37" xfId="0" applyFont="1" applyFill="1" applyBorder="1" applyAlignment="1">
      <alignment horizontal="center" vertical="center"/>
    </xf>
    <xf numFmtId="0" fontId="78" fillId="0" borderId="48" xfId="0" applyFont="1" applyBorder="1" applyAlignment="1">
      <alignment horizontal="center" vertical="center"/>
    </xf>
    <xf numFmtId="0" fontId="16" fillId="9" borderId="67" xfId="0" applyFont="1" applyFill="1" applyBorder="1" applyAlignment="1">
      <alignment horizontal="center" vertical="center"/>
    </xf>
    <xf numFmtId="0" fontId="16" fillId="9" borderId="68" xfId="0" applyFont="1" applyFill="1" applyBorder="1" applyAlignment="1">
      <alignment horizontal="center" vertical="center"/>
    </xf>
    <xf numFmtId="0" fontId="76" fillId="0" borderId="47" xfId="0" applyFont="1" applyFill="1" applyBorder="1" applyAlignment="1">
      <alignment horizontal="center" vertical="center"/>
    </xf>
    <xf numFmtId="0" fontId="16" fillId="9" borderId="37" xfId="0" applyFont="1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6" fillId="9" borderId="38" xfId="0" applyFont="1" applyFill="1" applyBorder="1" applyAlignment="1">
      <alignment horizontal="center" vertical="center"/>
    </xf>
    <xf numFmtId="0" fontId="76" fillId="0" borderId="4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6" fillId="2" borderId="37" xfId="0" applyFont="1" applyFill="1" applyBorder="1" applyAlignment="1">
      <alignment horizontal="center" vertical="center"/>
    </xf>
    <xf numFmtId="0" fontId="78" fillId="0" borderId="44" xfId="0" applyFont="1" applyFill="1" applyBorder="1" applyAlignment="1">
      <alignment horizontal="left" textRotation="90" wrapText="1"/>
    </xf>
    <xf numFmtId="0" fontId="78" fillId="0" borderId="45" xfId="0" applyFont="1" applyFill="1" applyBorder="1" applyAlignment="1">
      <alignment horizontal="left" textRotation="90" wrapText="1"/>
    </xf>
    <xf numFmtId="0" fontId="9" fillId="21" borderId="0" xfId="0" applyFont="1" applyFill="1" applyBorder="1" applyAlignment="1">
      <alignment horizontal="center" vertical="center" wrapText="1"/>
    </xf>
    <xf numFmtId="0" fontId="9" fillId="21" borderId="42" xfId="0" applyFont="1" applyFill="1" applyBorder="1" applyAlignment="1">
      <alignment horizontal="center" vertical="center" wrapText="1"/>
    </xf>
    <xf numFmtId="0" fontId="9" fillId="21" borderId="47" xfId="0" applyFont="1" applyFill="1" applyBorder="1" applyAlignment="1">
      <alignment horizontal="center" vertical="center" wrapText="1"/>
    </xf>
    <xf numFmtId="0" fontId="9" fillId="21" borderId="70" xfId="0" applyFont="1" applyFill="1" applyBorder="1" applyAlignment="1">
      <alignment horizontal="center" vertical="center" wrapText="1"/>
    </xf>
    <xf numFmtId="0" fontId="78" fillId="0" borderId="42" xfId="0" applyFont="1" applyBorder="1" applyAlignment="1">
      <alignment horizontal="right" vertical="center" textRotation="90"/>
    </xf>
    <xf numFmtId="0" fontId="10" fillId="21" borderId="37" xfId="0" applyFont="1" applyFill="1" applyBorder="1" applyAlignment="1">
      <alignment horizontal="center" vertical="center" wrapText="1"/>
    </xf>
    <xf numFmtId="0" fontId="9" fillId="21" borderId="80" xfId="0" applyFont="1" applyFill="1" applyBorder="1" applyAlignment="1">
      <alignment horizontal="center" vertical="center" wrapText="1"/>
    </xf>
    <xf numFmtId="0" fontId="9" fillId="21" borderId="81" xfId="0" applyFont="1" applyFill="1" applyBorder="1" applyAlignment="1">
      <alignment horizontal="center" vertical="center" wrapText="1"/>
    </xf>
    <xf numFmtId="0" fontId="9" fillId="21" borderId="75" xfId="0" applyFont="1" applyFill="1" applyBorder="1" applyAlignment="1">
      <alignment horizontal="center" vertical="center" wrapText="1"/>
    </xf>
    <xf numFmtId="0" fontId="9" fillId="21" borderId="76" xfId="0" applyFont="1" applyFill="1" applyBorder="1" applyAlignment="1">
      <alignment horizontal="center" vertical="center" wrapText="1"/>
    </xf>
    <xf numFmtId="0" fontId="9" fillId="24" borderId="39" xfId="0" applyFont="1" applyFill="1" applyBorder="1" applyAlignment="1">
      <alignment horizontal="center" vertical="center" wrapText="1"/>
    </xf>
    <xf numFmtId="0" fontId="9" fillId="24" borderId="37" xfId="0" applyFont="1" applyFill="1" applyBorder="1" applyAlignment="1">
      <alignment horizontal="center" vertical="center" wrapText="1"/>
    </xf>
    <xf numFmtId="0" fontId="9" fillId="24" borderId="40" xfId="0" applyFont="1" applyFill="1" applyBorder="1" applyAlignment="1">
      <alignment horizontal="center" vertical="center" wrapText="1"/>
    </xf>
    <xf numFmtId="0" fontId="78" fillId="0" borderId="0" xfId="0" applyFont="1" applyFill="1" applyBorder="1" applyAlignment="1">
      <alignment horizontal="center" vertical="center" textRotation="90" wrapText="1"/>
    </xf>
    <xf numFmtId="0" fontId="78" fillId="0" borderId="46" xfId="0" applyFont="1" applyBorder="1" applyAlignment="1">
      <alignment horizontal="center" vertical="center"/>
    </xf>
    <xf numFmtId="0" fontId="78" fillId="0" borderId="0" xfId="0" applyFont="1" applyFill="1" applyBorder="1" applyAlignment="1">
      <alignment horizontal="center" vertical="center" wrapText="1"/>
    </xf>
    <xf numFmtId="0" fontId="9" fillId="24" borderId="44" xfId="0" applyFont="1" applyFill="1" applyBorder="1" applyAlignment="1">
      <alignment horizontal="center" vertical="center" wrapText="1"/>
    </xf>
    <xf numFmtId="0" fontId="9" fillId="24" borderId="0" xfId="0" applyFont="1" applyFill="1" applyBorder="1" applyAlignment="1">
      <alignment horizontal="center" vertical="center" wrapText="1"/>
    </xf>
    <xf numFmtId="0" fontId="9" fillId="24" borderId="42" xfId="0" applyFont="1" applyFill="1" applyBorder="1" applyAlignment="1">
      <alignment horizontal="center" vertical="center" wrapText="1"/>
    </xf>
    <xf numFmtId="0" fontId="9" fillId="24" borderId="74" xfId="0" applyFont="1" applyFill="1" applyBorder="1" applyAlignment="1">
      <alignment horizontal="center" vertical="center" wrapText="1"/>
    </xf>
    <xf numFmtId="0" fontId="9" fillId="24" borderId="48" xfId="0" applyFont="1" applyFill="1" applyBorder="1" applyAlignment="1">
      <alignment horizontal="center" vertical="center" wrapText="1"/>
    </xf>
    <xf numFmtId="0" fontId="9" fillId="24" borderId="43" xfId="0" applyFont="1" applyFill="1" applyBorder="1" applyAlignment="1">
      <alignment horizontal="center" vertical="center" wrapText="1"/>
    </xf>
    <xf numFmtId="0" fontId="9" fillId="24" borderId="77" xfId="0" applyFont="1" applyFill="1" applyBorder="1" applyAlignment="1">
      <alignment horizontal="left" vertical="top" wrapText="1"/>
    </xf>
    <xf numFmtId="0" fontId="9" fillId="24" borderId="78" xfId="0" applyFont="1" applyFill="1" applyBorder="1" applyAlignment="1">
      <alignment horizontal="left" vertical="top" wrapText="1"/>
    </xf>
    <xf numFmtId="0" fontId="9" fillId="24" borderId="79" xfId="0" applyFont="1" applyFill="1" applyBorder="1" applyAlignment="1">
      <alignment horizontal="left" vertical="top" wrapText="1"/>
    </xf>
    <xf numFmtId="0" fontId="9" fillId="21" borderId="44" xfId="0" applyFont="1" applyFill="1" applyBorder="1" applyAlignment="1">
      <alignment horizontal="center" wrapText="1"/>
    </xf>
    <xf numFmtId="0" fontId="9" fillId="21" borderId="0" xfId="0" applyFont="1" applyFill="1" applyBorder="1" applyAlignment="1">
      <alignment horizontal="center" wrapText="1"/>
    </xf>
    <xf numFmtId="0" fontId="9" fillId="21" borderId="69" xfId="0" applyFont="1" applyFill="1" applyBorder="1" applyAlignment="1">
      <alignment horizontal="center" wrapText="1"/>
    </xf>
    <xf numFmtId="0" fontId="9" fillId="21" borderId="47" xfId="0" applyFont="1" applyFill="1" applyBorder="1" applyAlignment="1">
      <alignment horizontal="center" wrapText="1"/>
    </xf>
    <xf numFmtId="0" fontId="78" fillId="0" borderId="44" xfId="0" applyFont="1" applyFill="1" applyBorder="1" applyAlignment="1">
      <alignment horizontal="center" vertical="center" textRotation="90" wrapText="1"/>
    </xf>
    <xf numFmtId="0" fontId="9" fillId="21" borderId="44" xfId="0" applyFont="1" applyFill="1" applyBorder="1" applyAlignment="1">
      <alignment horizontal="center" vertical="top" wrapText="1"/>
    </xf>
    <xf numFmtId="0" fontId="9" fillId="21" borderId="0" xfId="0" applyFont="1" applyFill="1" applyBorder="1" applyAlignment="1">
      <alignment horizontal="center" vertical="top" wrapText="1"/>
    </xf>
    <xf numFmtId="0" fontId="9" fillId="21" borderId="42" xfId="0" applyFont="1" applyFill="1" applyBorder="1" applyAlignment="1">
      <alignment horizontal="center" vertical="top" wrapText="1"/>
    </xf>
    <xf numFmtId="0" fontId="9" fillId="24" borderId="71" xfId="0" applyFont="1" applyFill="1" applyBorder="1" applyAlignment="1">
      <alignment horizontal="center" vertical="top" wrapText="1"/>
    </xf>
    <xf numFmtId="0" fontId="9" fillId="24" borderId="72" xfId="0" applyFont="1" applyFill="1" applyBorder="1" applyAlignment="1">
      <alignment horizontal="center" vertical="top" wrapText="1"/>
    </xf>
    <xf numFmtId="0" fontId="9" fillId="24" borderId="73" xfId="0" applyFont="1" applyFill="1" applyBorder="1" applyAlignment="1">
      <alignment horizontal="left" vertical="top" wrapText="1"/>
    </xf>
    <xf numFmtId="0" fontId="9" fillId="24" borderId="71" xfId="0" applyFont="1" applyFill="1" applyBorder="1" applyAlignment="1">
      <alignment horizontal="left" vertical="top" wrapText="1"/>
    </xf>
    <xf numFmtId="0" fontId="9" fillId="0" borderId="27" xfId="0" applyFont="1" applyFill="1" applyBorder="1" applyAlignment="1">
      <alignment horizontal="center" vertical="top"/>
    </xf>
    <xf numFmtId="0" fontId="9" fillId="0" borderId="12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top" wrapText="1"/>
    </xf>
    <xf numFmtId="0" fontId="9" fillId="0" borderId="5" xfId="0" applyFont="1" applyFill="1" applyBorder="1" applyAlignment="1">
      <alignment horizontal="center" vertical="top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top"/>
    </xf>
    <xf numFmtId="0" fontId="9" fillId="0" borderId="0" xfId="0" applyFont="1" applyFill="1" applyBorder="1" applyAlignment="1">
      <alignment horizontal="center" vertical="top"/>
    </xf>
    <xf numFmtId="0" fontId="9" fillId="0" borderId="13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top" wrapText="1"/>
    </xf>
    <xf numFmtId="0" fontId="9" fillId="0" borderId="6" xfId="0" applyFont="1" applyFill="1" applyBorder="1" applyAlignment="1">
      <alignment horizontal="center" vertical="top" wrapText="1"/>
    </xf>
    <xf numFmtId="0" fontId="9" fillId="0" borderId="17" xfId="0" applyFont="1" applyFill="1" applyBorder="1" applyAlignment="1">
      <alignment horizontal="center" vertical="top" wrapText="1"/>
    </xf>
    <xf numFmtId="0" fontId="9" fillId="0" borderId="13" xfId="0" applyFont="1" applyFill="1" applyBorder="1" applyAlignment="1">
      <alignment horizontal="center" vertical="top" wrapText="1"/>
    </xf>
    <xf numFmtId="0" fontId="9" fillId="0" borderId="9" xfId="0" applyFont="1" applyFill="1" applyBorder="1" applyAlignment="1">
      <alignment horizontal="center" vertical="top" wrapText="1"/>
    </xf>
    <xf numFmtId="0" fontId="9" fillId="0" borderId="16" xfId="0" applyFont="1" applyFill="1" applyBorder="1" applyAlignment="1">
      <alignment horizontal="center" vertical="top" wrapText="1"/>
    </xf>
    <xf numFmtId="0" fontId="9" fillId="0" borderId="14" xfId="0" applyFont="1" applyFill="1" applyBorder="1" applyAlignment="1">
      <alignment horizontal="center" vertical="top" wrapText="1"/>
    </xf>
    <xf numFmtId="0" fontId="9" fillId="0" borderId="2" xfId="0" applyFont="1" applyFill="1" applyBorder="1" applyAlignment="1">
      <alignment horizontal="center" vertical="top" wrapText="1"/>
    </xf>
    <xf numFmtId="0" fontId="9" fillId="0" borderId="3" xfId="0" applyFont="1" applyFill="1" applyBorder="1" applyAlignment="1">
      <alignment horizontal="center" vertical="top" wrapText="1"/>
    </xf>
    <xf numFmtId="0" fontId="9" fillId="0" borderId="15" xfId="0" applyFont="1" applyFill="1" applyBorder="1" applyAlignment="1">
      <alignment horizontal="center" vertical="top" wrapText="1"/>
    </xf>
    <xf numFmtId="0" fontId="9" fillId="0" borderId="0" xfId="0" applyFont="1" applyFill="1" applyBorder="1" applyAlignment="1">
      <alignment horizontal="center" vertical="top" wrapText="1"/>
    </xf>
    <xf numFmtId="0" fontId="9" fillId="0" borderId="7" xfId="0" applyFont="1" applyFill="1" applyBorder="1" applyAlignment="1">
      <alignment horizontal="center" vertical="top" wrapText="1"/>
    </xf>
    <xf numFmtId="0" fontId="9" fillId="0" borderId="18" xfId="0" applyFont="1" applyFill="1" applyBorder="1" applyAlignment="1">
      <alignment horizontal="center" vertical="top" wrapText="1"/>
    </xf>
    <xf numFmtId="0" fontId="9" fillId="0" borderId="20" xfId="0" applyFont="1" applyFill="1" applyBorder="1" applyAlignment="1">
      <alignment horizontal="center" vertical="top" wrapText="1"/>
    </xf>
    <xf numFmtId="0" fontId="16" fillId="0" borderId="22" xfId="0" applyFont="1" applyFill="1" applyBorder="1" applyAlignment="1">
      <alignment horizontal="center" vertical="top"/>
    </xf>
    <xf numFmtId="0" fontId="16" fillId="0" borderId="24" xfId="0" applyFont="1" applyFill="1" applyBorder="1" applyAlignment="1">
      <alignment horizontal="center" vertical="top"/>
    </xf>
    <xf numFmtId="0" fontId="16" fillId="0" borderId="0" xfId="0" applyFont="1" applyFill="1" applyBorder="1" applyAlignment="1">
      <alignment horizontal="center" vertical="top"/>
    </xf>
    <xf numFmtId="0" fontId="16" fillId="0" borderId="32" xfId="0" applyFont="1" applyFill="1" applyBorder="1" applyAlignment="1">
      <alignment horizontal="center" vertical="top"/>
    </xf>
    <xf numFmtId="0" fontId="16" fillId="0" borderId="33" xfId="0" applyFont="1" applyFill="1" applyBorder="1" applyAlignment="1">
      <alignment horizontal="center" vertical="top"/>
    </xf>
    <xf numFmtId="0" fontId="9" fillId="0" borderId="18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6" fillId="0" borderId="35" xfId="0" applyFont="1" applyFill="1" applyBorder="1" applyAlignment="1">
      <alignment horizontal="center" vertical="top"/>
    </xf>
    <xf numFmtId="0" fontId="16" fillId="0" borderId="36" xfId="0" applyFont="1" applyFill="1" applyBorder="1" applyAlignment="1">
      <alignment horizontal="center" vertical="top"/>
    </xf>
    <xf numFmtId="0" fontId="18" fillId="0" borderId="23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top" wrapText="1"/>
    </xf>
    <xf numFmtId="0" fontId="10" fillId="0" borderId="17" xfId="0" applyFont="1" applyFill="1" applyBorder="1" applyAlignment="1">
      <alignment horizontal="center" vertical="top" wrapText="1"/>
    </xf>
    <xf numFmtId="0" fontId="10" fillId="0" borderId="13" xfId="0" applyFont="1" applyFill="1" applyBorder="1" applyAlignment="1">
      <alignment horizontal="center" vertical="top" wrapText="1"/>
    </xf>
    <xf numFmtId="0" fontId="10" fillId="0" borderId="16" xfId="0" applyFont="1" applyFill="1" applyBorder="1" applyAlignment="1">
      <alignment horizontal="center" vertical="top" wrapText="1"/>
    </xf>
    <xf numFmtId="0" fontId="9" fillId="0" borderId="17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16" fillId="0" borderId="30" xfId="0" applyFont="1" applyFill="1" applyBorder="1" applyAlignment="1">
      <alignment horizontal="center" vertical="top"/>
    </xf>
    <xf numFmtId="0" fontId="16" fillId="0" borderId="31" xfId="0" applyFont="1" applyFill="1" applyBorder="1" applyAlignment="1">
      <alignment horizontal="center" vertical="top"/>
    </xf>
    <xf numFmtId="0" fontId="16" fillId="0" borderId="12" xfId="0" applyFont="1" applyFill="1" applyBorder="1" applyAlignment="1">
      <alignment horizontal="center" vertical="top"/>
    </xf>
    <xf numFmtId="0" fontId="16" fillId="0" borderId="17" xfId="0" applyFont="1" applyFill="1" applyBorder="1" applyAlignment="1">
      <alignment horizontal="center" vertical="top"/>
    </xf>
    <xf numFmtId="0" fontId="18" fillId="0" borderId="24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/>
    </xf>
    <xf numFmtId="0" fontId="36" fillId="0" borderId="0" xfId="0" applyFont="1" applyFill="1" applyAlignment="1">
      <alignment horizontal="right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top"/>
    </xf>
    <xf numFmtId="0" fontId="9" fillId="0" borderId="23" xfId="0" applyFont="1" applyFill="1" applyBorder="1" applyAlignment="1">
      <alignment horizontal="center" vertical="top"/>
    </xf>
    <xf numFmtId="0" fontId="9" fillId="0" borderId="24" xfId="0" applyFont="1" applyFill="1" applyBorder="1" applyAlignment="1">
      <alignment horizontal="center" vertical="top"/>
    </xf>
    <xf numFmtId="0" fontId="9" fillId="0" borderId="30" xfId="0" applyFont="1" applyFill="1" applyBorder="1" applyAlignment="1">
      <alignment horizontal="center" vertical="top"/>
    </xf>
    <xf numFmtId="0" fontId="9" fillId="0" borderId="34" xfId="0" applyFont="1" applyFill="1" applyBorder="1" applyAlignment="1">
      <alignment horizontal="center" vertical="top"/>
    </xf>
    <xf numFmtId="0" fontId="9" fillId="0" borderId="31" xfId="0" applyFont="1" applyFill="1" applyBorder="1" applyAlignment="1">
      <alignment horizontal="center" vertical="top"/>
    </xf>
    <xf numFmtId="0" fontId="18" fillId="0" borderId="22" xfId="0" applyFont="1" applyFill="1" applyBorder="1" applyAlignment="1">
      <alignment horizontal="center" vertical="center" wrapText="1"/>
    </xf>
    <xf numFmtId="0" fontId="18" fillId="0" borderId="23" xfId="0" applyFont="1" applyFill="1" applyBorder="1" applyAlignment="1">
      <alignment horizontal="center" vertical="center" wrapText="1"/>
    </xf>
    <xf numFmtId="0" fontId="74" fillId="0" borderId="23" xfId="0" applyFont="1" applyFill="1" applyBorder="1" applyAlignment="1">
      <alignment horizontal="right" vertical="center"/>
    </xf>
    <xf numFmtId="0" fontId="74" fillId="0" borderId="25" xfId="0" applyFont="1" applyFill="1" applyBorder="1" applyAlignment="1">
      <alignment horizontal="right" vertical="center"/>
    </xf>
    <xf numFmtId="0" fontId="74" fillId="0" borderId="26" xfId="0" applyFont="1" applyFill="1" applyBorder="1" applyAlignment="1">
      <alignment horizontal="left" vertical="center"/>
    </xf>
    <xf numFmtId="0" fontId="74" fillId="0" borderId="23" xfId="0" applyFont="1" applyFill="1" applyBorder="1" applyAlignment="1">
      <alignment horizontal="left" vertical="center"/>
    </xf>
    <xf numFmtId="0" fontId="16" fillId="0" borderId="12" xfId="0" applyFont="1" applyFill="1" applyBorder="1" applyAlignment="1">
      <alignment horizontal="center" vertical="center"/>
    </xf>
    <xf numFmtId="0" fontId="16" fillId="0" borderId="17" xfId="0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 wrapText="1"/>
    </xf>
    <xf numFmtId="0" fontId="9" fillId="8" borderId="17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9" fillId="8" borderId="16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center" vertical="center"/>
    </xf>
    <xf numFmtId="0" fontId="16" fillId="3" borderId="17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top" wrapText="1"/>
    </xf>
    <xf numFmtId="0" fontId="9" fillId="5" borderId="5" xfId="0" applyFont="1" applyFill="1" applyBorder="1" applyAlignment="1">
      <alignment horizontal="center" vertical="top" wrapText="1"/>
    </xf>
    <xf numFmtId="0" fontId="9" fillId="5" borderId="14" xfId="0" applyFont="1" applyFill="1" applyBorder="1" applyAlignment="1">
      <alignment horizontal="center" vertical="top" wrapText="1"/>
    </xf>
    <xf numFmtId="0" fontId="9" fillId="5" borderId="2" xfId="0" applyFont="1" applyFill="1" applyBorder="1" applyAlignment="1">
      <alignment horizontal="center" vertical="top" wrapText="1"/>
    </xf>
    <xf numFmtId="0" fontId="9" fillId="5" borderId="3" xfId="0" applyFont="1" applyFill="1" applyBorder="1" applyAlignment="1">
      <alignment horizontal="center" vertical="top" wrapText="1"/>
    </xf>
    <xf numFmtId="0" fontId="9" fillId="5" borderId="15" xfId="0" applyFont="1" applyFill="1" applyBorder="1" applyAlignment="1">
      <alignment horizontal="center" vertical="top" wrapText="1"/>
    </xf>
    <xf numFmtId="0" fontId="9" fillId="5" borderId="12" xfId="0" applyFont="1" applyFill="1" applyBorder="1" applyAlignment="1">
      <alignment horizontal="center" vertical="top" wrapText="1"/>
    </xf>
    <xf numFmtId="0" fontId="9" fillId="5" borderId="6" xfId="0" applyFont="1" applyFill="1" applyBorder="1" applyAlignment="1">
      <alignment horizontal="center" vertical="top" wrapText="1"/>
    </xf>
    <xf numFmtId="0" fontId="9" fillId="5" borderId="17" xfId="0" applyFont="1" applyFill="1" applyBorder="1" applyAlignment="1">
      <alignment horizontal="center" vertical="top" wrapText="1"/>
    </xf>
    <xf numFmtId="0" fontId="9" fillId="5" borderId="13" xfId="0" applyFont="1" applyFill="1" applyBorder="1" applyAlignment="1">
      <alignment horizontal="center" vertical="top" wrapText="1"/>
    </xf>
    <xf numFmtId="0" fontId="9" fillId="5" borderId="9" xfId="0" applyFont="1" applyFill="1" applyBorder="1" applyAlignment="1">
      <alignment horizontal="center" vertical="top" wrapText="1"/>
    </xf>
    <xf numFmtId="0" fontId="9" fillId="5" borderId="16" xfId="0" applyFont="1" applyFill="1" applyBorder="1" applyAlignment="1">
      <alignment horizontal="center" vertical="top" wrapText="1"/>
    </xf>
    <xf numFmtId="0" fontId="9" fillId="5" borderId="18" xfId="0" applyFont="1" applyFill="1" applyBorder="1" applyAlignment="1">
      <alignment horizontal="center" vertical="top" wrapText="1"/>
    </xf>
    <xf numFmtId="0" fontId="9" fillId="5" borderId="20" xfId="0" applyFont="1" applyFill="1" applyBorder="1" applyAlignment="1">
      <alignment horizontal="center" vertical="top" wrapText="1"/>
    </xf>
    <xf numFmtId="0" fontId="9" fillId="4" borderId="18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8" borderId="18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9" fillId="8" borderId="20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0" fontId="16" fillId="3" borderId="22" xfId="0" applyFont="1" applyFill="1" applyBorder="1" applyAlignment="1">
      <alignment horizontal="center" vertical="top"/>
    </xf>
    <xf numFmtId="0" fontId="16" fillId="3" borderId="24" xfId="0" applyFont="1" applyFill="1" applyBorder="1" applyAlignment="1">
      <alignment horizontal="center" vertical="top"/>
    </xf>
    <xf numFmtId="0" fontId="16" fillId="2" borderId="35" xfId="0" applyFont="1" applyFill="1" applyBorder="1" applyAlignment="1">
      <alignment horizontal="center" vertical="top"/>
    </xf>
    <xf numFmtId="0" fontId="16" fillId="2" borderId="36" xfId="0" applyFont="1" applyFill="1" applyBorder="1" applyAlignment="1">
      <alignment horizontal="center" vertical="top"/>
    </xf>
    <xf numFmtId="0" fontId="9" fillId="4" borderId="5" xfId="0" applyFont="1" applyFill="1" applyBorder="1" applyAlignment="1">
      <alignment horizontal="center" vertical="top" wrapText="1"/>
    </xf>
    <xf numFmtId="0" fontId="9" fillId="4" borderId="14" xfId="0" applyFont="1" applyFill="1" applyBorder="1" applyAlignment="1">
      <alignment horizontal="center" vertical="top" wrapText="1"/>
    </xf>
    <xf numFmtId="0" fontId="9" fillId="4" borderId="3" xfId="0" applyFont="1" applyFill="1" applyBorder="1" applyAlignment="1">
      <alignment horizontal="center" vertical="top" wrapText="1"/>
    </xf>
    <xf numFmtId="0" fontId="9" fillId="4" borderId="15" xfId="0" applyFont="1" applyFill="1" applyBorder="1" applyAlignment="1">
      <alignment horizontal="center" vertical="top" wrapText="1"/>
    </xf>
    <xf numFmtId="0" fontId="10" fillId="4" borderId="12" xfId="0" applyFont="1" applyFill="1" applyBorder="1" applyAlignment="1">
      <alignment horizontal="center" vertical="top" wrapText="1"/>
    </xf>
    <xf numFmtId="0" fontId="10" fillId="4" borderId="17" xfId="0" applyFont="1" applyFill="1" applyBorder="1" applyAlignment="1">
      <alignment horizontal="center" vertical="top" wrapText="1"/>
    </xf>
    <xf numFmtId="0" fontId="10" fillId="4" borderId="13" xfId="0" applyFont="1" applyFill="1" applyBorder="1" applyAlignment="1">
      <alignment horizontal="center" vertical="top" wrapText="1"/>
    </xf>
    <xf numFmtId="0" fontId="10" fillId="4" borderId="16" xfId="0" applyFont="1" applyFill="1" applyBorder="1" applyAlignment="1">
      <alignment horizontal="center" vertical="top" wrapText="1"/>
    </xf>
    <xf numFmtId="0" fontId="9" fillId="5" borderId="22" xfId="0" applyFont="1" applyFill="1" applyBorder="1" applyAlignment="1">
      <alignment horizontal="center" vertical="top"/>
    </xf>
    <xf numFmtId="0" fontId="9" fillId="5" borderId="23" xfId="0" applyFont="1" applyFill="1" applyBorder="1" applyAlignment="1">
      <alignment horizontal="center" vertical="top"/>
    </xf>
    <xf numFmtId="0" fontId="9" fillId="5" borderId="24" xfId="0" applyFont="1" applyFill="1" applyBorder="1" applyAlignment="1">
      <alignment horizontal="center" vertical="top"/>
    </xf>
    <xf numFmtId="0" fontId="9" fillId="8" borderId="30" xfId="0" applyFont="1" applyFill="1" applyBorder="1" applyAlignment="1">
      <alignment horizontal="center" vertical="top"/>
    </xf>
    <xf numFmtId="0" fontId="9" fillId="8" borderId="34" xfId="0" applyFont="1" applyFill="1" applyBorder="1" applyAlignment="1">
      <alignment horizontal="center" vertical="top"/>
    </xf>
    <xf numFmtId="0" fontId="9" fillId="8" borderId="31" xfId="0" applyFont="1" applyFill="1" applyBorder="1" applyAlignment="1">
      <alignment horizontal="center" vertical="top"/>
    </xf>
    <xf numFmtId="0" fontId="9" fillId="24" borderId="22" xfId="0" applyFont="1" applyFill="1" applyBorder="1" applyAlignment="1">
      <alignment horizontal="center" vertical="top"/>
    </xf>
    <xf numFmtId="0" fontId="9" fillId="24" borderId="23" xfId="0" applyFont="1" applyFill="1" applyBorder="1" applyAlignment="1">
      <alignment horizontal="center" vertical="top"/>
    </xf>
    <xf numFmtId="0" fontId="9" fillId="24" borderId="24" xfId="0" applyFont="1" applyFill="1" applyBorder="1" applyAlignment="1">
      <alignment horizontal="center" vertical="top"/>
    </xf>
    <xf numFmtId="0" fontId="16" fillId="2" borderId="32" xfId="0" applyFont="1" applyFill="1" applyBorder="1" applyAlignment="1">
      <alignment horizontal="center" vertical="top"/>
    </xf>
    <xf numFmtId="0" fontId="16" fillId="2" borderId="33" xfId="0" applyFont="1" applyFill="1" applyBorder="1" applyAlignment="1">
      <alignment horizontal="center" vertical="top"/>
    </xf>
    <xf numFmtId="0" fontId="9" fillId="7" borderId="27" xfId="0" applyFont="1" applyFill="1" applyBorder="1" applyAlignment="1">
      <alignment horizontal="center" vertical="top"/>
    </xf>
    <xf numFmtId="0" fontId="16" fillId="3" borderId="30" xfId="0" applyFont="1" applyFill="1" applyBorder="1" applyAlignment="1">
      <alignment horizontal="center" vertical="top"/>
    </xf>
    <xf numFmtId="0" fontId="16" fillId="3" borderId="31" xfId="0" applyFont="1" applyFill="1" applyBorder="1" applyAlignment="1">
      <alignment horizontal="center" vertical="top"/>
    </xf>
    <xf numFmtId="0" fontId="9" fillId="6" borderId="18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24" borderId="0" xfId="0" applyFont="1" applyFill="1" applyBorder="1" applyAlignment="1">
      <alignment horizontal="center" vertical="top" wrapText="1"/>
    </xf>
    <xf numFmtId="0" fontId="9" fillId="24" borderId="7" xfId="0" applyFont="1" applyFill="1" applyBorder="1" applyAlignment="1">
      <alignment horizontal="center" vertical="top" wrapText="1"/>
    </xf>
    <xf numFmtId="0" fontId="9" fillId="24" borderId="3" xfId="0" applyFont="1" applyFill="1" applyBorder="1" applyAlignment="1">
      <alignment horizontal="center" vertical="top" wrapText="1"/>
    </xf>
    <xf numFmtId="0" fontId="9" fillId="24" borderId="15" xfId="0" applyFont="1" applyFill="1" applyBorder="1" applyAlignment="1">
      <alignment horizontal="center" vertical="top" wrapText="1"/>
    </xf>
    <xf numFmtId="0" fontId="16" fillId="3" borderId="12" xfId="0" applyFont="1" applyFill="1" applyBorder="1" applyAlignment="1">
      <alignment horizontal="center" vertical="top"/>
    </xf>
    <xf numFmtId="0" fontId="16" fillId="3" borderId="17" xfId="0" applyFont="1" applyFill="1" applyBorder="1" applyAlignment="1">
      <alignment horizontal="center" vertical="top"/>
    </xf>
    <xf numFmtId="0" fontId="9" fillId="4" borderId="4" xfId="0" applyFont="1" applyFill="1" applyBorder="1" applyAlignment="1">
      <alignment horizontal="center" vertical="center" wrapText="1"/>
    </xf>
    <xf numFmtId="0" fontId="9" fillId="4" borderId="14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9" fillId="21" borderId="4" xfId="0" applyFont="1" applyFill="1" applyBorder="1" applyAlignment="1">
      <alignment horizontal="center" vertical="center" wrapText="1"/>
    </xf>
    <xf numFmtId="0" fontId="9" fillId="21" borderId="14" xfId="0" applyFont="1" applyFill="1" applyBorder="1" applyAlignment="1">
      <alignment horizontal="center" vertical="center" wrapText="1"/>
    </xf>
    <xf numFmtId="0" fontId="9" fillId="21" borderId="2" xfId="0" applyFont="1" applyFill="1" applyBorder="1" applyAlignment="1">
      <alignment horizontal="center" vertical="center" wrapText="1"/>
    </xf>
    <xf numFmtId="0" fontId="9" fillId="21" borderId="15" xfId="0" applyFont="1" applyFill="1" applyBorder="1" applyAlignment="1">
      <alignment horizontal="center" vertical="center" wrapText="1"/>
    </xf>
    <xf numFmtId="0" fontId="9" fillId="24" borderId="5" xfId="0" applyFont="1" applyFill="1" applyBorder="1" applyAlignment="1">
      <alignment horizontal="center" vertical="center" wrapText="1"/>
    </xf>
    <xf numFmtId="0" fontId="9" fillId="24" borderId="14" xfId="0" applyFont="1" applyFill="1" applyBorder="1" applyAlignment="1">
      <alignment horizontal="center" vertical="center" wrapText="1"/>
    </xf>
    <xf numFmtId="0" fontId="9" fillId="24" borderId="4" xfId="0" applyFont="1" applyFill="1" applyBorder="1" applyAlignment="1">
      <alignment horizontal="center" vertical="top" wrapText="1"/>
    </xf>
    <xf numFmtId="0" fontId="9" fillId="24" borderId="5" xfId="0" applyFont="1" applyFill="1" applyBorder="1" applyAlignment="1">
      <alignment horizontal="center" vertical="top" wrapText="1"/>
    </xf>
    <xf numFmtId="0" fontId="9" fillId="4" borderId="30" xfId="0" applyFont="1" applyFill="1" applyBorder="1" applyAlignment="1">
      <alignment horizontal="center" vertical="top"/>
    </xf>
    <xf numFmtId="0" fontId="9" fillId="4" borderId="31" xfId="0" applyFont="1" applyFill="1" applyBorder="1" applyAlignment="1">
      <alignment horizontal="center" vertical="top"/>
    </xf>
    <xf numFmtId="0" fontId="9" fillId="4" borderId="4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10" fillId="4" borderId="12" xfId="0" applyFont="1" applyFill="1" applyBorder="1" applyAlignment="1">
      <alignment horizontal="center" vertical="top"/>
    </xf>
    <xf numFmtId="0" fontId="10" fillId="4" borderId="17" xfId="0" applyFont="1" applyFill="1" applyBorder="1" applyAlignment="1">
      <alignment horizontal="center" vertical="top"/>
    </xf>
    <xf numFmtId="0" fontId="9" fillId="4" borderId="22" xfId="0" applyFont="1" applyFill="1" applyBorder="1" applyAlignment="1">
      <alignment horizontal="center" vertical="top"/>
    </xf>
    <xf numFmtId="0" fontId="9" fillId="4" borderId="24" xfId="0" applyFont="1" applyFill="1" applyBorder="1" applyAlignment="1">
      <alignment horizontal="center" vertical="top"/>
    </xf>
    <xf numFmtId="0" fontId="9" fillId="5" borderId="28" xfId="0" applyFont="1" applyFill="1" applyBorder="1" applyAlignment="1">
      <alignment horizontal="center" vertical="top"/>
    </xf>
    <xf numFmtId="0" fontId="9" fillId="5" borderId="29" xfId="0" applyFont="1" applyFill="1" applyBorder="1" applyAlignment="1">
      <alignment horizontal="center" vertical="top"/>
    </xf>
    <xf numFmtId="0" fontId="88" fillId="25" borderId="3" xfId="0" applyFont="1" applyFill="1" applyBorder="1" applyAlignment="1">
      <alignment horizontal="center" vertical="top" wrapText="1"/>
    </xf>
    <xf numFmtId="0" fontId="9" fillId="6" borderId="27" xfId="0" applyFont="1" applyFill="1" applyBorder="1" applyAlignment="1">
      <alignment horizontal="center" vertical="top"/>
    </xf>
    <xf numFmtId="0" fontId="9" fillId="8" borderId="22" xfId="0" applyFont="1" applyFill="1" applyBorder="1" applyAlignment="1">
      <alignment horizontal="center" vertical="top"/>
    </xf>
    <xf numFmtId="0" fontId="9" fillId="8" borderId="24" xfId="0" applyFont="1" applyFill="1" applyBorder="1" applyAlignment="1">
      <alignment horizontal="center" vertical="top"/>
    </xf>
    <xf numFmtId="0" fontId="9" fillId="5" borderId="27" xfId="0" applyFont="1" applyFill="1" applyBorder="1" applyAlignment="1">
      <alignment horizontal="center" vertical="top"/>
    </xf>
    <xf numFmtId="0" fontId="9" fillId="5" borderId="30" xfId="0" applyFont="1" applyFill="1" applyBorder="1" applyAlignment="1">
      <alignment horizontal="center" vertical="top"/>
    </xf>
    <xf numFmtId="0" fontId="9" fillId="5" borderId="31" xfId="0" applyFont="1" applyFill="1" applyBorder="1" applyAlignment="1">
      <alignment horizontal="center" vertical="top"/>
    </xf>
    <xf numFmtId="0" fontId="9" fillId="6" borderId="30" xfId="0" applyFont="1" applyFill="1" applyBorder="1" applyAlignment="1">
      <alignment horizontal="center" vertical="top"/>
    </xf>
    <xf numFmtId="0" fontId="9" fillId="6" borderId="31" xfId="0" applyFont="1" applyFill="1" applyBorder="1" applyAlignment="1">
      <alignment horizontal="center" vertical="top"/>
    </xf>
    <xf numFmtId="0" fontId="9" fillId="25" borderId="3" xfId="0" applyFont="1" applyFill="1" applyBorder="1" applyAlignment="1">
      <alignment horizontal="center" vertical="top"/>
    </xf>
    <xf numFmtId="0" fontId="88" fillId="6" borderId="23" xfId="0" applyFont="1" applyFill="1" applyBorder="1" applyAlignment="1">
      <alignment horizontal="center" vertical="center" wrapText="1"/>
    </xf>
    <xf numFmtId="0" fontId="88" fillId="6" borderId="24" xfId="0" applyFont="1" applyFill="1" applyBorder="1" applyAlignment="1">
      <alignment horizontal="center" vertical="center" wrapText="1"/>
    </xf>
    <xf numFmtId="0" fontId="9" fillId="6" borderId="34" xfId="0" applyFont="1" applyFill="1" applyBorder="1" applyAlignment="1">
      <alignment horizontal="center" vertical="top"/>
    </xf>
    <xf numFmtId="0" fontId="9" fillId="5" borderId="18" xfId="0" applyFont="1" applyFill="1" applyBorder="1" applyAlignment="1">
      <alignment horizontal="center" vertical="top"/>
    </xf>
    <xf numFmtId="0" fontId="9" fillId="5" borderId="10" xfId="0" applyFont="1" applyFill="1" applyBorder="1" applyAlignment="1">
      <alignment horizontal="center" vertical="top"/>
    </xf>
    <xf numFmtId="0" fontId="9" fillId="5" borderId="6" xfId="0" applyFont="1" applyFill="1" applyBorder="1" applyAlignment="1">
      <alignment horizontal="center" vertical="top"/>
    </xf>
    <xf numFmtId="0" fontId="9" fillId="8" borderId="19" xfId="0" applyFont="1" applyFill="1" applyBorder="1" applyAlignment="1">
      <alignment horizontal="center" vertical="top"/>
    </xf>
    <xf numFmtId="0" fontId="9" fillId="8" borderId="1" xfId="0" applyFont="1" applyFill="1" applyBorder="1" applyAlignment="1">
      <alignment horizontal="center" vertical="top"/>
    </xf>
    <xf numFmtId="0" fontId="9" fillId="4" borderId="19" xfId="0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top"/>
    </xf>
    <xf numFmtId="0" fontId="9" fillId="5" borderId="9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3" fillId="8" borderId="19" xfId="0" applyFont="1" applyFill="1" applyBorder="1" applyAlignment="1">
      <alignment horizontal="center" vertical="top" wrapText="1"/>
    </xf>
    <xf numFmtId="0" fontId="13" fillId="8" borderId="1" xfId="0" applyFont="1" applyFill="1" applyBorder="1" applyAlignment="1">
      <alignment horizontal="center" vertical="top" wrapText="1"/>
    </xf>
    <xf numFmtId="0" fontId="13" fillId="8" borderId="20" xfId="0" applyFont="1" applyFill="1" applyBorder="1" applyAlignment="1">
      <alignment horizontal="center" vertical="top" wrapText="1"/>
    </xf>
    <xf numFmtId="0" fontId="13" fillId="8" borderId="11" xfId="0" applyFont="1" applyFill="1" applyBorder="1" applyAlignment="1">
      <alignment horizontal="center" vertical="top" wrapText="1"/>
    </xf>
    <xf numFmtId="0" fontId="9" fillId="5" borderId="2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16" fillId="3" borderId="19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top"/>
    </xf>
    <xf numFmtId="0" fontId="13" fillId="4" borderId="1" xfId="0" applyFont="1" applyFill="1" applyBorder="1" applyAlignment="1">
      <alignment horizontal="center" vertical="top"/>
    </xf>
    <xf numFmtId="0" fontId="16" fillId="3" borderId="2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8" borderId="8" xfId="0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91" fillId="6" borderId="6" xfId="0" applyFont="1" applyFill="1" applyBorder="1" applyAlignment="1">
      <alignment horizontal="center" wrapText="1"/>
    </xf>
    <xf numFmtId="0" fontId="13" fillId="6" borderId="17" xfId="0" applyFont="1" applyFill="1" applyBorder="1" applyAlignment="1">
      <alignment horizontal="center" wrapText="1"/>
    </xf>
    <xf numFmtId="0" fontId="13" fillId="6" borderId="9" xfId="0" applyFont="1" applyFill="1" applyBorder="1" applyAlignment="1">
      <alignment horizontal="center" wrapText="1"/>
    </xf>
    <xf numFmtId="0" fontId="13" fillId="6" borderId="16" xfId="0" applyFont="1" applyFill="1" applyBorder="1" applyAlignment="1">
      <alignment horizontal="center" wrapText="1"/>
    </xf>
    <xf numFmtId="0" fontId="11" fillId="6" borderId="18" xfId="0" applyFont="1" applyFill="1" applyBorder="1" applyAlignment="1">
      <alignment horizontal="left" vertical="top"/>
    </xf>
    <xf numFmtId="0" fontId="11" fillId="6" borderId="6" xfId="0" applyFont="1" applyFill="1" applyBorder="1" applyAlignment="1">
      <alignment horizontal="left" vertical="top"/>
    </xf>
    <xf numFmtId="0" fontId="11" fillId="6" borderId="10" xfId="0" applyFont="1" applyFill="1" applyBorder="1" applyAlignment="1">
      <alignment horizontal="left" vertical="top"/>
    </xf>
    <xf numFmtId="0" fontId="9" fillId="6" borderId="19" xfId="0" applyFont="1" applyFill="1" applyBorder="1" applyAlignment="1">
      <alignment horizontal="center" vertical="top"/>
    </xf>
    <xf numFmtId="0" fontId="9" fillId="6" borderId="1" xfId="0" applyFont="1" applyFill="1" applyBorder="1" applyAlignment="1">
      <alignment horizontal="center" vertical="top"/>
    </xf>
    <xf numFmtId="0" fontId="13" fillId="6" borderId="19" xfId="0" applyFont="1" applyFill="1" applyBorder="1" applyAlignment="1">
      <alignment horizontal="center" vertical="top"/>
    </xf>
    <xf numFmtId="0" fontId="13" fillId="6" borderId="0" xfId="0" applyFont="1" applyFill="1" applyBorder="1" applyAlignment="1">
      <alignment horizontal="center" vertical="top"/>
    </xf>
    <xf numFmtId="0" fontId="13" fillId="6" borderId="1" xfId="0" applyFont="1" applyFill="1" applyBorder="1" applyAlignment="1">
      <alignment horizontal="center" vertical="top"/>
    </xf>
    <xf numFmtId="0" fontId="9" fillId="6" borderId="20" xfId="0" applyFont="1" applyFill="1" applyBorder="1" applyAlignment="1">
      <alignment horizontal="center" vertical="top"/>
    </xf>
    <xf numFmtId="0" fontId="9" fillId="6" borderId="9" xfId="0" applyFont="1" applyFill="1" applyBorder="1" applyAlignment="1">
      <alignment horizontal="center" vertical="top"/>
    </xf>
    <xf numFmtId="0" fontId="9" fillId="6" borderId="11" xfId="0" applyFont="1" applyFill="1" applyBorder="1" applyAlignment="1">
      <alignment horizontal="center" vertical="top"/>
    </xf>
    <xf numFmtId="0" fontId="146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211" fillId="36" borderId="9" xfId="8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1" xfId="0" applyBorder="1" applyAlignment="1">
      <alignment horizontal="center"/>
    </xf>
    <xf numFmtId="0" fontId="0" fillId="0" borderId="9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223" fillId="0" borderId="6" xfId="0" applyFont="1" applyBorder="1" applyAlignment="1">
      <alignment horizontal="center"/>
    </xf>
    <xf numFmtId="0" fontId="204" fillId="0" borderId="0" xfId="0" applyFont="1" applyAlignment="1">
      <alignment horizontal="left"/>
    </xf>
    <xf numFmtId="0" fontId="147" fillId="0" borderId="0" xfId="4" applyFont="1" applyAlignment="1">
      <alignment horizontal="left" vertical="top" wrapText="1"/>
    </xf>
    <xf numFmtId="0" fontId="149" fillId="0" borderId="114" xfId="4" applyFont="1" applyBorder="1" applyAlignment="1">
      <alignment horizontal="left" vertical="center" wrapText="1"/>
    </xf>
    <xf numFmtId="0" fontId="149" fillId="0" borderId="115" xfId="4" applyFont="1" applyBorder="1" applyAlignment="1">
      <alignment horizontal="left" vertical="center"/>
    </xf>
    <xf numFmtId="0" fontId="149" fillId="0" borderId="116" xfId="4" applyFont="1" applyBorder="1" applyAlignment="1">
      <alignment horizontal="left" vertical="center"/>
    </xf>
    <xf numFmtId="0" fontId="149" fillId="0" borderId="117" xfId="4" applyFont="1" applyBorder="1" applyAlignment="1">
      <alignment horizontal="left" vertical="center"/>
    </xf>
    <xf numFmtId="0" fontId="149" fillId="0" borderId="0" xfId="4" applyFont="1" applyBorder="1" applyAlignment="1">
      <alignment horizontal="left" vertical="center"/>
    </xf>
    <xf numFmtId="0" fontId="149" fillId="0" borderId="118" xfId="4" applyFont="1" applyBorder="1" applyAlignment="1">
      <alignment horizontal="left" vertical="center"/>
    </xf>
    <xf numFmtId="0" fontId="149" fillId="0" borderId="119" xfId="4" applyFont="1" applyBorder="1" applyAlignment="1">
      <alignment horizontal="left" vertical="center"/>
    </xf>
    <xf numFmtId="0" fontId="149" fillId="0" borderId="120" xfId="4" applyFont="1" applyBorder="1" applyAlignment="1">
      <alignment horizontal="left" vertical="center"/>
    </xf>
    <xf numFmtId="0" fontId="149" fillId="0" borderId="121" xfId="4" applyFont="1" applyBorder="1" applyAlignment="1">
      <alignment horizontal="left" vertical="center"/>
    </xf>
  </cellXfs>
  <cellStyles count="9">
    <cellStyle name="Bad 2" xfId="7" xr:uid="{00000000-0005-0000-0000-000000000000}"/>
    <cellStyle name="Hyperlink 2" xfId="6" xr:uid="{00000000-0005-0000-0000-000003000000}"/>
    <cellStyle name="İyi" xfId="8" builtinId="26"/>
    <cellStyle name="Köprü" xfId="3" builtinId="8"/>
    <cellStyle name="Normal" xfId="0" builtinId="0"/>
    <cellStyle name="Normal 2" xfId="1" xr:uid="{00000000-0005-0000-0000-000005000000}"/>
    <cellStyle name="Normal 2 2" xfId="5" xr:uid="{00000000-0005-0000-0000-000006000000}"/>
    <cellStyle name="Normal 3" xfId="4" xr:uid="{00000000-0005-0000-0000-000007000000}"/>
    <cellStyle name="Percent 2" xfId="2" xr:uid="{00000000-0005-0000-0000-000008000000}"/>
  </cellStyles>
  <dxfs count="4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70000"/>
      </font>
      <fill>
        <patternFill>
          <bgColor rgb="FFE5B7B8"/>
        </patternFill>
      </fill>
    </dxf>
    <dxf>
      <font>
        <color rgb="FF019A01"/>
      </font>
      <fill>
        <patternFill>
          <bgColor rgb="FFC3F4C4"/>
        </patternFill>
      </fill>
    </dxf>
    <dxf>
      <font>
        <color rgb="FF7D3F3F"/>
      </font>
      <fill>
        <patternFill>
          <bgColor rgb="FFC3F4C4"/>
        </patternFill>
      </fill>
    </dxf>
    <dxf>
      <font>
        <color rgb="FF005E01"/>
      </font>
      <fill>
        <patternFill>
          <bgColor rgb="FFFFCCCC"/>
        </patternFill>
      </fill>
    </dxf>
    <dxf>
      <font>
        <color rgb="FFFFCCCC"/>
      </font>
      <fill>
        <patternFill>
          <bgColor rgb="FFCC9999"/>
        </patternFill>
      </fill>
    </dxf>
    <dxf>
      <font>
        <color rgb="FFCCFFCC"/>
      </font>
      <fill>
        <patternFill>
          <bgColor rgb="FF99CC99"/>
        </patternFill>
      </fill>
    </dxf>
    <dxf>
      <font>
        <color rgb="FFFFCCCC"/>
      </font>
      <fill>
        <patternFill>
          <bgColor rgb="FFCC9999"/>
        </patternFill>
      </fill>
    </dxf>
    <dxf>
      <font>
        <color rgb="FFCCFFCC"/>
      </font>
      <fill>
        <patternFill>
          <bgColor rgb="FF99CC99"/>
        </patternFill>
      </fill>
    </dxf>
    <dxf>
      <font>
        <color rgb="FFC70000"/>
      </font>
      <fill>
        <patternFill>
          <bgColor rgb="FFE5B7B8"/>
        </patternFill>
      </fill>
    </dxf>
    <dxf>
      <font>
        <color rgb="FF019A01"/>
      </font>
      <fill>
        <patternFill>
          <bgColor rgb="FFC3F4C4"/>
        </patternFill>
      </fill>
    </dxf>
    <dxf>
      <font>
        <color rgb="FF7D3F3F"/>
      </font>
      <fill>
        <patternFill>
          <bgColor rgb="FFC3F4C4"/>
        </patternFill>
      </fill>
    </dxf>
    <dxf>
      <font>
        <color rgb="FF005E01"/>
      </font>
      <fill>
        <patternFill>
          <bgColor rgb="FFFFCCCC"/>
        </patternFill>
      </fill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color rgb="FFFFCCCC"/>
      </font>
      <fill>
        <patternFill>
          <bgColor rgb="FFCC9999"/>
        </patternFill>
      </fill>
    </dxf>
    <dxf>
      <font>
        <color rgb="FFCCFFCC"/>
      </font>
      <fill>
        <patternFill>
          <bgColor rgb="FF99CC99"/>
        </patternFill>
      </fill>
    </dxf>
    <dxf>
      <font>
        <color rgb="FFC70000"/>
      </font>
      <fill>
        <patternFill>
          <bgColor rgb="FFE5B7B8"/>
        </patternFill>
      </fill>
    </dxf>
    <dxf>
      <font>
        <color rgb="FF019A01"/>
      </font>
      <fill>
        <patternFill>
          <bgColor rgb="FFC3F4C4"/>
        </patternFill>
      </fill>
    </dxf>
    <dxf>
      <font>
        <color rgb="FF7D3F3F"/>
      </font>
      <fill>
        <patternFill>
          <bgColor rgb="FFC3F4C4"/>
        </patternFill>
      </fill>
    </dxf>
    <dxf>
      <font>
        <color rgb="FF005E01"/>
      </font>
      <fill>
        <patternFill>
          <bgColor rgb="FFFFCCCC"/>
        </patternFill>
      </fill>
    </dxf>
    <dxf>
      <font>
        <color rgb="FFFF5050"/>
      </font>
      <fill>
        <patternFill>
          <bgColor rgb="FF990000"/>
        </patternFill>
      </fill>
    </dxf>
    <dxf>
      <font>
        <color rgb="FF33CC33"/>
      </font>
      <fill>
        <patternFill>
          <bgColor rgb="FF005E01"/>
        </patternFill>
      </fill>
    </dxf>
    <dxf>
      <font>
        <color rgb="FFFFCCCC"/>
      </font>
      <fill>
        <patternFill>
          <bgColor rgb="FFCC9999"/>
        </patternFill>
      </fill>
    </dxf>
    <dxf>
      <font>
        <color rgb="FFCCFFCC"/>
      </font>
      <fill>
        <patternFill>
          <bgColor rgb="FF99CC99"/>
        </patternFill>
      </fill>
    </dxf>
    <dxf>
      <font>
        <b/>
        <i val="0"/>
        <color auto="1"/>
      </font>
    </dxf>
    <dxf>
      <font>
        <b/>
        <i val="0"/>
        <color auto="1"/>
      </font>
    </dxf>
  </dxfs>
  <tableStyles count="0" defaultTableStyle="TableStyleMedium2" defaultPivotStyle="PivotStyleLight16"/>
  <colors>
    <mruColors>
      <color rgb="FFBFBFBF"/>
      <color rgb="FF0432FF"/>
      <color rgb="FFFFF2CC"/>
      <color rgb="FFD9D9D9"/>
      <color rgb="FFFFE699"/>
      <color rgb="FFFF9999"/>
      <color rgb="FFD9E1F2"/>
      <color rgb="FFB8E9E4"/>
      <color rgb="FFB8B9E7"/>
      <color rgb="FFB8E8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gif"/><Relationship Id="rId1" Type="http://schemas.openxmlformats.org/officeDocument/2006/relationships/image" Target="../media/image6.gi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139464</xdr:colOff>
      <xdr:row>16</xdr:row>
      <xdr:rowOff>25687</xdr:rowOff>
    </xdr:from>
    <xdr:ext cx="297325" cy="1750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Metin kutusu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8457964" y="4813587"/>
              <a:ext cx="297325" cy="1750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tr-TR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tr-TR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𝑇𝑃𝑅</m:t>
                        </m:r>
                      </m:e>
                    </m:acc>
                  </m:oMath>
                </m:oMathPara>
              </a14:m>
              <a:endParaRPr lang="tr-TR" sz="110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2" name="Metin kutusu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8457964" y="4813587"/>
              <a:ext cx="297325" cy="1750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(𝑇𝑃𝑅) ̅</a:t>
              </a:r>
              <a:endParaRPr lang="tr-TR" sz="110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16</xdr:col>
      <xdr:colOff>167229</xdr:colOff>
      <xdr:row>13</xdr:row>
      <xdr:rowOff>35017</xdr:rowOff>
    </xdr:from>
    <xdr:ext cx="313163" cy="1750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Metin kutusu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9757025" y="3922772"/>
              <a:ext cx="313163" cy="1750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tr-TR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tr-TR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𝑇𝑁𝑅</m:t>
                        </m:r>
                      </m:e>
                    </m:acc>
                  </m:oMath>
                </m:oMathPara>
              </a14:m>
              <a:endParaRPr lang="tr-TR" sz="110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3" name="Metin kutusu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9757025" y="3922772"/>
              <a:ext cx="313163" cy="1750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(𝑇𝑁𝑅) ̅</a:t>
              </a:r>
              <a:endParaRPr lang="tr-TR" sz="110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9</xdr:col>
      <xdr:colOff>567329</xdr:colOff>
      <xdr:row>13</xdr:row>
      <xdr:rowOff>21461</xdr:rowOff>
    </xdr:from>
    <xdr:ext cx="299376" cy="1761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Metin kutusu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5710829" y="3882261"/>
              <a:ext cx="299376" cy="1761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tr-TR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tr-TR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𝐴𝐶𝐶</m:t>
                        </m:r>
                      </m:e>
                    </m:acc>
                  </m:oMath>
                </m:oMathPara>
              </a14:m>
              <a:endParaRPr lang="tr-TR" sz="110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4" name="Metin kutusu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5710829" y="3882261"/>
              <a:ext cx="299376" cy="1761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(𝐴𝐶𝐶) ̅</a:t>
              </a:r>
              <a:endParaRPr lang="tr-TR" sz="110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10</xdr:col>
      <xdr:colOff>167198</xdr:colOff>
      <xdr:row>22</xdr:row>
      <xdr:rowOff>23945</xdr:rowOff>
    </xdr:from>
    <xdr:ext cx="299569" cy="1750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Metin kutusu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5945698" y="6716845"/>
              <a:ext cx="299569" cy="1750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tr-TR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tr-TR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𝑃𝑃𝑉</m:t>
                        </m:r>
                      </m:e>
                    </m:acc>
                  </m:oMath>
                </m:oMathPara>
              </a14:m>
              <a:endParaRPr lang="tr-TR" sz="110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5" name="Metin kutusu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5945698" y="6716845"/>
              <a:ext cx="299569" cy="1750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(𝑃𝑃𝑉) ̅</a:t>
              </a:r>
              <a:endParaRPr lang="tr-TR" sz="110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8</xdr:col>
      <xdr:colOff>120535</xdr:colOff>
      <xdr:row>25</xdr:row>
      <xdr:rowOff>22243</xdr:rowOff>
    </xdr:from>
    <xdr:ext cx="315407" cy="1750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Metin kutusu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629035" y="7667643"/>
              <a:ext cx="315407" cy="1750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tr-TR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tr-TR" sz="1100" b="0" i="1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𝑁𝑃𝑉</m:t>
                        </m:r>
                      </m:e>
                    </m:acc>
                  </m:oMath>
                </m:oMathPara>
              </a14:m>
              <a:endParaRPr lang="tr-TR" sz="110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6" name="Metin kutusu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629035" y="7667643"/>
              <a:ext cx="315407" cy="1750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(𝑁𝑃𝑉) ̅</a:t>
              </a:r>
              <a:endParaRPr lang="tr-TR" sz="110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14</xdr:col>
      <xdr:colOff>281988</xdr:colOff>
      <xdr:row>13</xdr:row>
      <xdr:rowOff>20510</xdr:rowOff>
    </xdr:from>
    <xdr:ext cx="296107" cy="172227"/>
    <xdr:sp macro="" textlink="">
      <xdr:nvSpPr>
        <xdr:cNvPr id="7" name="Metin kutusu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8600488" y="3881310"/>
          <a:ext cx="296107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/>
          <a:r>
            <a:rPr lang="tr-TR" sz="1100" i="1">
              <a:solidFill>
                <a:schemeClr val="tx1">
                  <a:lumMod val="65000"/>
                  <a:lumOff val="35000"/>
                </a:schemeClr>
              </a:solidFill>
            </a:rPr>
            <a:t>PPV</a:t>
          </a:r>
          <a:r>
            <a:rPr lang="tr-TR" sz="1100">
              <a:solidFill>
                <a:schemeClr val="tx1">
                  <a:lumMod val="65000"/>
                  <a:lumOff val="35000"/>
                </a:schemeClr>
              </a:solidFill>
            </a:rPr>
            <a:t>*</a:t>
          </a:r>
        </a:p>
      </xdr:txBody>
    </xdr:sp>
    <xdr:clientData/>
  </xdr:oneCellAnchor>
  <xdr:oneCellAnchor>
    <xdr:from>
      <xdr:col>16</xdr:col>
      <xdr:colOff>265179</xdr:colOff>
      <xdr:row>16</xdr:row>
      <xdr:rowOff>17399</xdr:rowOff>
    </xdr:from>
    <xdr:ext cx="314125" cy="172227"/>
    <xdr:sp macro="" textlink="">
      <xdr:nvSpPr>
        <xdr:cNvPr id="8" name="Metin kutusu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9853679" y="4805299"/>
          <a:ext cx="31412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/>
          <a:r>
            <a:rPr lang="tr-TR" sz="1100" i="1">
              <a:solidFill>
                <a:schemeClr val="tx1">
                  <a:lumMod val="65000"/>
                  <a:lumOff val="35000"/>
                </a:schemeClr>
              </a:solidFill>
            </a:rPr>
            <a:t>NPV</a:t>
          </a:r>
          <a:r>
            <a:rPr lang="tr-TR" sz="1100">
              <a:solidFill>
                <a:schemeClr val="tx1">
                  <a:lumMod val="65000"/>
                  <a:lumOff val="35000"/>
                </a:schemeClr>
              </a:solidFill>
            </a:rPr>
            <a:t>*</a:t>
          </a:r>
        </a:p>
      </xdr:txBody>
    </xdr:sp>
    <xdr:clientData/>
  </xdr:oneCellAnchor>
  <xdr:oneCellAnchor>
    <xdr:from>
      <xdr:col>8</xdr:col>
      <xdr:colOff>290296</xdr:colOff>
      <xdr:row>22</xdr:row>
      <xdr:rowOff>16189</xdr:rowOff>
    </xdr:from>
    <xdr:ext cx="288542" cy="172227"/>
    <xdr:sp macro="" textlink="">
      <xdr:nvSpPr>
        <xdr:cNvPr id="9" name="Metin kutusu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4798796" y="6709089"/>
          <a:ext cx="288542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/>
          <a:r>
            <a:rPr lang="tr-TR" sz="1100" i="1">
              <a:solidFill>
                <a:schemeClr val="tx1">
                  <a:lumMod val="65000"/>
                  <a:lumOff val="35000"/>
                </a:schemeClr>
              </a:solidFill>
            </a:rPr>
            <a:t>TPR</a:t>
          </a:r>
          <a:r>
            <a:rPr lang="tr-TR" sz="1100">
              <a:solidFill>
                <a:schemeClr val="tx1">
                  <a:lumMod val="65000"/>
                  <a:lumOff val="35000"/>
                </a:schemeClr>
              </a:solidFill>
            </a:rPr>
            <a:t>*</a:t>
          </a:r>
        </a:p>
      </xdr:txBody>
    </xdr:sp>
    <xdr:clientData/>
  </xdr:oneCellAnchor>
  <xdr:oneCellAnchor>
    <xdr:from>
      <xdr:col>10</xdr:col>
      <xdr:colOff>222689</xdr:colOff>
      <xdr:row>25</xdr:row>
      <xdr:rowOff>17399</xdr:rowOff>
    </xdr:from>
    <xdr:ext cx="306559" cy="172227"/>
    <xdr:sp macro="" textlink="">
      <xdr:nvSpPr>
        <xdr:cNvPr id="10" name="Metin kutusu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6001189" y="7662799"/>
          <a:ext cx="30655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/>
          <a:r>
            <a:rPr lang="tr-TR" sz="1100" i="1">
              <a:solidFill>
                <a:schemeClr val="tx1">
                  <a:lumMod val="65000"/>
                  <a:lumOff val="35000"/>
                </a:schemeClr>
              </a:solidFill>
            </a:rPr>
            <a:t>TNR</a:t>
          </a:r>
          <a:r>
            <a:rPr lang="tr-TR" sz="1100">
              <a:solidFill>
                <a:schemeClr val="tx1">
                  <a:lumMod val="65000"/>
                  <a:lumOff val="35000"/>
                </a:schemeClr>
              </a:solidFill>
            </a:rPr>
            <a:t>*</a:t>
          </a:r>
        </a:p>
      </xdr:txBody>
    </xdr:sp>
    <xdr:clientData/>
  </xdr:oneCellAnchor>
  <xdr:oneCellAnchor>
    <xdr:from>
      <xdr:col>6</xdr:col>
      <xdr:colOff>28557</xdr:colOff>
      <xdr:row>22</xdr:row>
      <xdr:rowOff>16189</xdr:rowOff>
    </xdr:from>
    <xdr:ext cx="551049" cy="172227"/>
    <xdr:sp macro="" textlink="">
      <xdr:nvSpPr>
        <xdr:cNvPr id="11" name="Metin kutusu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3267057" y="6709089"/>
          <a:ext cx="55104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/>
          <a:r>
            <a:rPr lang="tr-TR" sz="1100" i="1">
              <a:solidFill>
                <a:schemeClr val="tx1">
                  <a:lumMod val="65000"/>
                  <a:lumOff val="35000"/>
                </a:schemeClr>
              </a:solidFill>
            </a:rPr>
            <a:t>INFORM</a:t>
          </a:r>
          <a:r>
            <a:rPr lang="tr-TR" sz="1100">
              <a:solidFill>
                <a:schemeClr val="tx1">
                  <a:lumMod val="65000"/>
                  <a:lumOff val="35000"/>
                </a:schemeClr>
              </a:solidFill>
            </a:rPr>
            <a:t>*</a:t>
          </a:r>
        </a:p>
      </xdr:txBody>
    </xdr:sp>
    <xdr:clientData/>
  </xdr:oneCellAnchor>
  <xdr:oneCellAnchor>
    <xdr:from>
      <xdr:col>20</xdr:col>
      <xdr:colOff>348783</xdr:colOff>
      <xdr:row>22</xdr:row>
      <xdr:rowOff>22225</xdr:rowOff>
    </xdr:from>
    <xdr:ext cx="231859" cy="172227"/>
    <xdr:sp macro="" textlink="">
      <xdr:nvSpPr>
        <xdr:cNvPr id="13" name="Metin kutusu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2477283" y="6715125"/>
          <a:ext cx="231859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/>
          <a:r>
            <a:rPr lang="tr-TR" sz="1100" i="1">
              <a:solidFill>
                <a:schemeClr val="tx1">
                  <a:lumMod val="65000"/>
                  <a:lumOff val="35000"/>
                </a:schemeClr>
              </a:solidFill>
            </a:rPr>
            <a:t>HC</a:t>
          </a:r>
          <a:r>
            <a:rPr lang="tr-TR" sz="1100">
              <a:solidFill>
                <a:schemeClr val="tx1">
                  <a:lumMod val="65000"/>
                  <a:lumOff val="35000"/>
                </a:schemeClr>
              </a:solidFill>
            </a:rPr>
            <a:t>*</a:t>
          </a:r>
        </a:p>
      </xdr:txBody>
    </xdr:sp>
    <xdr:clientData/>
  </xdr:oneCellAnchor>
  <xdr:oneCellAnchor>
    <xdr:from>
      <xdr:col>18</xdr:col>
      <xdr:colOff>215593</xdr:colOff>
      <xdr:row>22</xdr:row>
      <xdr:rowOff>22225</xdr:rowOff>
    </xdr:from>
    <xdr:ext cx="368691" cy="172227"/>
    <xdr:sp macro="" textlink="">
      <xdr:nvSpPr>
        <xdr:cNvPr id="14" name="Metin kutusu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1074093" y="6715125"/>
          <a:ext cx="368691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/>
          <a:r>
            <a:rPr lang="tr-TR" sz="1100" i="1">
              <a:solidFill>
                <a:schemeClr val="tx1">
                  <a:lumMod val="65000"/>
                  <a:lumOff val="35000"/>
                </a:schemeClr>
              </a:solidFill>
            </a:rPr>
            <a:t>PREV</a:t>
          </a:r>
          <a:r>
            <a:rPr lang="tr-TR" sz="1100">
              <a:solidFill>
                <a:schemeClr val="tx1">
                  <a:lumMod val="65000"/>
                  <a:lumOff val="35000"/>
                </a:schemeClr>
              </a:solidFill>
            </a:rPr>
            <a:t>*</a:t>
          </a:r>
        </a:p>
      </xdr:txBody>
    </xdr:sp>
    <xdr:clientData/>
  </xdr:oneCellAnchor>
  <xdr:oneCellAnchor>
    <xdr:from>
      <xdr:col>14</xdr:col>
      <xdr:colOff>253134</xdr:colOff>
      <xdr:row>28</xdr:row>
      <xdr:rowOff>22225</xdr:rowOff>
    </xdr:from>
    <xdr:ext cx="327975" cy="172227"/>
    <xdr:sp macro="" textlink="">
      <xdr:nvSpPr>
        <xdr:cNvPr id="15" name="Metin kutusu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8571634" y="8620125"/>
          <a:ext cx="32797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/>
          <a:r>
            <a:rPr lang="tr-TR" sz="1100" i="1">
              <a:solidFill>
                <a:schemeClr val="tx1">
                  <a:lumMod val="65000"/>
                  <a:lumOff val="35000"/>
                </a:schemeClr>
              </a:solidFill>
            </a:rPr>
            <a:t>BIAS</a:t>
          </a:r>
          <a:r>
            <a:rPr lang="tr-TR" sz="1100">
              <a:solidFill>
                <a:schemeClr val="tx1">
                  <a:lumMod val="65000"/>
                  <a:lumOff val="35000"/>
                </a:schemeClr>
              </a:solidFill>
            </a:rPr>
            <a:t>*</a:t>
          </a:r>
        </a:p>
      </xdr:txBody>
    </xdr:sp>
    <xdr:clientData/>
  </xdr:oneCellAnchor>
  <xdr:oneCellAnchor>
    <xdr:from>
      <xdr:col>16</xdr:col>
      <xdr:colOff>337005</xdr:colOff>
      <xdr:row>34</xdr:row>
      <xdr:rowOff>25400</xdr:rowOff>
    </xdr:from>
    <xdr:ext cx="250454" cy="172227"/>
    <xdr:sp macro="" textlink="">
      <xdr:nvSpPr>
        <xdr:cNvPr id="16" name="Metin kutusu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9925505" y="10528300"/>
          <a:ext cx="250454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 algn="r"/>
          <a:r>
            <a:rPr lang="tr-TR" sz="1100" i="1">
              <a:solidFill>
                <a:schemeClr val="tx1">
                  <a:lumMod val="65000"/>
                  <a:lumOff val="35000"/>
                </a:schemeClr>
              </a:solidFill>
            </a:rPr>
            <a:t>HO</a:t>
          </a:r>
          <a:r>
            <a:rPr lang="tr-TR" sz="1100">
              <a:solidFill>
                <a:schemeClr val="tx1">
                  <a:lumMod val="65000"/>
                  <a:lumOff val="35000"/>
                </a:schemeClr>
              </a:solidFill>
            </a:rPr>
            <a:t>*</a:t>
          </a:r>
        </a:p>
      </xdr:txBody>
    </xdr:sp>
    <xdr:clientData/>
  </xdr:oneCellAnchor>
  <xdr:oneCellAnchor>
    <xdr:from>
      <xdr:col>4</xdr:col>
      <xdr:colOff>348189</xdr:colOff>
      <xdr:row>7</xdr:row>
      <xdr:rowOff>25401</xdr:rowOff>
    </xdr:from>
    <xdr:ext cx="238270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Metin kutusu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 txBox="1"/>
          </xdr:nvSpPr>
          <xdr:spPr>
            <a:xfrm>
              <a:off x="2316689" y="2959101"/>
              <a:ext cx="23827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I</m:t>
                    </m:r>
                    <m: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/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II</m:t>
                    </m:r>
                  </m:oMath>
                </m:oMathPara>
              </a14:m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17" name="Metin kutusu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 txBox="1"/>
          </xdr:nvSpPr>
          <xdr:spPr>
            <a:xfrm>
              <a:off x="2316689" y="2959101"/>
              <a:ext cx="23827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I/II</a:t>
              </a:r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6</xdr:col>
      <xdr:colOff>349541</xdr:colOff>
      <xdr:row>10</xdr:row>
      <xdr:rowOff>26339</xdr:rowOff>
    </xdr:from>
    <xdr:ext cx="238270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Metin kutusu 17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 txBox="1"/>
          </xdr:nvSpPr>
          <xdr:spPr>
            <a:xfrm>
              <a:off x="3588041" y="3887139"/>
              <a:ext cx="23827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I</m:t>
                    </m:r>
                    <m: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/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II</m:t>
                    </m:r>
                  </m:oMath>
                </m:oMathPara>
              </a14:m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18" name="Metin kutusu 17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 txBox="1"/>
          </xdr:nvSpPr>
          <xdr:spPr>
            <a:xfrm>
              <a:off x="3588041" y="3887139"/>
              <a:ext cx="23827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I/II</a:t>
              </a:r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6</xdr:col>
      <xdr:colOff>345898</xdr:colOff>
      <xdr:row>7</xdr:row>
      <xdr:rowOff>27791</xdr:rowOff>
    </xdr:from>
    <xdr:ext cx="238270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Metin kutusu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/>
          </xdr:nvSpPr>
          <xdr:spPr>
            <a:xfrm>
              <a:off x="3584398" y="2961491"/>
              <a:ext cx="23827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I</m:t>
                    </m:r>
                    <m: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/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II</m:t>
                    </m:r>
                  </m:oMath>
                </m:oMathPara>
              </a14:m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19" name="Metin kutusu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 txBox="1"/>
          </xdr:nvSpPr>
          <xdr:spPr>
            <a:xfrm>
              <a:off x="3584398" y="2961491"/>
              <a:ext cx="23827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I/II</a:t>
              </a:r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352455</xdr:colOff>
      <xdr:row>10</xdr:row>
      <xdr:rowOff>24044</xdr:rowOff>
    </xdr:from>
    <xdr:ext cx="238270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Metin kutusu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/>
          </xdr:nvSpPr>
          <xdr:spPr>
            <a:xfrm>
              <a:off x="2320955" y="3884844"/>
              <a:ext cx="23827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I</m:t>
                    </m:r>
                    <m: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/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II</m:t>
                    </m:r>
                  </m:oMath>
                </m:oMathPara>
              </a14:m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20" name="Metin kutusu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/>
          </xdr:nvSpPr>
          <xdr:spPr>
            <a:xfrm>
              <a:off x="2320955" y="3884844"/>
              <a:ext cx="23827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I/II</a:t>
              </a:r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10</xdr:col>
      <xdr:colOff>348707</xdr:colOff>
      <xdr:row>13</xdr:row>
      <xdr:rowOff>25496</xdr:rowOff>
    </xdr:from>
    <xdr:ext cx="238270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Metin kutusu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>
              <a:off x="6127207" y="3886296"/>
              <a:ext cx="23827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I</m:t>
                    </m:r>
                    <m: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/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II</m:t>
                    </m:r>
                  </m:oMath>
                </m:oMathPara>
              </a14:m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21" name="Metin kutusu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>
              <a:off x="6127207" y="3886296"/>
              <a:ext cx="23827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I/II</a:t>
              </a:r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18</xdr:col>
      <xdr:colOff>343825</xdr:colOff>
      <xdr:row>7</xdr:row>
      <xdr:rowOff>7215</xdr:rowOff>
    </xdr:from>
    <xdr:ext cx="238270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Metin kutusu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 txBox="1"/>
          </xdr:nvSpPr>
          <xdr:spPr>
            <a:xfrm>
              <a:off x="11202325" y="1975715"/>
              <a:ext cx="23827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I</m:t>
                    </m:r>
                    <m: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/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II</m:t>
                    </m:r>
                  </m:oMath>
                </m:oMathPara>
              </a14:m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22" name="Metin kutusu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 txBox="1"/>
          </xdr:nvSpPr>
          <xdr:spPr>
            <a:xfrm>
              <a:off x="11202325" y="1975715"/>
              <a:ext cx="23827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I/II</a:t>
              </a:r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16</xdr:col>
      <xdr:colOff>512139</xdr:colOff>
      <xdr:row>13</xdr:row>
      <xdr:rowOff>38228</xdr:rowOff>
    </xdr:from>
    <xdr:ext cx="77585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Metin kutusu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/>
          </xdr:nvSpPr>
          <xdr:spPr>
            <a:xfrm>
              <a:off x="10100639" y="3899028"/>
              <a:ext cx="7758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I</m:t>
                    </m:r>
                  </m:oMath>
                </m:oMathPara>
              </a14:m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27" name="Metin kutusu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/>
          </xdr:nvSpPr>
          <xdr:spPr>
            <a:xfrm>
              <a:off x="10100639" y="3899028"/>
              <a:ext cx="7758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I</a:t>
              </a:r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14</xdr:col>
      <xdr:colOff>462592</xdr:colOff>
      <xdr:row>16</xdr:row>
      <xdr:rowOff>27396</xdr:rowOff>
    </xdr:from>
    <xdr:ext cx="123367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Metin kutusu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/>
          </xdr:nvSpPr>
          <xdr:spPr>
            <a:xfrm>
              <a:off x="8781092" y="4815296"/>
              <a:ext cx="123367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II</m:t>
                    </m:r>
                  </m:oMath>
                </m:oMathPara>
              </a14:m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29" name="Metin kutusu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/>
          </xdr:nvSpPr>
          <xdr:spPr>
            <a:xfrm>
              <a:off x="8781092" y="4815296"/>
              <a:ext cx="123367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II</a:t>
              </a:r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339954</xdr:colOff>
      <xdr:row>4</xdr:row>
      <xdr:rowOff>24621</xdr:rowOff>
    </xdr:from>
    <xdr:ext cx="238270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Metin kutusu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/>
          </xdr:nvSpPr>
          <xdr:spPr>
            <a:xfrm>
              <a:off x="3578454" y="1993121"/>
              <a:ext cx="23827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I</m:t>
                    </m:r>
                    <m: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/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II</m:t>
                    </m:r>
                  </m:oMath>
                </m:oMathPara>
              </a14:m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31" name="Metin kutusu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/>
          </xdr:nvSpPr>
          <xdr:spPr>
            <a:xfrm>
              <a:off x="3578454" y="1993121"/>
              <a:ext cx="23827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I/II</a:t>
              </a:r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2</xdr:col>
      <xdr:colOff>352654</xdr:colOff>
      <xdr:row>1</xdr:row>
      <xdr:rowOff>27615</xdr:rowOff>
    </xdr:from>
    <xdr:ext cx="238270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Metin kutusu 31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/>
          </xdr:nvSpPr>
          <xdr:spPr>
            <a:xfrm>
              <a:off x="1051154" y="91115"/>
              <a:ext cx="23827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I</m:t>
                    </m:r>
                    <m: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/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II</m:t>
                    </m:r>
                  </m:oMath>
                </m:oMathPara>
              </a14:m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32" name="Metin kutusu 31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/>
          </xdr:nvSpPr>
          <xdr:spPr>
            <a:xfrm>
              <a:off x="1051154" y="91115"/>
              <a:ext cx="23827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I/II</a:t>
              </a:r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10</xdr:col>
      <xdr:colOff>508663</xdr:colOff>
      <xdr:row>22</xdr:row>
      <xdr:rowOff>26950</xdr:rowOff>
    </xdr:from>
    <xdr:ext cx="77585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Metin kutusu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 txBox="1"/>
          </xdr:nvSpPr>
          <xdr:spPr>
            <a:xfrm>
              <a:off x="6287163" y="6719850"/>
              <a:ext cx="7758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I</m:t>
                    </m:r>
                  </m:oMath>
                </m:oMathPara>
              </a14:m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33" name="Metin kutusu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 txBox="1"/>
          </xdr:nvSpPr>
          <xdr:spPr>
            <a:xfrm>
              <a:off x="6287163" y="6719850"/>
              <a:ext cx="7758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I</a:t>
              </a:r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8</xdr:col>
      <xdr:colOff>462762</xdr:colOff>
      <xdr:row>25</xdr:row>
      <xdr:rowOff>26951</xdr:rowOff>
    </xdr:from>
    <xdr:ext cx="123367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Metin kutusu 33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 txBox="1"/>
          </xdr:nvSpPr>
          <xdr:spPr>
            <a:xfrm>
              <a:off x="4971262" y="7672351"/>
              <a:ext cx="123367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II</m:t>
                    </m:r>
                  </m:oMath>
                </m:oMathPara>
              </a14:m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34" name="Metin kutusu 33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 txBox="1"/>
          </xdr:nvSpPr>
          <xdr:spPr>
            <a:xfrm>
              <a:off x="4971262" y="7672351"/>
              <a:ext cx="123367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II</a:t>
              </a:r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8</xdr:col>
      <xdr:colOff>53697</xdr:colOff>
      <xdr:row>34</xdr:row>
      <xdr:rowOff>26773</xdr:rowOff>
    </xdr:from>
    <xdr:ext cx="534890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Metin kutusu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 txBox="1"/>
          </xdr:nvSpPr>
          <xdr:spPr>
            <a:xfrm>
              <a:off x="4562197" y="10529673"/>
              <a:ext cx="53489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tr-TR" sz="1100" b="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[0, 2]</a:t>
              </a:r>
              <a:r>
                <a:rPr lang="tr-TR" sz="1100" b="0" baseline="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tr-TR" sz="1100" b="0" i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ambria Math" panose="02040503050406030204" pitchFamily="18" charset="0"/>
                    </a:rPr>
                    <m:t>I</m:t>
                  </m:r>
                  <m:r>
                    <a:rPr lang="tr-TR" sz="1100" b="0" i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ambria Math" panose="02040503050406030204" pitchFamily="18" charset="0"/>
                    </a:rPr>
                    <m:t>/</m:t>
                  </m:r>
                  <m:r>
                    <m:rPr>
                      <m:sty m:val="p"/>
                    </m:rPr>
                    <a:rPr lang="tr-TR" sz="1100" b="0" i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ambria Math" panose="02040503050406030204" pitchFamily="18" charset="0"/>
                    </a:rPr>
                    <m:t>II</m:t>
                  </m:r>
                </m:oMath>
              </a14:m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35" name="Metin kutusu 34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 txBox="1"/>
          </xdr:nvSpPr>
          <xdr:spPr>
            <a:xfrm>
              <a:off x="4562197" y="10529673"/>
              <a:ext cx="53489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tr-TR" sz="1100" b="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[0, 2]</a:t>
              </a:r>
              <a:r>
                <a:rPr lang="tr-TR" sz="1100" b="0" baseline="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 </a:t>
              </a:r>
              <a:r>
                <a:rPr lang="tr-TR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I/II</a:t>
              </a:r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10</xdr:col>
      <xdr:colOff>350745</xdr:colOff>
      <xdr:row>34</xdr:row>
      <xdr:rowOff>26773</xdr:rowOff>
    </xdr:from>
    <xdr:ext cx="238270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Metin kutusu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 txBox="1"/>
          </xdr:nvSpPr>
          <xdr:spPr>
            <a:xfrm>
              <a:off x="6129245" y="10529673"/>
              <a:ext cx="23827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I</m:t>
                    </m:r>
                    <m: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/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II</m:t>
                    </m:r>
                  </m:oMath>
                </m:oMathPara>
              </a14:m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36" name="Metin kutusu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 txBox="1"/>
          </xdr:nvSpPr>
          <xdr:spPr>
            <a:xfrm>
              <a:off x="6129245" y="10529673"/>
              <a:ext cx="23827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I/II</a:t>
              </a:r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18</xdr:col>
      <xdr:colOff>349633</xdr:colOff>
      <xdr:row>28</xdr:row>
      <xdr:rowOff>26953</xdr:rowOff>
    </xdr:from>
    <xdr:ext cx="238270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Metin kutusu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 txBox="1"/>
          </xdr:nvSpPr>
          <xdr:spPr>
            <a:xfrm>
              <a:off x="11208133" y="8624853"/>
              <a:ext cx="23827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I</m:t>
                    </m:r>
                    <m: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/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II</m:t>
                    </m:r>
                  </m:oMath>
                </m:oMathPara>
              </a14:m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37" name="Metin kutusu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 txBox="1"/>
          </xdr:nvSpPr>
          <xdr:spPr>
            <a:xfrm>
              <a:off x="11208133" y="8624853"/>
              <a:ext cx="23827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I/II</a:t>
              </a:r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20</xdr:col>
      <xdr:colOff>349634</xdr:colOff>
      <xdr:row>16</xdr:row>
      <xdr:rowOff>26961</xdr:rowOff>
    </xdr:from>
    <xdr:ext cx="238270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Metin kutusu 37">
              <a:extLs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 txBox="1"/>
          </xdr:nvSpPr>
          <xdr:spPr>
            <a:xfrm>
              <a:off x="12478134" y="4814861"/>
              <a:ext cx="23827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I</m:t>
                    </m:r>
                    <m: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/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II</m:t>
                    </m:r>
                  </m:oMath>
                </m:oMathPara>
              </a14:m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38" name="Metin kutusu 37">
              <a:extLs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 txBox="1"/>
          </xdr:nvSpPr>
          <xdr:spPr>
            <a:xfrm>
              <a:off x="12478134" y="4814861"/>
              <a:ext cx="23827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I/II</a:t>
              </a:r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20</xdr:col>
      <xdr:colOff>349634</xdr:colOff>
      <xdr:row>13</xdr:row>
      <xdr:rowOff>26961</xdr:rowOff>
    </xdr:from>
    <xdr:ext cx="238270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Metin kutusu 38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 txBox="1"/>
          </xdr:nvSpPr>
          <xdr:spPr>
            <a:xfrm>
              <a:off x="12478134" y="3887761"/>
              <a:ext cx="23827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I</m:t>
                    </m:r>
                    <m: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/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II</m:t>
                    </m:r>
                  </m:oMath>
                </m:oMathPara>
              </a14:m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39" name="Metin kutusu 38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 txBox="1"/>
          </xdr:nvSpPr>
          <xdr:spPr>
            <a:xfrm>
              <a:off x="12478134" y="3887761"/>
              <a:ext cx="23827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I/II</a:t>
              </a:r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18</xdr:col>
      <xdr:colOff>510457</xdr:colOff>
      <xdr:row>13</xdr:row>
      <xdr:rowOff>23564</xdr:rowOff>
    </xdr:from>
    <xdr:ext cx="77585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Metin kutusu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 txBox="1"/>
          </xdr:nvSpPr>
          <xdr:spPr>
            <a:xfrm>
              <a:off x="11368957" y="3884364"/>
              <a:ext cx="7758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I</m:t>
                    </m:r>
                  </m:oMath>
                </m:oMathPara>
              </a14:m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40" name="Metin kutusu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 txBox="1"/>
          </xdr:nvSpPr>
          <xdr:spPr>
            <a:xfrm>
              <a:off x="11368957" y="3884364"/>
              <a:ext cx="7758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I</a:t>
              </a:r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18</xdr:col>
      <xdr:colOff>464551</xdr:colOff>
      <xdr:row>16</xdr:row>
      <xdr:rowOff>23564</xdr:rowOff>
    </xdr:from>
    <xdr:ext cx="123367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Metin kutusu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 txBox="1"/>
          </xdr:nvSpPr>
          <xdr:spPr>
            <a:xfrm>
              <a:off x="11323051" y="4811464"/>
              <a:ext cx="123367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II</m:t>
                    </m:r>
                  </m:oMath>
                </m:oMathPara>
              </a14:m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41" name="Metin kutusu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 txBox="1"/>
          </xdr:nvSpPr>
          <xdr:spPr>
            <a:xfrm>
              <a:off x="11323051" y="4811464"/>
              <a:ext cx="123367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II</a:t>
              </a:r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16</xdr:col>
      <xdr:colOff>511193</xdr:colOff>
      <xdr:row>10</xdr:row>
      <xdr:rowOff>12678</xdr:rowOff>
    </xdr:from>
    <xdr:ext cx="77585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Metin kutusu 41">
              <a:extLs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SpPr txBox="1"/>
          </xdr:nvSpPr>
          <xdr:spPr>
            <a:xfrm>
              <a:off x="10099693" y="2946378"/>
              <a:ext cx="7758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I</m:t>
                    </m:r>
                  </m:oMath>
                </m:oMathPara>
              </a14:m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42" name="Metin kutusu 41">
              <a:extLs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SpPr txBox="1"/>
          </xdr:nvSpPr>
          <xdr:spPr>
            <a:xfrm>
              <a:off x="10099693" y="2946378"/>
              <a:ext cx="77585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I</a:t>
              </a:r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2</xdr:col>
      <xdr:colOff>233071</xdr:colOff>
      <xdr:row>2</xdr:row>
      <xdr:rowOff>61835</xdr:rowOff>
    </xdr:from>
    <xdr:ext cx="137282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Metin kutusu 42">
              <a:extLs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SpPr txBox="1"/>
          </xdr:nvSpPr>
          <xdr:spPr>
            <a:xfrm>
              <a:off x="737266" y="313932"/>
              <a:ext cx="13728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±</m:t>
                    </m:r>
                  </m:oMath>
                </m:oMathPara>
              </a14:m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43" name="Metin kutusu 42">
              <a:extLst>
                <a:ext uri="{FF2B5EF4-FFF2-40B4-BE49-F238E27FC236}">
                  <a16:creationId xmlns:a16="http://schemas.microsoft.com/office/drawing/2014/main" id="{AE406B7A-67C4-1A45-828D-F7A64109D78C}"/>
                </a:ext>
              </a:extLst>
            </xdr:cNvPr>
            <xdr:cNvSpPr txBox="1"/>
          </xdr:nvSpPr>
          <xdr:spPr>
            <a:xfrm>
              <a:off x="737266" y="313932"/>
              <a:ext cx="13728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±</a:t>
              </a:r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147642</xdr:colOff>
      <xdr:row>5</xdr:row>
      <xdr:rowOff>66592</xdr:rowOff>
    </xdr:from>
    <xdr:ext cx="137282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Metin kutusu 43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 txBox="1"/>
          </xdr:nvSpPr>
          <xdr:spPr>
            <a:xfrm>
              <a:off x="1536556" y="1270000"/>
              <a:ext cx="13728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±</m:t>
                    </m:r>
                  </m:oMath>
                </m:oMathPara>
              </a14:m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44" name="Metin kutusu 43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 txBox="1"/>
          </xdr:nvSpPr>
          <xdr:spPr>
            <a:xfrm>
              <a:off x="1536556" y="1270000"/>
              <a:ext cx="13728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±</a:t>
              </a:r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6</xdr:col>
      <xdr:colOff>290150</xdr:colOff>
      <xdr:row>24</xdr:row>
      <xdr:rowOff>142697</xdr:rowOff>
    </xdr:from>
    <xdr:ext cx="137282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Metin kutusu 45">
              <a:extLs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 txBox="1"/>
          </xdr:nvSpPr>
          <xdr:spPr>
            <a:xfrm>
              <a:off x="2563783" y="7310824"/>
              <a:ext cx="13728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±</m:t>
                    </m:r>
                  </m:oMath>
                </m:oMathPara>
              </a14:m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46" name="Metin kutusu 45">
              <a:extLst>
                <a:ext uri="{FF2B5EF4-FFF2-40B4-BE49-F238E27FC236}">
                  <a16:creationId xmlns:a16="http://schemas.microsoft.com/office/drawing/2014/main" id="{81A56471-8327-9B43-9BA3-F2D1A61FDB26}"/>
                </a:ext>
              </a:extLst>
            </xdr:cNvPr>
            <xdr:cNvSpPr txBox="1"/>
          </xdr:nvSpPr>
          <xdr:spPr>
            <a:xfrm>
              <a:off x="2563783" y="7310824"/>
              <a:ext cx="13728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±</a:t>
              </a:r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15</xdr:col>
      <xdr:colOff>440965</xdr:colOff>
      <xdr:row>5</xdr:row>
      <xdr:rowOff>65371</xdr:rowOff>
    </xdr:from>
    <xdr:ext cx="137282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Metin kutusu 46">
              <a:extLs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SpPr txBox="1"/>
          </xdr:nvSpPr>
          <xdr:spPr>
            <a:xfrm>
              <a:off x="9394465" y="1271871"/>
              <a:ext cx="13728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±</m:t>
                    </m:r>
                  </m:oMath>
                </m:oMathPara>
              </a14:m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47" name="Metin kutusu 46">
              <a:extLs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SpPr txBox="1"/>
          </xdr:nvSpPr>
          <xdr:spPr>
            <a:xfrm>
              <a:off x="9394465" y="1271871"/>
              <a:ext cx="13728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±</a:t>
              </a:r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351222</xdr:colOff>
      <xdr:row>10</xdr:row>
      <xdr:rowOff>27370</xdr:rowOff>
    </xdr:from>
    <xdr:ext cx="238270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Metin kutusu 49">
              <a:extLs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 txBox="1"/>
          </xdr:nvSpPr>
          <xdr:spPr>
            <a:xfrm>
              <a:off x="7399722" y="2961070"/>
              <a:ext cx="23827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I</m:t>
                    </m:r>
                    <m: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/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II</m:t>
                    </m:r>
                  </m:oMath>
                </m:oMathPara>
              </a14:m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50" name="Metin kutusu 49">
              <a:extLs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 txBox="1"/>
          </xdr:nvSpPr>
          <xdr:spPr>
            <a:xfrm>
              <a:off x="7399722" y="2961070"/>
              <a:ext cx="23827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I/II</a:t>
              </a:r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Fallback>
    </mc:AlternateContent>
    <xdr:clientData/>
  </xdr:oneCellAnchor>
  <xdr:twoCellAnchor editAs="oneCell">
    <xdr:from>
      <xdr:col>11</xdr:col>
      <xdr:colOff>57152</xdr:colOff>
      <xdr:row>40</xdr:row>
      <xdr:rowOff>33300</xdr:rowOff>
    </xdr:from>
    <xdr:to>
      <xdr:col>11</xdr:col>
      <xdr:colOff>201152</xdr:colOff>
      <xdr:row>40</xdr:row>
      <xdr:rowOff>177300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3730" y="11891925"/>
          <a:ext cx="144000" cy="14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289304</xdr:colOff>
      <xdr:row>40</xdr:row>
      <xdr:rowOff>33300</xdr:rowOff>
    </xdr:from>
    <xdr:to>
      <xdr:col>11</xdr:col>
      <xdr:colOff>433304</xdr:colOff>
      <xdr:row>40</xdr:row>
      <xdr:rowOff>177300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5882" y="11891925"/>
          <a:ext cx="144000" cy="144000"/>
        </a:xfrm>
        <a:prstGeom prst="rect">
          <a:avLst/>
        </a:prstGeom>
      </xdr:spPr>
    </xdr:pic>
    <xdr:clientData/>
  </xdr:twoCellAnchor>
  <xdr:twoCellAnchor editAs="oneCell">
    <xdr:from>
      <xdr:col>12</xdr:col>
      <xdr:colOff>27346</xdr:colOff>
      <xdr:row>40</xdr:row>
      <xdr:rowOff>33300</xdr:rowOff>
    </xdr:from>
    <xdr:to>
      <xdr:col>12</xdr:col>
      <xdr:colOff>170156</xdr:colOff>
      <xdr:row>40</xdr:row>
      <xdr:rowOff>177300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8034" y="11891925"/>
          <a:ext cx="142810" cy="144000"/>
        </a:xfrm>
        <a:prstGeom prst="rect">
          <a:avLst/>
        </a:prstGeom>
      </xdr:spPr>
    </xdr:pic>
    <xdr:clientData/>
  </xdr:twoCellAnchor>
  <xdr:twoCellAnchor editAs="oneCell">
    <xdr:from>
      <xdr:col>12</xdr:col>
      <xdr:colOff>258308</xdr:colOff>
      <xdr:row>40</xdr:row>
      <xdr:rowOff>33300</xdr:rowOff>
    </xdr:from>
    <xdr:to>
      <xdr:col>12</xdr:col>
      <xdr:colOff>402308</xdr:colOff>
      <xdr:row>40</xdr:row>
      <xdr:rowOff>177300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8996" y="11891925"/>
          <a:ext cx="144000" cy="144000"/>
        </a:xfrm>
        <a:prstGeom prst="rect">
          <a:avLst/>
        </a:prstGeom>
      </xdr:spPr>
    </xdr:pic>
    <xdr:clientData/>
  </xdr:twoCellAnchor>
  <xdr:oneCellAnchor>
    <xdr:from>
      <xdr:col>12</xdr:col>
      <xdr:colOff>349030</xdr:colOff>
      <xdr:row>4</xdr:row>
      <xdr:rowOff>32615</xdr:rowOff>
    </xdr:from>
    <xdr:ext cx="238270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Metin kutusu 50">
              <a:extLs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 txBox="1"/>
          </xdr:nvSpPr>
          <xdr:spPr>
            <a:xfrm>
              <a:off x="7397530" y="1048615"/>
              <a:ext cx="23827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I</m:t>
                    </m:r>
                    <m: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/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II</m:t>
                    </m:r>
                  </m:oMath>
                </m:oMathPara>
              </a14:m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51" name="Metin kutusu 50">
              <a:extLst>
                <a:ext uri="{FF2B5EF4-FFF2-40B4-BE49-F238E27FC236}">
                  <a16:creationId xmlns:a16="http://schemas.microsoft.com/office/drawing/2014/main" id="{2465811D-60E4-184F-A538-24232768AEF4}"/>
                </a:ext>
              </a:extLst>
            </xdr:cNvPr>
            <xdr:cNvSpPr txBox="1"/>
          </xdr:nvSpPr>
          <xdr:spPr>
            <a:xfrm>
              <a:off x="7397530" y="1048615"/>
              <a:ext cx="23827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I/II</a:t>
              </a:r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11</xdr:col>
      <xdr:colOff>633531</xdr:colOff>
      <xdr:row>7</xdr:row>
      <xdr:rowOff>161401</xdr:rowOff>
    </xdr:from>
    <xdr:ext cx="409340" cy="353475"/>
    <xdr:sp macro="" textlink="">
      <xdr:nvSpPr>
        <xdr:cNvPr id="53" name="Metin kutusu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7047031" y="2129901"/>
          <a:ext cx="409340" cy="3534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 anchorCtr="1">
          <a:noAutofit/>
        </a:bodyPr>
        <a:lstStyle/>
        <a:p>
          <a:pPr algn="ctr"/>
          <a:r>
            <a:rPr lang="tr-TR" sz="1050" i="1">
              <a:solidFill>
                <a:sysClr val="windowText" lastClr="000000"/>
              </a:solidFill>
              <a:latin typeface="+mn-lt"/>
            </a:rPr>
            <a:t>MdAE</a:t>
          </a:r>
        </a:p>
        <a:p>
          <a:pPr algn="ctr"/>
          <a:r>
            <a:rPr lang="tr-TR" sz="1050" i="1">
              <a:solidFill>
                <a:sysClr val="windowText" lastClr="000000"/>
              </a:solidFill>
              <a:latin typeface="+mn-lt"/>
            </a:rPr>
            <a:t>MxAE</a:t>
          </a:r>
        </a:p>
      </xdr:txBody>
    </xdr:sp>
    <xdr:clientData/>
  </xdr:oneCellAnchor>
  <xdr:oneCellAnchor>
    <xdr:from>
      <xdr:col>18</xdr:col>
      <xdr:colOff>351222</xdr:colOff>
      <xdr:row>4</xdr:row>
      <xdr:rowOff>27370</xdr:rowOff>
    </xdr:from>
    <xdr:ext cx="238270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Metin kutusu 53">
              <a:extLs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 txBox="1"/>
          </xdr:nvSpPr>
          <xdr:spPr>
            <a:xfrm>
              <a:off x="11209722" y="1043370"/>
              <a:ext cx="23827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I</m:t>
                    </m:r>
                    <m: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/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II</m:t>
                    </m:r>
                  </m:oMath>
                </m:oMathPara>
              </a14:m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54" name="Metin kutusu 53">
              <a:extLst>
                <a:ext uri="{FF2B5EF4-FFF2-40B4-BE49-F238E27FC236}">
                  <a16:creationId xmlns:a16="http://schemas.microsoft.com/office/drawing/2014/main" id="{D293CA1D-144E-7E40-A3D6-BB86E5BFAD95}"/>
                </a:ext>
              </a:extLst>
            </xdr:cNvPr>
            <xdr:cNvSpPr txBox="1"/>
          </xdr:nvSpPr>
          <xdr:spPr>
            <a:xfrm>
              <a:off x="11209722" y="1043370"/>
              <a:ext cx="23827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I/II</a:t>
              </a:r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18</xdr:col>
      <xdr:colOff>0</xdr:colOff>
      <xdr:row>4</xdr:row>
      <xdr:rowOff>139700</xdr:rowOff>
    </xdr:from>
    <xdr:ext cx="601447" cy="421141"/>
    <xdr:sp macro="" textlink="">
      <xdr:nvSpPr>
        <xdr:cNvPr id="55" name="Metin kutusu 28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10858500" y="1155700"/>
          <a:ext cx="601447" cy="421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tr-TR" sz="1050" i="1">
              <a:solidFill>
                <a:sysClr val="windowText" lastClr="000000"/>
              </a:solidFill>
              <a:latin typeface="+mn-lt"/>
            </a:rPr>
            <a:t>MdRAE</a:t>
          </a:r>
        </a:p>
        <a:p>
          <a:pPr algn="r"/>
          <a:r>
            <a:rPr lang="tr-TR" sz="1050" i="1">
              <a:solidFill>
                <a:sysClr val="windowText" lastClr="000000"/>
              </a:solidFill>
              <a:latin typeface="+mn-lt"/>
            </a:rPr>
            <a:t>GMRAE</a:t>
          </a:r>
        </a:p>
      </xdr:txBody>
    </xdr:sp>
    <xdr:clientData/>
  </xdr:oneCellAnchor>
  <xdr:oneCellAnchor>
    <xdr:from>
      <xdr:col>12</xdr:col>
      <xdr:colOff>351222</xdr:colOff>
      <xdr:row>4</xdr:row>
      <xdr:rowOff>27370</xdr:rowOff>
    </xdr:from>
    <xdr:ext cx="238270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Metin kutusu 51">
              <a:extLs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SpPr txBox="1"/>
          </xdr:nvSpPr>
          <xdr:spPr>
            <a:xfrm>
              <a:off x="7399722" y="2961070"/>
              <a:ext cx="23827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I</m:t>
                    </m:r>
                    <m: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/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II</m:t>
                    </m:r>
                  </m:oMath>
                </m:oMathPara>
              </a14:m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52" name="Metin kutusu 51">
              <a:extLst>
                <a:ext uri="{FF2B5EF4-FFF2-40B4-BE49-F238E27FC236}">
                  <a16:creationId xmlns:a16="http://schemas.microsoft.com/office/drawing/2014/main" id="{2D16E99D-2309-8B49-A943-CB7EF77F084F}"/>
                </a:ext>
              </a:extLst>
            </xdr:cNvPr>
            <xdr:cNvSpPr txBox="1"/>
          </xdr:nvSpPr>
          <xdr:spPr>
            <a:xfrm>
              <a:off x="7399722" y="2961070"/>
              <a:ext cx="23827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I/II</a:t>
              </a:r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351222</xdr:colOff>
      <xdr:row>7</xdr:row>
      <xdr:rowOff>27370</xdr:rowOff>
    </xdr:from>
    <xdr:ext cx="238270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Metin kutusu 55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 txBox="1"/>
          </xdr:nvSpPr>
          <xdr:spPr>
            <a:xfrm>
              <a:off x="7399722" y="2961070"/>
              <a:ext cx="23827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I</m:t>
                    </m:r>
                    <m: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/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II</m:t>
                    </m:r>
                  </m:oMath>
                </m:oMathPara>
              </a14:m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56" name="Metin kutusu 55">
              <a:extLst>
                <a:ext uri="{FF2B5EF4-FFF2-40B4-BE49-F238E27FC236}">
                  <a16:creationId xmlns:a16="http://schemas.microsoft.com/office/drawing/2014/main" id="{0BC4F872-153C-5F45-9BE2-A9C3BC63303C}"/>
                </a:ext>
              </a:extLst>
            </xdr:cNvPr>
            <xdr:cNvSpPr txBox="1"/>
          </xdr:nvSpPr>
          <xdr:spPr>
            <a:xfrm>
              <a:off x="7399722" y="2961070"/>
              <a:ext cx="23827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I/II</a:t>
              </a:r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11</xdr:col>
      <xdr:colOff>584550</xdr:colOff>
      <xdr:row>5</xdr:row>
      <xdr:rowOff>50800</xdr:rowOff>
    </xdr:from>
    <xdr:ext cx="499497" cy="256737"/>
    <xdr:sp macro="" textlink="">
      <xdr:nvSpPr>
        <xdr:cNvPr id="57" name="Metin kutusu 28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6998050" y="1257300"/>
          <a:ext cx="499497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tr-TR" sz="1050" i="1">
              <a:solidFill>
                <a:sysClr val="windowText" lastClr="000000"/>
              </a:solidFill>
              <a:latin typeface="+mn-lt"/>
            </a:rPr>
            <a:t>RMSE</a:t>
          </a:r>
        </a:p>
      </xdr:txBody>
    </xdr:sp>
    <xdr:clientData/>
  </xdr:oneCellAnchor>
  <xdr:oneCellAnchor>
    <xdr:from>
      <xdr:col>4</xdr:col>
      <xdr:colOff>352703</xdr:colOff>
      <xdr:row>34</xdr:row>
      <xdr:rowOff>25262</xdr:rowOff>
    </xdr:from>
    <xdr:ext cx="238270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Metin kutusu 57">
              <a:extLst>
                <a:ext uri="{FF2B5EF4-FFF2-40B4-BE49-F238E27FC236}">
                  <a16:creationId xmlns:a16="http://schemas.microsoft.com/office/drawing/2014/main" id="{00000000-0008-0000-0000-00003A000000}"/>
                </a:ext>
              </a:extLst>
            </xdr:cNvPr>
            <xdr:cNvSpPr txBox="1"/>
          </xdr:nvSpPr>
          <xdr:spPr>
            <a:xfrm>
              <a:off x="2321203" y="1041262"/>
              <a:ext cx="23827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I</m:t>
                    </m:r>
                    <m: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/</m:t>
                    </m:r>
                    <m:r>
                      <m:rPr>
                        <m:sty m:val="p"/>
                      </m:rPr>
                      <a:rPr lang="tr-TR" sz="1100" b="0" i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Cambria Math" panose="02040503050406030204" pitchFamily="18" charset="0"/>
                      </a:rPr>
                      <m:t>II</m:t>
                    </m:r>
                  </m:oMath>
                </m:oMathPara>
              </a14:m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58" name="Metin kutusu 57">
              <a:extLst>
                <a:ext uri="{FF2B5EF4-FFF2-40B4-BE49-F238E27FC236}">
                  <a16:creationId xmlns:a16="http://schemas.microsoft.com/office/drawing/2014/main" id="{3660568D-29B8-624E-9817-6B514DA84109}"/>
                </a:ext>
              </a:extLst>
            </xdr:cNvPr>
            <xdr:cNvSpPr txBox="1"/>
          </xdr:nvSpPr>
          <xdr:spPr>
            <a:xfrm>
              <a:off x="2321203" y="1041262"/>
              <a:ext cx="238270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</a:rPr>
                <a:t>I/II</a:t>
              </a:r>
              <a:endParaRPr lang="tr-TR" sz="1100" i="0">
                <a:solidFill>
                  <a:schemeClr val="tx1">
                    <a:lumMod val="65000"/>
                    <a:lumOff val="35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16</xdr:col>
      <xdr:colOff>165100</xdr:colOff>
      <xdr:row>11</xdr:row>
      <xdr:rowOff>50800</xdr:rowOff>
    </xdr:from>
    <xdr:ext cx="521810" cy="256737"/>
    <xdr:sp macro="" textlink="">
      <xdr:nvSpPr>
        <xdr:cNvPr id="61" name="Metin kutusu 28">
          <a:extLst>
            <a:ext uri="{FF2B5EF4-FFF2-40B4-BE49-F238E27FC236}">
              <a16:creationId xmlns:a16="http://schemas.microsoft.com/office/drawing/2014/main" id="{A3143239-F374-BE40-8629-C7D84217C926}"/>
            </a:ext>
          </a:extLst>
        </xdr:cNvPr>
        <xdr:cNvSpPr txBox="1"/>
      </xdr:nvSpPr>
      <xdr:spPr>
        <a:xfrm>
          <a:off x="9753600" y="3175000"/>
          <a:ext cx="521810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tr-TR" sz="1050" i="1">
              <a:solidFill>
                <a:sysClr val="windowText" lastClr="000000"/>
              </a:solidFill>
              <a:latin typeface="+mn-lt"/>
            </a:rPr>
            <a:t>GINI</a:t>
          </a:r>
          <a:r>
            <a:rPr lang="tr-TR" sz="1050" i="0">
              <a:solidFill>
                <a:sysClr val="windowText" lastClr="000000"/>
              </a:solidFill>
              <a:latin typeface="+mn-lt"/>
            </a:rPr>
            <a:t> </a:t>
          </a:r>
          <a:r>
            <a:rPr lang="tr-TR" sz="1050" i="0">
              <a:solidFill>
                <a:schemeClr val="tx1">
                  <a:lumMod val="50000"/>
                  <a:lumOff val="50000"/>
                </a:schemeClr>
              </a:solidFill>
              <a:latin typeface="+mn-lt"/>
            </a:rPr>
            <a:t>±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50800</xdr:colOff>
      <xdr:row>28</xdr:row>
      <xdr:rowOff>38100</xdr:rowOff>
    </xdr:from>
    <xdr:to>
      <xdr:col>11</xdr:col>
      <xdr:colOff>194800</xdr:colOff>
      <xdr:row>28</xdr:row>
      <xdr:rowOff>182100</xdr:rowOff>
    </xdr:to>
    <xdr:pic>
      <xdr:nvPicPr>
        <xdr:cNvPr id="2" name="Picture 2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300" y="6553200"/>
          <a:ext cx="144000" cy="14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257552</xdr:colOff>
      <xdr:row>28</xdr:row>
      <xdr:rowOff>38100</xdr:rowOff>
    </xdr:from>
    <xdr:to>
      <xdr:col>11</xdr:col>
      <xdr:colOff>401552</xdr:colOff>
      <xdr:row>28</xdr:row>
      <xdr:rowOff>182100</xdr:rowOff>
    </xdr:to>
    <xdr:pic>
      <xdr:nvPicPr>
        <xdr:cNvPr id="3" name="Picture 24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6052" y="6553200"/>
          <a:ext cx="144000" cy="144000"/>
        </a:xfrm>
        <a:prstGeom prst="rect">
          <a:avLst/>
        </a:prstGeom>
      </xdr:spPr>
    </xdr:pic>
    <xdr:clientData/>
  </xdr:twoCellAnchor>
  <xdr:twoCellAnchor editAs="oneCell">
    <xdr:from>
      <xdr:col>12</xdr:col>
      <xdr:colOff>59094</xdr:colOff>
      <xdr:row>28</xdr:row>
      <xdr:rowOff>38100</xdr:rowOff>
    </xdr:from>
    <xdr:to>
      <xdr:col>12</xdr:col>
      <xdr:colOff>201904</xdr:colOff>
      <xdr:row>28</xdr:row>
      <xdr:rowOff>182100</xdr:rowOff>
    </xdr:to>
    <xdr:pic>
      <xdr:nvPicPr>
        <xdr:cNvPr id="4" name="Picture 25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2094" y="6553200"/>
          <a:ext cx="142810" cy="144000"/>
        </a:xfrm>
        <a:prstGeom prst="rect">
          <a:avLst/>
        </a:prstGeom>
      </xdr:spPr>
    </xdr:pic>
    <xdr:clientData/>
  </xdr:twoCellAnchor>
  <xdr:twoCellAnchor editAs="oneCell">
    <xdr:from>
      <xdr:col>12</xdr:col>
      <xdr:colOff>264656</xdr:colOff>
      <xdr:row>28</xdr:row>
      <xdr:rowOff>38100</xdr:rowOff>
    </xdr:from>
    <xdr:to>
      <xdr:col>12</xdr:col>
      <xdr:colOff>408656</xdr:colOff>
      <xdr:row>28</xdr:row>
      <xdr:rowOff>182100</xdr:rowOff>
    </xdr:to>
    <xdr:pic>
      <xdr:nvPicPr>
        <xdr:cNvPr id="5" name="Picture 27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7656" y="6553200"/>
          <a:ext cx="144000" cy="144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52820</xdr:colOff>
      <xdr:row>10</xdr:row>
      <xdr:rowOff>109468</xdr:rowOff>
    </xdr:from>
    <xdr:ext cx="1448986" cy="4642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Metin kutusu 7">
              <a:extLst>
                <a:ext uri="{FF2B5EF4-FFF2-40B4-BE49-F238E27FC236}">
                  <a16:creationId xmlns:a16="http://schemas.microsoft.com/office/drawing/2014/main" id="{0B168A9E-0C94-084B-8B61-020E5A87F074}"/>
                </a:ext>
              </a:extLst>
            </xdr:cNvPr>
            <xdr:cNvSpPr txBox="1"/>
          </xdr:nvSpPr>
          <xdr:spPr>
            <a:xfrm>
              <a:off x="2050184" y="2210741"/>
              <a:ext cx="1448986" cy="4642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d>
                      <m:dPr>
                        <m:ctrlPr>
                          <a:rPr lang="tr-T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nary>
                          <m:naryPr>
                            <m:chr m:val="⋃"/>
                            <m:ctrlPr>
                              <a:rPr lang="tr-T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tr-T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tr-T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sup>
                          <m:e>
                            <m:sSub>
                              <m:sSubPr>
                                <m:ctrlPr>
                                  <a:rPr lang="tr-T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tr-TR" sz="1100" b="0" i="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X</m:t>
                                </m:r>
                              </m:e>
                              <m:sub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𝑘</m:t>
                                </m:r>
                              </m:sub>
                            </m:sSub>
                          </m:e>
                        </m:nary>
                      </m:e>
                    </m:d>
                    <m:r>
                      <a:rPr lang="tr-T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tr-T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tr-T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  <m:r>
                          <a:rPr lang="tr-T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tr-T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∞</m:t>
                        </m:r>
                      </m:sup>
                      <m:e>
                        <m:r>
                          <a:rPr lang="tr-T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  <m:d>
                          <m:dPr>
                            <m:ctrlPr>
                              <a:rPr lang="tr-T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tr-T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tr-TR" sz="1100" b="0" i="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X</m:t>
                                </m:r>
                              </m:e>
                              <m:sub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𝑘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8" name="Metin kutusu 7">
              <a:extLst>
                <a:ext uri="{FF2B5EF4-FFF2-40B4-BE49-F238E27FC236}">
                  <a16:creationId xmlns:a16="http://schemas.microsoft.com/office/drawing/2014/main" id="{0B168A9E-0C94-084B-8B61-020E5A87F074}"/>
                </a:ext>
              </a:extLst>
            </xdr:cNvPr>
            <xdr:cNvSpPr txBox="1"/>
          </xdr:nvSpPr>
          <xdr:spPr>
            <a:xfrm>
              <a:off x="2050184" y="2210741"/>
              <a:ext cx="1448986" cy="4642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𝜇(</a:t>
              </a:r>
              <a:r>
                <a:rPr lang="tr-T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⋃_(𝑘=1)^∞▒X_𝑘 )=∑_(𝑘=1)^∞▒𝜇(X_𝑘 ) 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8</xdr:col>
      <xdr:colOff>69273</xdr:colOff>
      <xdr:row>15</xdr:row>
      <xdr:rowOff>92363</xdr:rowOff>
    </xdr:from>
    <xdr:ext cx="1448986" cy="4642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Metin kutusu 8">
              <a:extLst>
                <a:ext uri="{FF2B5EF4-FFF2-40B4-BE49-F238E27FC236}">
                  <a16:creationId xmlns:a16="http://schemas.microsoft.com/office/drawing/2014/main" id="{4F94B152-1EDE-044E-8CAF-DF977F35C5DC}"/>
                </a:ext>
              </a:extLst>
            </xdr:cNvPr>
            <xdr:cNvSpPr txBox="1"/>
          </xdr:nvSpPr>
          <xdr:spPr>
            <a:xfrm>
              <a:off x="2066637" y="3232727"/>
              <a:ext cx="1448986" cy="4642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d>
                      <m:dPr>
                        <m:ctrlPr>
                          <a:rPr lang="tr-T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nary>
                          <m:naryPr>
                            <m:chr m:val="⋃"/>
                            <m:ctrlPr>
                              <a:rPr lang="tr-T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tr-T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tr-T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sup>
                          <m:e>
                            <m:sSub>
                              <m:sSubPr>
                                <m:ctrlPr>
                                  <a:rPr lang="tr-T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tr-TR" sz="1100" b="0" i="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X</m:t>
                                </m:r>
                              </m:e>
                              <m:sub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𝑘</m:t>
                                </m:r>
                              </m:sub>
                            </m:sSub>
                          </m:e>
                        </m:nary>
                      </m:e>
                    </m:d>
                    <m:r>
                      <a:rPr lang="tr-T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  <m:nary>
                      <m:naryPr>
                        <m:chr m:val="∑"/>
                        <m:ctrlPr>
                          <a:rPr lang="tr-T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tr-T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  <m:r>
                          <a:rPr lang="tr-T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tr-T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∞</m:t>
                        </m:r>
                      </m:sup>
                      <m:e>
                        <m:r>
                          <a:rPr lang="tr-T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  <m:d>
                          <m:dPr>
                            <m:ctrlPr>
                              <a:rPr lang="tr-T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tr-T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tr-TR" sz="1100" b="0" i="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X</m:t>
                                </m:r>
                              </m:e>
                              <m:sub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𝑘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9" name="Metin kutusu 8">
              <a:extLst>
                <a:ext uri="{FF2B5EF4-FFF2-40B4-BE49-F238E27FC236}">
                  <a16:creationId xmlns:a16="http://schemas.microsoft.com/office/drawing/2014/main" id="{4F94B152-1EDE-044E-8CAF-DF977F35C5DC}"/>
                </a:ext>
              </a:extLst>
            </xdr:cNvPr>
            <xdr:cNvSpPr txBox="1"/>
          </xdr:nvSpPr>
          <xdr:spPr>
            <a:xfrm>
              <a:off x="2066637" y="3232727"/>
              <a:ext cx="1448986" cy="4642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𝜇(</a:t>
              </a:r>
              <a:r>
                <a:rPr lang="tr-T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⋃_(𝑘=1)^∞▒X_𝑘 )≤∑_(𝑘=1)^∞▒𝜇(X_𝑘 ) 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8</xdr:col>
      <xdr:colOff>69273</xdr:colOff>
      <xdr:row>20</xdr:row>
      <xdr:rowOff>92363</xdr:rowOff>
    </xdr:from>
    <xdr:ext cx="1448986" cy="4642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Metin kutusu 9">
              <a:extLst>
                <a:ext uri="{FF2B5EF4-FFF2-40B4-BE49-F238E27FC236}">
                  <a16:creationId xmlns:a16="http://schemas.microsoft.com/office/drawing/2014/main" id="{E98C30CE-4F88-EF42-B2D0-529F03A18D4B}"/>
                </a:ext>
              </a:extLst>
            </xdr:cNvPr>
            <xdr:cNvSpPr txBox="1"/>
          </xdr:nvSpPr>
          <xdr:spPr>
            <a:xfrm>
              <a:off x="2066637" y="4271818"/>
              <a:ext cx="1448986" cy="4642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d>
                      <m:dPr>
                        <m:ctrlPr>
                          <a:rPr lang="tr-T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nary>
                          <m:naryPr>
                            <m:chr m:val="⋃"/>
                            <m:ctrlPr>
                              <a:rPr lang="tr-T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tr-T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tr-T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∞</m:t>
                            </m:r>
                          </m:sup>
                          <m:e>
                            <m:sSub>
                              <m:sSubPr>
                                <m:ctrlPr>
                                  <a:rPr lang="tr-T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tr-TR" sz="1100" b="0" i="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X</m:t>
                                </m:r>
                              </m:e>
                              <m:sub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𝑘</m:t>
                                </m:r>
                              </m:sub>
                            </m:sSub>
                          </m:e>
                        </m:nary>
                      </m:e>
                    </m:d>
                    <m:r>
                      <a:rPr lang="tr-T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  <m:nary>
                      <m:naryPr>
                        <m:chr m:val="∑"/>
                        <m:ctrlPr>
                          <a:rPr lang="tr-T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tr-T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  <m:r>
                          <a:rPr lang="tr-T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tr-T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∞</m:t>
                        </m:r>
                      </m:sup>
                      <m:e>
                        <m:r>
                          <a:rPr lang="tr-T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  <m:d>
                          <m:dPr>
                            <m:ctrlPr>
                              <a:rPr lang="tr-T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tr-T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tr-TR" sz="1100" b="0" i="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X</m:t>
                                </m:r>
                              </m:e>
                              <m:sub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𝑘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10" name="Metin kutusu 9">
              <a:extLst>
                <a:ext uri="{FF2B5EF4-FFF2-40B4-BE49-F238E27FC236}">
                  <a16:creationId xmlns:a16="http://schemas.microsoft.com/office/drawing/2014/main" id="{E98C30CE-4F88-EF42-B2D0-529F03A18D4B}"/>
                </a:ext>
              </a:extLst>
            </xdr:cNvPr>
            <xdr:cNvSpPr txBox="1"/>
          </xdr:nvSpPr>
          <xdr:spPr>
            <a:xfrm>
              <a:off x="2066637" y="4271818"/>
              <a:ext cx="1448986" cy="4642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𝜇(</a:t>
              </a:r>
              <a:r>
                <a:rPr lang="tr-T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⋃_(𝑘=1)^∞▒X_𝑘 )≥∑_(𝑘=1)^∞▒𝜇(X_𝑘 ) </a:t>
              </a:r>
              <a:endParaRPr lang="tr-TR" sz="1100"/>
            </a:p>
          </xdr:txBody>
        </xdr:sp>
      </mc:Fallback>
    </mc:AlternateContent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36816</xdr:rowOff>
    </xdr:from>
    <xdr:to>
      <xdr:col>1</xdr:col>
      <xdr:colOff>319217</xdr:colOff>
      <xdr:row>0</xdr:row>
      <xdr:rowOff>327458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36816"/>
          <a:ext cx="290642" cy="290642"/>
        </a:xfrm>
        <a:prstGeom prst="rect">
          <a:avLst/>
        </a:prstGeom>
      </xdr:spPr>
    </xdr:pic>
    <xdr:clientData/>
  </xdr:twoCellAnchor>
  <xdr:twoCellAnchor editAs="oneCell">
    <xdr:from>
      <xdr:col>1</xdr:col>
      <xdr:colOff>369936</xdr:colOff>
      <xdr:row>0</xdr:row>
      <xdr:rowOff>36862</xdr:rowOff>
    </xdr:from>
    <xdr:to>
      <xdr:col>1</xdr:col>
      <xdr:colOff>660486</xdr:colOff>
      <xdr:row>0</xdr:row>
      <xdr:rowOff>327412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736" y="36862"/>
          <a:ext cx="290550" cy="290550"/>
        </a:xfrm>
        <a:prstGeom prst="rect">
          <a:avLst/>
        </a:prstGeom>
      </xdr:spPr>
    </xdr:pic>
    <xdr:clientData/>
  </xdr:twoCellAnchor>
  <xdr:twoCellAnchor editAs="oneCell">
    <xdr:from>
      <xdr:col>2</xdr:col>
      <xdr:colOff>366675</xdr:colOff>
      <xdr:row>0</xdr:row>
      <xdr:rowOff>36862</xdr:rowOff>
    </xdr:from>
    <xdr:to>
      <xdr:col>2</xdr:col>
      <xdr:colOff>657225</xdr:colOff>
      <xdr:row>0</xdr:row>
      <xdr:rowOff>327412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275" y="36862"/>
          <a:ext cx="290550" cy="290550"/>
        </a:xfrm>
        <a:prstGeom prst="rect">
          <a:avLst/>
        </a:prstGeom>
      </xdr:spPr>
    </xdr:pic>
    <xdr:clientData/>
  </xdr:twoCellAnchor>
  <xdr:twoCellAnchor editAs="oneCell">
    <xdr:from>
      <xdr:col>2</xdr:col>
      <xdr:colOff>25405</xdr:colOff>
      <xdr:row>0</xdr:row>
      <xdr:rowOff>36862</xdr:rowOff>
    </xdr:from>
    <xdr:to>
      <xdr:col>2</xdr:col>
      <xdr:colOff>315955</xdr:colOff>
      <xdr:row>0</xdr:row>
      <xdr:rowOff>327412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7005" y="36862"/>
          <a:ext cx="290550" cy="290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314597</xdr:colOff>
      <xdr:row>13</xdr:row>
      <xdr:rowOff>26590</xdr:rowOff>
    </xdr:from>
    <xdr:ext cx="313163" cy="1750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Metin kutusu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0738757" y="3917870"/>
              <a:ext cx="313163" cy="1750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tr-TR" sz="11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tr-TR" sz="11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𝑇𝑁𝑅</m:t>
                        </m:r>
                      </m:e>
                    </m:acc>
                  </m:oMath>
                </m:oMathPara>
              </a14:m>
              <a:endParaRPr lang="tr-TR" sz="11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2" name="Metin kutusu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0738757" y="3917870"/>
              <a:ext cx="313163" cy="1750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solidFill>
                    <a:schemeClr val="tx1">
                      <a:lumMod val="50000"/>
                      <a:lumOff val="50000"/>
                    </a:schemeClr>
                  </a:solidFill>
                  <a:latin typeface="Cambria Math" panose="02040503050406030204" pitchFamily="18" charset="0"/>
                </a:rPr>
                <a:t>(𝑇𝑁𝑅) ̅</a:t>
              </a:r>
              <a:endParaRPr lang="tr-TR" sz="11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19</xdr:col>
      <xdr:colOff>297725</xdr:colOff>
      <xdr:row>16</xdr:row>
      <xdr:rowOff>26590</xdr:rowOff>
    </xdr:from>
    <xdr:ext cx="297325" cy="1750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Metin kutusu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9248685" y="4862750"/>
              <a:ext cx="297325" cy="1750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tr-TR" sz="11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tr-TR" sz="11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𝑇𝑃𝑅</m:t>
                        </m:r>
                      </m:e>
                    </m:acc>
                  </m:oMath>
                </m:oMathPara>
              </a14:m>
              <a:endParaRPr lang="tr-TR" sz="11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3" name="Metin kutusu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9248685" y="4862750"/>
              <a:ext cx="297325" cy="1750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solidFill>
                    <a:schemeClr val="tx1">
                      <a:lumMod val="50000"/>
                      <a:lumOff val="50000"/>
                    </a:schemeClr>
                  </a:solidFill>
                  <a:latin typeface="Cambria Math" panose="02040503050406030204" pitchFamily="18" charset="0"/>
                </a:rPr>
                <a:t>(𝑇𝑃𝑅) ̅</a:t>
              </a:r>
              <a:endParaRPr lang="tr-TR" sz="11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13</xdr:col>
      <xdr:colOff>447584</xdr:colOff>
      <xdr:row>13</xdr:row>
      <xdr:rowOff>26188</xdr:rowOff>
    </xdr:from>
    <xdr:ext cx="295787" cy="1761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Metin kutusu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6491560" y="3897393"/>
              <a:ext cx="295787" cy="1761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tr-TR" sz="11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tr-TR" sz="11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𝐴𝐶𝐶</m:t>
                        </m:r>
                      </m:e>
                    </m:acc>
                  </m:oMath>
                </m:oMathPara>
              </a14:m>
              <a:endParaRPr lang="tr-TR" sz="11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4" name="Metin kutusu 3">
              <a:extLst>
                <a:ext uri="{FF2B5EF4-FFF2-40B4-BE49-F238E27FC236}">
                  <a16:creationId xmlns:a16="http://schemas.microsoft.com/office/drawing/2014/main" id="{C3477CDF-5123-744C-BDEF-BA858BD35EF3}"/>
                </a:ext>
              </a:extLst>
            </xdr:cNvPr>
            <xdr:cNvSpPr txBox="1"/>
          </xdr:nvSpPr>
          <xdr:spPr>
            <a:xfrm>
              <a:off x="6491560" y="3897393"/>
              <a:ext cx="295787" cy="1761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solidFill>
                    <a:schemeClr val="tx1">
                      <a:lumMod val="50000"/>
                      <a:lumOff val="50000"/>
                    </a:schemeClr>
                  </a:solidFill>
                  <a:latin typeface="Cambria Math" panose="02040503050406030204" pitchFamily="18" charset="0"/>
                </a:rPr>
                <a:t>(𝐴𝐶𝐶) ̅</a:t>
              </a:r>
              <a:endParaRPr lang="tr-TR" sz="11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24</xdr:col>
      <xdr:colOff>63500</xdr:colOff>
      <xdr:row>28</xdr:row>
      <xdr:rowOff>25400</xdr:rowOff>
    </xdr:from>
    <xdr:ext cx="390043" cy="1750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Metin kutusu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11239500" y="8674100"/>
              <a:ext cx="390043" cy="1750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tr-TR" sz="11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tr-TR" sz="11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𝑃𝑅𝐸𝑉</m:t>
                        </m:r>
                      </m:e>
                    </m:acc>
                  </m:oMath>
                </m:oMathPara>
              </a14:m>
              <a:endParaRPr lang="tr-TR" sz="11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5" name="Metin kutusu 4">
              <a:extLst>
                <a:ext uri="{FF2B5EF4-FFF2-40B4-BE49-F238E27FC236}">
                  <a16:creationId xmlns:a16="http://schemas.microsoft.com/office/drawing/2014/main" id="{FACEEB15-724C-A04E-964B-89CA93A28396}"/>
                </a:ext>
              </a:extLst>
            </xdr:cNvPr>
            <xdr:cNvSpPr txBox="1"/>
          </xdr:nvSpPr>
          <xdr:spPr>
            <a:xfrm>
              <a:off x="11239500" y="8674100"/>
              <a:ext cx="390043" cy="1750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solidFill>
                    <a:schemeClr val="tx1">
                      <a:lumMod val="50000"/>
                      <a:lumOff val="50000"/>
                    </a:schemeClr>
                  </a:solidFill>
                  <a:latin typeface="Cambria Math" panose="02040503050406030204" pitchFamily="18" charset="0"/>
                </a:rPr>
                <a:t>(𝑃𝑅𝐸𝑉) ̅</a:t>
              </a:r>
              <a:endParaRPr lang="tr-TR" sz="11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10</xdr:col>
      <xdr:colOff>281937</xdr:colOff>
      <xdr:row>25</xdr:row>
      <xdr:rowOff>16329</xdr:rowOff>
    </xdr:from>
    <xdr:ext cx="315407" cy="1750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Metin kutusu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4762497" y="7748089"/>
              <a:ext cx="315407" cy="1750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tr-TR" sz="11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tr-TR" sz="11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𝑁𝑃𝑉</m:t>
                        </m:r>
                      </m:e>
                    </m:acc>
                  </m:oMath>
                </m:oMathPara>
              </a14:m>
              <a:endParaRPr lang="tr-TR" sz="11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6" name="Metin kutusu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4762497" y="7748089"/>
              <a:ext cx="315407" cy="1750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solidFill>
                    <a:schemeClr val="tx1">
                      <a:lumMod val="50000"/>
                      <a:lumOff val="50000"/>
                    </a:schemeClr>
                  </a:solidFill>
                  <a:latin typeface="Cambria Math" panose="02040503050406030204" pitchFamily="18" charset="0"/>
                </a:rPr>
                <a:t>(𝑁𝑃𝑉) ̅</a:t>
              </a:r>
              <a:endParaRPr lang="tr-TR" sz="11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13</xdr:col>
      <xdr:colOff>327657</xdr:colOff>
      <xdr:row>22</xdr:row>
      <xdr:rowOff>22559</xdr:rowOff>
    </xdr:from>
    <xdr:ext cx="299569" cy="1750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Metin kutusu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6332217" y="6799279"/>
              <a:ext cx="299569" cy="1750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tr-TR" sz="11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tr-TR" sz="11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𝑃𝑃𝑉</m:t>
                        </m:r>
                      </m:e>
                    </m:acc>
                  </m:oMath>
                </m:oMathPara>
              </a14:m>
              <a:endParaRPr lang="tr-TR" sz="11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7" name="Metin kutusu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6332217" y="6799279"/>
              <a:ext cx="299569" cy="1750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solidFill>
                    <a:schemeClr val="tx1">
                      <a:lumMod val="50000"/>
                      <a:lumOff val="50000"/>
                    </a:schemeClr>
                  </a:solidFill>
                  <a:latin typeface="Cambria Math" panose="02040503050406030204" pitchFamily="18" charset="0"/>
                </a:rPr>
                <a:t>(𝑃𝑃𝑉) ̅</a:t>
              </a:r>
              <a:endParaRPr lang="tr-TR" sz="11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27914</xdr:colOff>
      <xdr:row>3</xdr:row>
      <xdr:rowOff>18842</xdr:rowOff>
    </xdr:from>
    <xdr:ext cx="1397000" cy="5835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Metin kutusu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 txBox="1"/>
          </xdr:nvSpPr>
          <xdr:spPr>
            <a:xfrm>
              <a:off x="27914" y="590342"/>
              <a:ext cx="1397000" cy="5835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tr-TR" sz="100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sz="100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𝐼𝑁𝐹𝑂𝑅𝑀</m:t>
                        </m:r>
                        <m:r>
                          <a:rPr lang="en-US" sz="100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⋅</m:t>
                        </m:r>
                        <m:r>
                          <a:rPr lang="en-US" sz="100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charset="0"/>
                            <a:ea typeface="+mn-ea"/>
                            <a:cs typeface="+mn-cs"/>
                          </a:rPr>
                          <m:t>𝑀𝐴𝑅𝐾</m:t>
                        </m:r>
                      </m:e>
                    </m:rad>
                  </m:oMath>
                </m:oMathPara>
              </a14:m>
              <a:endParaRPr lang="tr-TR" sz="10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tr-TR" sz="10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tr-TR" sz="10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𝐷𝐸𝑇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tr-TR" sz="10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tr-TR" sz="10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tr-TR" sz="10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⋅</m:t>
                            </m:r>
                            <m:r>
                              <a:rPr lang="tr-TR" sz="10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𝑂𝑁</m:t>
                            </m:r>
                            <m:r>
                              <a:rPr lang="tr-TR" sz="10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⋅</m:t>
                            </m:r>
                            <m:r>
                              <a:rPr lang="tr-TR" sz="10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𝑁</m:t>
                            </m:r>
                            <m:r>
                              <a:rPr lang="tr-TR" sz="10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⋅</m:t>
                            </m:r>
                            <m:r>
                              <a:rPr lang="tr-TR" sz="10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𝑂𝑃</m:t>
                            </m:r>
                          </m:e>
                        </m:rad>
                      </m:den>
                    </m:f>
                    <m:r>
                      <m:rPr>
                        <m:nor/>
                      </m:rPr>
                      <a:rPr lang="tr-TR" sz="1000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</a:rPr>
                      <m:t> </m:t>
                    </m:r>
                  </m:oMath>
                </m:oMathPara>
              </a14:m>
              <a:endParaRPr lang="tr-TR" sz="10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  <a:p>
              <a:pPr algn="ctr"/>
              <a:endParaRPr lang="tr-TR" sz="10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19" name="Metin kutusu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 txBox="1"/>
          </xdr:nvSpPr>
          <xdr:spPr>
            <a:xfrm>
              <a:off x="27914" y="590342"/>
              <a:ext cx="1397000" cy="5835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00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00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charset="0"/>
                  <a:ea typeface="+mn-ea"/>
                  <a:cs typeface="+mn-cs"/>
                </a:rPr>
                <a:t>𝐼𝑁𝐹𝑂𝑅𝑀⋅𝑀𝐴𝑅𝐾</a:t>
              </a:r>
              <a:r>
                <a:rPr lang="tr-TR" sz="100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tr-TR" sz="10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0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𝐷𝐸𝑇⁄√(𝑃</a:t>
              </a:r>
              <a:r>
                <a:rPr lang="tr-TR" sz="10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⋅𝑂𝑁⋅𝑁⋅𝑂𝑃</a:t>
              </a:r>
              <a:r>
                <a:rPr lang="tr-TR" sz="10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"</a:t>
              </a:r>
              <a:r>
                <a:rPr lang="tr-TR" sz="100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</a:rPr>
                <a:t> </a:t>
              </a:r>
              <a:r>
                <a:rPr lang="tr-TR" sz="100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</a:rPr>
                <a:t>"</a:t>
              </a:r>
              <a:endParaRPr lang="tr-TR" sz="10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  <a:p>
              <a:pPr algn="ctr"/>
              <a:endParaRPr lang="tr-TR" sz="10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13256</xdr:colOff>
      <xdr:row>6</xdr:row>
      <xdr:rowOff>49773</xdr:rowOff>
    </xdr:from>
    <xdr:ext cx="1397000" cy="4415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Metin kutusu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SpPr txBox="1"/>
          </xdr:nvSpPr>
          <xdr:spPr>
            <a:xfrm>
              <a:off x="1549956" y="1573773"/>
              <a:ext cx="1397000" cy="4415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tr-TR" sz="9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tr-TR" sz="9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𝐴𝐶𝐶</m:t>
                        </m:r>
                        <m:r>
                          <a:rPr lang="tr-TR" sz="9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tr-TR" sz="9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𝐶𝐾𝑐</m:t>
                        </m:r>
                      </m:num>
                      <m:den>
                        <m:r>
                          <a:rPr lang="tr-TR" sz="9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r>
                          <a:rPr lang="tr-TR" sz="9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𝐶𝐾𝑐</m:t>
                        </m:r>
                      </m:den>
                    </m:f>
                  </m:oMath>
                </m:oMathPara>
              </a14:m>
              <a:endParaRPr lang="tr-TR" sz="9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lang="tr-TR" sz="9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tr-TR" sz="9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𝐷𝐸𝑇</m:t>
                        </m:r>
                      </m:num>
                      <m:den>
                        <m:f>
                          <m:fPr>
                            <m:type m:val="lin"/>
                            <m:ctrlPr>
                              <a:rPr lang="tr-TR" sz="9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d>
                              <m:dPr>
                                <m:ctrlPr>
                                  <a:rPr lang="tr-TR" sz="900" b="0" i="1">
                                    <a:solidFill>
                                      <a:schemeClr val="tx1">
                                        <a:lumMod val="50000"/>
                                        <a:lumOff val="5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tr-TR" sz="900" b="0" i="1">
                                    <a:solidFill>
                                      <a:schemeClr val="tx1">
                                        <a:lumMod val="50000"/>
                                        <a:lumOff val="5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  <m:r>
                                  <a:rPr lang="tr-TR" sz="900" b="0" i="1">
                                    <a:solidFill>
                                      <a:schemeClr val="tx1">
                                        <a:lumMod val="50000"/>
                                        <a:lumOff val="5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⋅</m:t>
                                </m:r>
                                <m:r>
                                  <a:rPr lang="tr-TR" sz="900" b="0" i="1">
                                    <a:solidFill>
                                      <a:schemeClr val="tx1">
                                        <a:lumMod val="50000"/>
                                        <a:lumOff val="5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𝑂𝑁</m:t>
                                </m:r>
                                <m:r>
                                  <a:rPr lang="tr-TR" sz="900" b="0" i="1">
                                    <a:solidFill>
                                      <a:schemeClr val="tx1">
                                        <a:lumMod val="50000"/>
                                        <a:lumOff val="5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tr-TR" sz="900" b="0" i="1">
                                    <a:solidFill>
                                      <a:schemeClr val="tx1">
                                        <a:lumMod val="50000"/>
                                        <a:lumOff val="5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𝑁</m:t>
                                </m:r>
                                <m:r>
                                  <a:rPr lang="tr-TR" sz="900" b="0" i="1">
                                    <a:solidFill>
                                      <a:schemeClr val="tx1">
                                        <a:lumMod val="50000"/>
                                        <a:lumOff val="5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⋅</m:t>
                                </m:r>
                                <m:r>
                                  <a:rPr lang="tr-TR" sz="900" b="0" i="1">
                                    <a:solidFill>
                                      <a:schemeClr val="tx1">
                                        <a:lumMod val="50000"/>
                                        <a:lumOff val="5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𝑂𝑃</m:t>
                                </m:r>
                              </m:e>
                            </m:d>
                          </m:num>
                          <m:den>
                            <m:r>
                              <a:rPr lang="tr-TR" sz="9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den>
                    </m:f>
                    <m:r>
                      <m:rPr>
                        <m:nor/>
                      </m:rPr>
                      <a:rPr lang="tr-TR" sz="900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</a:rPr>
                      <m:t> </m:t>
                    </m:r>
                  </m:oMath>
                </m:oMathPara>
              </a14:m>
              <a:endParaRPr lang="tr-TR" sz="9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  <a:p>
              <a:pPr algn="l"/>
              <a:endParaRPr lang="tr-TR" sz="9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20" name="Metin kutusu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SpPr txBox="1"/>
          </xdr:nvSpPr>
          <xdr:spPr>
            <a:xfrm>
              <a:off x="1549956" y="1573773"/>
              <a:ext cx="1397000" cy="4415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9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(𝐴𝐶𝐶−𝐶𝐾𝑐)/(1−𝐶𝐾𝑐)</a:t>
              </a:r>
              <a:endParaRPr lang="tr-TR" sz="9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9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𝐷𝐸𝑇∕〖(𝑃</a:t>
              </a:r>
              <a:r>
                <a:rPr lang="tr-TR" sz="9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⋅𝑂𝑁+𝑁⋅𝑂𝑃)</a:t>
              </a:r>
              <a:r>
                <a:rPr lang="tr-TR" sz="9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∕2〗 "</a:t>
              </a:r>
              <a:r>
                <a:rPr lang="tr-TR" sz="90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</a:rPr>
                <a:t> </a:t>
              </a:r>
              <a:r>
                <a:rPr lang="tr-TR" sz="90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</a:rPr>
                <a:t>"</a:t>
              </a:r>
              <a:endParaRPr lang="tr-TR" sz="9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  <a:p>
              <a:pPr algn="l"/>
              <a:endParaRPr lang="tr-TR" sz="9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9670</xdr:colOff>
      <xdr:row>9</xdr:row>
      <xdr:rowOff>13774</xdr:rowOff>
    </xdr:from>
    <xdr:ext cx="1575289" cy="3985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Metin kutusu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SpPr txBox="1"/>
          </xdr:nvSpPr>
          <xdr:spPr>
            <a:xfrm>
              <a:off x="1543830" y="2502974"/>
              <a:ext cx="1575289" cy="3985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tr-TR" sz="9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tr-TR" sz="9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tr-TR" sz="9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𝑃𝑃𝑉</m:t>
                        </m:r>
                        <m:r>
                          <a:rPr lang="tr-TR" sz="9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⋅</m:t>
                        </m:r>
                        <m:r>
                          <a:rPr lang="tr-TR" sz="9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𝑇𝑃𝑅</m:t>
                        </m:r>
                      </m:num>
                      <m:den>
                        <m:r>
                          <a:rPr lang="tr-TR" sz="9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𝑃𝑃𝑉</m:t>
                        </m:r>
                        <m:r>
                          <a:rPr lang="tr-TR" sz="9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tr-TR" sz="9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𝑇𝑃𝑅</m:t>
                        </m:r>
                      </m:den>
                    </m:f>
                  </m:oMath>
                </m:oMathPara>
              </a14:m>
              <a:endParaRPr lang="tr-TR" sz="9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tr-TR" sz="9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tr-TR" sz="9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tr-TR" sz="9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𝑇𝑃</m:t>
                        </m:r>
                      </m:num>
                      <m:den>
                        <m:r>
                          <a:rPr lang="tr-TR" sz="9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  <m:r>
                          <a:rPr lang="tr-TR" sz="9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tr-TR" sz="9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𝑂𝑃</m:t>
                        </m:r>
                      </m:den>
                    </m:f>
                    <m:r>
                      <a:rPr lang="tr-TR" sz="9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type m:val="skw"/>
                        <m:ctrlPr>
                          <a:rPr lang="tr-TR" sz="9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tr-TR" sz="9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tr-TR" sz="9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𝑇𝑃</m:t>
                        </m:r>
                      </m:num>
                      <m:den>
                        <m:r>
                          <a:rPr lang="tr-TR" sz="9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tr-TR" sz="9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𝑇𝑃</m:t>
                        </m:r>
                        <m:r>
                          <a:rPr lang="tr-TR" sz="9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+</m:t>
                        </m:r>
                        <m:r>
                          <a:rPr lang="tr-TR" sz="9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𝐹𝐶</m:t>
                        </m:r>
                      </m:den>
                    </m:f>
                  </m:oMath>
                </m:oMathPara>
              </a14:m>
              <a:endParaRPr lang="tr-TR" sz="9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21" name="Metin kutusu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SpPr txBox="1"/>
          </xdr:nvSpPr>
          <xdr:spPr>
            <a:xfrm>
              <a:off x="1543830" y="2502974"/>
              <a:ext cx="1575289" cy="3985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9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(2𝑃𝑃𝑉</a:t>
              </a:r>
              <a:r>
                <a:rPr lang="tr-TR" sz="9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⋅𝑇𝑃𝑅</a:t>
              </a:r>
              <a:r>
                <a:rPr lang="tr-TR" sz="9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)⁄(𝑃𝑃𝑉+𝑇𝑃𝑅)</a:t>
              </a:r>
              <a:endParaRPr lang="tr-TR" sz="9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9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2𝑇𝑃⁄(𝑃+𝑂𝑃)=2𝑇𝑃⁄(2𝑇𝑃</a:t>
              </a:r>
              <a:r>
                <a:rPr lang="tr-TR" sz="9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+𝐹𝐶</a:t>
              </a:r>
              <a:r>
                <a:rPr lang="tr-TR" sz="9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tr-TR" sz="9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48147</xdr:colOff>
      <xdr:row>9</xdr:row>
      <xdr:rowOff>82311</xdr:rowOff>
    </xdr:from>
    <xdr:ext cx="976923" cy="3477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Metin kutusu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SpPr txBox="1"/>
          </xdr:nvSpPr>
          <xdr:spPr>
            <a:xfrm>
              <a:off x="3065802" y="3572001"/>
              <a:ext cx="976923" cy="347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tr-TR" sz="10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tr-TR" sz="10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1.25</m:t>
                        </m:r>
                        <m:r>
                          <a:rPr lang="tr-TR" sz="10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𝑃𝑃𝑉</m:t>
                        </m:r>
                        <m:r>
                          <a:rPr lang="tr-TR" sz="10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⋅</m:t>
                        </m:r>
                        <m:r>
                          <a:rPr lang="tr-TR" sz="10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𝑇𝑃𝑅</m:t>
                        </m:r>
                      </m:num>
                      <m:den>
                        <m:r>
                          <a:rPr lang="tr-TR" sz="10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0.25</m:t>
                        </m:r>
                        <m:r>
                          <a:rPr lang="tr-TR" sz="10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𝑃𝑃𝑉</m:t>
                        </m:r>
                        <m:r>
                          <a:rPr lang="tr-TR" sz="10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tr-TR" sz="10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𝑇𝑃𝑅</m:t>
                        </m:r>
                      </m:den>
                    </m:f>
                  </m:oMath>
                </m:oMathPara>
              </a14:m>
              <a:endParaRPr lang="tr-TR" sz="10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2" name="Metin kutusu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SpPr txBox="1"/>
          </xdr:nvSpPr>
          <xdr:spPr>
            <a:xfrm>
              <a:off x="3065802" y="3572001"/>
              <a:ext cx="976923" cy="347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0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(1.25𝑃𝑃𝑉</a:t>
              </a:r>
              <a:r>
                <a:rPr lang="tr-TR" sz="10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⋅𝑇𝑃𝑅</a:t>
              </a:r>
              <a:r>
                <a:rPr lang="tr-TR" sz="10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)/(0.25𝑃𝑃𝑉+𝑇𝑃𝑅)</a:t>
              </a:r>
              <a:endParaRPr lang="tr-TR" sz="10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63174</xdr:colOff>
      <xdr:row>12</xdr:row>
      <xdr:rowOff>30855</xdr:rowOff>
    </xdr:from>
    <xdr:ext cx="1079499" cy="3477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Metin kutusu 22">
              <a:extLs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:cNvPr>
            <xdr:cNvSpPr txBox="1"/>
          </xdr:nvSpPr>
          <xdr:spPr>
            <a:xfrm>
              <a:off x="3063549" y="4421880"/>
              <a:ext cx="1079499" cy="347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tr-TR" sz="10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tr-TR" sz="10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(1+</m:t>
                        </m:r>
                        <m:sSup>
                          <m:sSupPr>
                            <m:ctrlPr>
                              <a:rPr lang="tr-TR" sz="10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tr-TR" sz="10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𝛽</m:t>
                            </m:r>
                          </m:e>
                          <m:sup>
                            <m:r>
                              <a:rPr lang="tr-TR" sz="10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tr-TR" sz="10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  <m:r>
                          <a:rPr lang="tr-TR" sz="10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𝑃𝑃𝑉</m:t>
                        </m:r>
                        <m:r>
                          <a:rPr lang="tr-TR" sz="10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⋅</m:t>
                        </m:r>
                        <m:r>
                          <a:rPr lang="tr-TR" sz="10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𝑇𝑃𝑅</m:t>
                        </m:r>
                      </m:num>
                      <m:den>
                        <m:sSup>
                          <m:sSupPr>
                            <m:ctrlPr>
                              <a:rPr lang="tr-TR" sz="10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tr-TR" sz="10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𝛽</m:t>
                            </m:r>
                          </m:e>
                          <m:sup>
                            <m:r>
                              <a:rPr lang="tr-TR" sz="10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tr-TR" sz="10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𝑃𝑃𝑉</m:t>
                        </m:r>
                        <m:r>
                          <a:rPr lang="tr-TR" sz="10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tr-TR" sz="10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𝑇𝑃𝑅</m:t>
                        </m:r>
                      </m:den>
                    </m:f>
                  </m:oMath>
                </m:oMathPara>
              </a14:m>
              <a:endParaRPr lang="tr-TR" sz="10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3" name="Metin kutusu 22">
              <a:extLs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:cNvPr>
            <xdr:cNvSpPr txBox="1"/>
          </xdr:nvSpPr>
          <xdr:spPr>
            <a:xfrm>
              <a:off x="3063549" y="4421880"/>
              <a:ext cx="1079499" cy="347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0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((1+</a:t>
              </a:r>
              <a:r>
                <a:rPr lang="tr-TR" sz="10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𝛽</a:t>
              </a:r>
              <a:r>
                <a:rPr lang="tr-TR" sz="10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^2)𝑃𝑃𝑉</a:t>
              </a:r>
              <a:r>
                <a:rPr lang="tr-TR" sz="10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⋅𝑇𝑃𝑅</a:t>
              </a:r>
              <a:r>
                <a:rPr lang="tr-TR" sz="10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tr-TR" sz="10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𝛽</a:t>
              </a:r>
              <a:r>
                <a:rPr lang="tr-TR" sz="10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𝑃𝑃𝑉+𝑇𝑃𝑅)</a:t>
              </a:r>
              <a:endParaRPr lang="tr-TR" sz="10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4</xdr:col>
      <xdr:colOff>21633</xdr:colOff>
      <xdr:row>12</xdr:row>
      <xdr:rowOff>40472</xdr:rowOff>
    </xdr:from>
    <xdr:ext cx="976923" cy="3477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Metin kutusu 23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SpPr txBox="1"/>
          </xdr:nvSpPr>
          <xdr:spPr>
            <a:xfrm>
              <a:off x="1563776" y="4431043"/>
              <a:ext cx="976923" cy="347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tr-TR" sz="10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tr-TR" sz="10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  <m:r>
                          <a:rPr lang="tr-TR" sz="10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𝑃𝑃𝑉</m:t>
                        </m:r>
                        <m:r>
                          <a:rPr lang="tr-TR" sz="10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⋅</m:t>
                        </m:r>
                        <m:r>
                          <a:rPr lang="tr-TR" sz="10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𝑇𝑃𝑅</m:t>
                        </m:r>
                      </m:num>
                      <m:den>
                        <m:r>
                          <a:rPr lang="tr-TR" sz="10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tr-TR" sz="10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𝑃𝑃𝑉</m:t>
                        </m:r>
                        <m:r>
                          <a:rPr lang="tr-TR" sz="10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tr-TR" sz="10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𝑇𝑃𝑅</m:t>
                        </m:r>
                      </m:den>
                    </m:f>
                  </m:oMath>
                </m:oMathPara>
              </a14:m>
              <a:endParaRPr lang="tr-TR" sz="10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4" name="Metin kutusu 23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SpPr txBox="1"/>
          </xdr:nvSpPr>
          <xdr:spPr>
            <a:xfrm>
              <a:off x="1563776" y="4431043"/>
              <a:ext cx="976923" cy="347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0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(5𝑃𝑃𝑉</a:t>
              </a:r>
              <a:r>
                <a:rPr lang="tr-TR" sz="10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⋅𝑇𝑃𝑅</a:t>
              </a:r>
              <a:r>
                <a:rPr lang="tr-TR" sz="10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)/(4𝑃𝑃𝑉+𝑇𝑃𝑅)</a:t>
              </a:r>
              <a:endParaRPr lang="tr-TR" sz="10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8</xdr:col>
      <xdr:colOff>346457</xdr:colOff>
      <xdr:row>6</xdr:row>
      <xdr:rowOff>243536</xdr:rowOff>
    </xdr:from>
    <xdr:ext cx="639470" cy="217560"/>
    <xdr:sp macro="" textlink="">
      <xdr:nvSpPr>
        <xdr:cNvPr id="29" name="Metin kutusu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/>
      </xdr:nvSpPr>
      <xdr:spPr>
        <a:xfrm>
          <a:off x="3826257" y="1767536"/>
          <a:ext cx="63947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r-TR" sz="800" i="1">
              <a:solidFill>
                <a:schemeClr val="tx1">
                  <a:lumMod val="50000"/>
                  <a:lumOff val="50000"/>
                </a:schemeClr>
              </a:solidFill>
            </a:rPr>
            <a:t>TPR, Recall</a:t>
          </a:r>
        </a:p>
      </xdr:txBody>
    </xdr:sp>
    <xdr:clientData/>
  </xdr:oneCellAnchor>
  <xdr:twoCellAnchor>
    <xdr:from>
      <xdr:col>23</xdr:col>
      <xdr:colOff>22164</xdr:colOff>
      <xdr:row>11</xdr:row>
      <xdr:rowOff>300146</xdr:rowOff>
    </xdr:from>
    <xdr:to>
      <xdr:col>24</xdr:col>
      <xdr:colOff>137796</xdr:colOff>
      <xdr:row>14</xdr:row>
      <xdr:rowOff>44767</xdr:rowOff>
    </xdr:to>
    <xdr:grpSp>
      <xdr:nvGrpSpPr>
        <xdr:cNvPr id="31" name="Grup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10918764" y="3449746"/>
          <a:ext cx="649032" cy="684421"/>
          <a:chOff x="10290034" y="3363549"/>
          <a:chExt cx="581978" cy="685202"/>
        </a:xfrm>
      </xdr:grpSpPr>
      <xdr:sp macro="" textlink="">
        <xdr:nvSpPr>
          <xdr:cNvPr id="32" name="Pasta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/>
        </xdr:nvSpPr>
        <xdr:spPr>
          <a:xfrm flipH="1">
            <a:off x="10305041" y="3472679"/>
            <a:ext cx="566971" cy="576072"/>
          </a:xfrm>
          <a:prstGeom prst="pie">
            <a:avLst>
              <a:gd name="adj1" fmla="val 16206228"/>
              <a:gd name="adj2" fmla="val 39878"/>
            </a:avLst>
          </a:prstGeom>
          <a:pattFill prst="ltVert">
            <a:fgClr>
              <a:schemeClr val="tx1">
                <a:lumMod val="50000"/>
                <a:lumOff val="50000"/>
              </a:schemeClr>
            </a:fgClr>
            <a:bgClr>
              <a:srgbClr val="FFE699"/>
            </a:bgClr>
          </a:patt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tr-TR" sz="1100">
              <a:solidFill>
                <a:schemeClr val="tx1"/>
              </a:solidFill>
            </a:endParaRPr>
          </a:p>
        </xdr:txBody>
      </xdr:sp>
      <xdr:cxnSp macro="">
        <xdr:nvCxnSpPr>
          <xdr:cNvPr id="33" name="Düz Ok Bağlayıcısı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CxnSpPr/>
        </xdr:nvCxnSpPr>
        <xdr:spPr>
          <a:xfrm flipV="1">
            <a:off x="10290034" y="3762320"/>
            <a:ext cx="398771" cy="0"/>
          </a:xfrm>
          <a:prstGeom prst="straightConnector1">
            <a:avLst/>
          </a:prstGeom>
          <a:ln>
            <a:solidFill>
              <a:schemeClr val="tx1">
                <a:lumMod val="50000"/>
                <a:lumOff val="50000"/>
              </a:schemeClr>
            </a:solidFill>
            <a:tailEnd type="triangle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Düz Ok Bağlayıcısı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CxnSpPr/>
        </xdr:nvCxnSpPr>
        <xdr:spPr>
          <a:xfrm flipV="1">
            <a:off x="10294369" y="3363549"/>
            <a:ext cx="0" cy="403106"/>
          </a:xfrm>
          <a:prstGeom prst="straightConnector1">
            <a:avLst/>
          </a:prstGeom>
          <a:ln>
            <a:solidFill>
              <a:schemeClr val="tx1">
                <a:lumMod val="50000"/>
                <a:lumOff val="50000"/>
              </a:schemeClr>
            </a:solidFill>
            <a:tailEnd type="triangle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</xdr:grpSp>
    <xdr:clientData/>
  </xdr:twoCellAnchor>
  <xdr:oneCellAnchor>
    <xdr:from>
      <xdr:col>23</xdr:col>
      <xdr:colOff>383804</xdr:colOff>
      <xdr:row>11</xdr:row>
      <xdr:rowOff>299288</xdr:rowOff>
    </xdr:from>
    <xdr:ext cx="703462" cy="468013"/>
    <xdr:sp macro="" textlink="">
      <xdr:nvSpPr>
        <xdr:cNvPr id="35" name="Metin kutusu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11280404" y="3448888"/>
          <a:ext cx="70346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r-TR" sz="800" i="1">
              <a:solidFill>
                <a:schemeClr val="tx1">
                  <a:lumMod val="50000"/>
                  <a:lumOff val="50000"/>
                </a:schemeClr>
              </a:solidFill>
            </a:rPr>
            <a:t>FPR,</a:t>
          </a:r>
        </a:p>
        <a:p>
          <a:r>
            <a:rPr lang="tr-TR" sz="800" i="0">
              <a:solidFill>
                <a:schemeClr val="tx1">
                  <a:lumMod val="50000"/>
                  <a:lumOff val="50000"/>
                </a:schemeClr>
              </a:solidFill>
            </a:rPr>
            <a:t>1−</a:t>
          </a:r>
          <a:r>
            <a:rPr lang="tr-TR" sz="800" i="1">
              <a:solidFill>
                <a:schemeClr val="tx1">
                  <a:lumMod val="50000"/>
                  <a:lumOff val="50000"/>
                </a:schemeClr>
              </a:solidFill>
            </a:rPr>
            <a:t>TNR</a:t>
          </a:r>
          <a:r>
            <a:rPr lang="tr-TR" sz="800" i="0">
              <a:solidFill>
                <a:schemeClr val="tx1">
                  <a:lumMod val="50000"/>
                  <a:lumOff val="50000"/>
                </a:schemeClr>
              </a:solidFill>
            </a:rPr>
            <a:t>,</a:t>
          </a:r>
        </a:p>
        <a:p>
          <a:r>
            <a:rPr lang="tr-TR" sz="800" i="0">
              <a:solidFill>
                <a:schemeClr val="tx1">
                  <a:lumMod val="50000"/>
                  <a:lumOff val="50000"/>
                </a:schemeClr>
              </a:solidFill>
            </a:rPr>
            <a:t>1−</a:t>
          </a:r>
          <a:r>
            <a:rPr lang="tr-TR" sz="800" i="1">
              <a:solidFill>
                <a:schemeClr val="tx1">
                  <a:lumMod val="50000"/>
                  <a:lumOff val="50000"/>
                </a:schemeClr>
              </a:solidFill>
            </a:rPr>
            <a:t>Specificity</a:t>
          </a:r>
          <a:endParaRPr lang="tr-TR" sz="800" i="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  <xdr:oneCellAnchor>
    <xdr:from>
      <xdr:col>22</xdr:col>
      <xdr:colOff>34924</xdr:colOff>
      <xdr:row>11</xdr:row>
      <xdr:rowOff>277710</xdr:rowOff>
    </xdr:from>
    <xdr:ext cx="812801" cy="125227"/>
    <xdr:sp macro="" textlink="">
      <xdr:nvSpPr>
        <xdr:cNvPr id="36" name="Metin kutusu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10461624" y="3427310"/>
          <a:ext cx="812801" cy="125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 algn="l"/>
          <a:r>
            <a:rPr lang="tr-TR" sz="800" i="1">
              <a:solidFill>
                <a:schemeClr val="tx1">
                  <a:lumMod val="50000"/>
                  <a:lumOff val="50000"/>
                </a:schemeClr>
              </a:solidFill>
            </a:rPr>
            <a:t>Sensitivity    TPR</a:t>
          </a:r>
        </a:p>
      </xdr:txBody>
    </xdr:sp>
    <xdr:clientData/>
  </xdr:oneCellAnchor>
  <xdr:oneCellAnchor>
    <xdr:from>
      <xdr:col>5</xdr:col>
      <xdr:colOff>136770</xdr:colOff>
      <xdr:row>34</xdr:row>
      <xdr:rowOff>59592</xdr:rowOff>
    </xdr:from>
    <xdr:ext cx="1450730" cy="3477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Metin kutusu 36">
              <a:extLst>
                <a:ext uri="{FF2B5EF4-FFF2-40B4-BE49-F238E27FC236}">
                  <a16:creationId xmlns:a16="http://schemas.microsoft.com/office/drawing/2014/main" id="{00000000-0008-0000-0100-000025000000}"/>
                </a:ext>
              </a:extLst>
            </xdr:cNvPr>
            <xdr:cNvSpPr txBox="1"/>
          </xdr:nvSpPr>
          <xdr:spPr>
            <a:xfrm>
              <a:off x="2143370" y="10625992"/>
              <a:ext cx="1450730" cy="347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tr-TR" sz="85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tr-TR" sz="85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𝑛𝑀𝐼</m:t>
                        </m:r>
                      </m:e>
                      <m:sub>
                        <m:r>
                          <a:rPr lang="tr-TR" sz="85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𝑎𝑟𝑖</m:t>
                        </m:r>
                      </m:sub>
                    </m:sSub>
                    <m:r>
                      <a:rPr lang="tr-TR" sz="85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tr-TR" sz="85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tr-TR" sz="85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𝑀𝐼</m:t>
                        </m:r>
                      </m:num>
                      <m:den>
                        <m:f>
                          <m:fPr>
                            <m:type m:val="lin"/>
                            <m:ctrlPr>
                              <a:rPr lang="tr-TR" sz="85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tr-TR" sz="85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tr-TR" sz="85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𝐻𝑂</m:t>
                            </m:r>
                            <m:r>
                              <a:rPr lang="tr-TR" sz="85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tr-TR" sz="85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𝐻𝐶</m:t>
                            </m:r>
                            <m:r>
                              <a:rPr lang="tr-TR" sz="85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)</m:t>
                            </m:r>
                          </m:num>
                          <m:den>
                            <m:r>
                              <a:rPr lang="tr-TR" sz="85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tr-TR" sz="85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7" name="Metin kutusu 36">
              <a:extLst>
                <a:ext uri="{FF2B5EF4-FFF2-40B4-BE49-F238E27FC236}">
                  <a16:creationId xmlns:a16="http://schemas.microsoft.com/office/drawing/2014/main" id="{00000000-0008-0000-0100-000025000000}"/>
                </a:ext>
              </a:extLst>
            </xdr:cNvPr>
            <xdr:cNvSpPr txBox="1"/>
          </xdr:nvSpPr>
          <xdr:spPr>
            <a:xfrm>
              <a:off x="2143370" y="10625992"/>
              <a:ext cx="1450730" cy="347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85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〖𝑛𝑀𝐼〗_𝑎𝑟𝑖=</a:t>
              </a:r>
              <a:r>
                <a:rPr lang="tr-TR" sz="85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𝑀𝐼/(〖(𝐻𝑂+𝐻𝐶)〗∕2)</a:t>
              </a:r>
              <a:endParaRPr lang="tr-TR" sz="85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3</xdr:col>
      <xdr:colOff>403225</xdr:colOff>
      <xdr:row>36</xdr:row>
      <xdr:rowOff>0</xdr:rowOff>
    </xdr:from>
    <xdr:ext cx="1190625" cy="469359"/>
    <xdr:sp macro="" textlink="">
      <xdr:nvSpPr>
        <xdr:cNvPr id="38" name="Metin kutusu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470025" y="11074400"/>
          <a:ext cx="1190625" cy="4693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tr-TR" sz="800">
              <a:latin typeface="Century Gothic" panose="020B0502020202020204" pitchFamily="34" charset="0"/>
            </a:rPr>
            <a:t>(arithmetric)</a:t>
          </a:r>
          <a:br>
            <a:rPr lang="tr-TR" sz="800">
              <a:latin typeface="Century Gothic" panose="020B0502020202020204" pitchFamily="34" charset="0"/>
            </a:rPr>
          </a:br>
          <a:r>
            <a:rPr lang="tr-TR" sz="800" u="sng">
              <a:latin typeface="Century Gothic" panose="020B0502020202020204" pitchFamily="34" charset="0"/>
            </a:rPr>
            <a:t>Variants</a:t>
          </a:r>
          <a:r>
            <a:rPr lang="tr-TR" sz="800">
              <a:latin typeface="Century Gothic" panose="020B0502020202020204" pitchFamily="34" charset="0"/>
            </a:rPr>
            <a:t>: geometric, joint, min,</a:t>
          </a:r>
          <a:r>
            <a:rPr lang="tr-TR" sz="800" baseline="0">
              <a:latin typeface="Century Gothic" panose="020B0502020202020204" pitchFamily="34" charset="0"/>
            </a:rPr>
            <a:t> </a:t>
          </a:r>
          <a:r>
            <a:rPr lang="tr-TR" sz="800">
              <a:latin typeface="Century Gothic" panose="020B0502020202020204" pitchFamily="34" charset="0"/>
            </a:rPr>
            <a:t>max</a:t>
          </a:r>
        </a:p>
      </xdr:txBody>
    </xdr:sp>
    <xdr:clientData/>
  </xdr:oneCellAnchor>
  <xdr:oneCellAnchor>
    <xdr:from>
      <xdr:col>5</xdr:col>
      <xdr:colOff>174870</xdr:colOff>
      <xdr:row>35</xdr:row>
      <xdr:rowOff>161192</xdr:rowOff>
    </xdr:from>
    <xdr:ext cx="1450730" cy="3477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Metin kutusu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 txBox="1"/>
          </xdr:nvSpPr>
          <xdr:spPr>
            <a:xfrm>
              <a:off x="2181470" y="10930792"/>
              <a:ext cx="1450730" cy="347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tr-TR" sz="85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tr-TR" sz="85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𝑛𝑀𝐼</m:t>
                        </m:r>
                      </m:e>
                      <m:sub>
                        <m:r>
                          <a:rPr lang="tr-TR" sz="85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𝑔𝑒𝑜</m:t>
                        </m:r>
                      </m:sub>
                    </m:sSub>
                    <m:r>
                      <a:rPr lang="tr-TR" sz="85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tr-TR" sz="85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tr-TR" sz="85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𝑀𝐼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tr-TR" sz="85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tr-TR" sz="85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𝐻𝑂</m:t>
                            </m:r>
                            <m:r>
                              <a:rPr lang="tr-TR" sz="85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charset="0"/>
                                <a:ea typeface="Cambria Math" charset="0"/>
                                <a:cs typeface="Cambria Math" charset="0"/>
                              </a:rPr>
                              <m:t>⋅</m:t>
                            </m:r>
                            <m:r>
                              <a:rPr lang="tr-TR" sz="85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charset="0"/>
                                <a:cs typeface="Cambria Math" charset="0"/>
                              </a:rPr>
                              <m:t>𝐻𝐶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tr-TR" sz="85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9" name="Metin kutusu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 txBox="1"/>
          </xdr:nvSpPr>
          <xdr:spPr>
            <a:xfrm>
              <a:off x="2181470" y="10930792"/>
              <a:ext cx="1450730" cy="347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85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〖𝑛𝑀𝐼〗_𝑔𝑒𝑜=</a:t>
              </a:r>
              <a:r>
                <a:rPr lang="tr-TR" sz="85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𝑀𝐼/√(𝐻𝑂</a:t>
              </a:r>
              <a:r>
                <a:rPr lang="tr-TR" sz="85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charset="0"/>
                  <a:ea typeface="Cambria Math" charset="0"/>
                  <a:cs typeface="Cambria Math" charset="0"/>
                </a:rPr>
                <a:t>⋅</a:t>
              </a:r>
              <a:r>
                <a:rPr lang="tr-TR" sz="850" b="0" i="0">
                  <a:solidFill>
                    <a:schemeClr val="bg1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Cambria Math" charset="0"/>
                  <a:cs typeface="Cambria Math" charset="0"/>
                </a:rPr>
                <a:t>𝐻𝐶)</a:t>
              </a:r>
              <a:endParaRPr lang="tr-TR" sz="85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63500</xdr:colOff>
      <xdr:row>35</xdr:row>
      <xdr:rowOff>177800</xdr:rowOff>
    </xdr:from>
    <xdr:ext cx="1450730" cy="3477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Metin kutusu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3073400" y="10947400"/>
              <a:ext cx="1450730" cy="347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tr-TR" sz="85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tr-TR" sz="85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𝑛𝑀𝐼</m:t>
                        </m:r>
                      </m:e>
                      <m:sub>
                        <m:r>
                          <a:rPr lang="tr-TR" sz="85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𝑗𝑜𝑖</m:t>
                        </m:r>
                      </m:sub>
                    </m:sSub>
                    <m:r>
                      <a:rPr lang="tr-TR" sz="85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tr-TR" sz="85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tr-TR" sz="85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𝑀𝐼</m:t>
                        </m:r>
                      </m:num>
                      <m:den>
                        <m:r>
                          <a:rPr lang="tr-TR" sz="85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𝐻𝑂𝐶</m:t>
                        </m:r>
                      </m:den>
                    </m:f>
                  </m:oMath>
                </m:oMathPara>
              </a14:m>
              <a:endParaRPr lang="tr-TR" sz="85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0" name="Metin kutusu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3073400" y="10947400"/>
              <a:ext cx="1450730" cy="347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85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〖𝑛𝑀𝐼〗_𝑗𝑜𝑖=</a:t>
              </a:r>
              <a:r>
                <a:rPr lang="tr-TR" sz="85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𝑀𝐼/𝐻𝑂𝐶</a:t>
              </a:r>
              <a:endParaRPr lang="tr-TR" sz="85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203200</xdr:colOff>
      <xdr:row>36</xdr:row>
      <xdr:rowOff>127000</xdr:rowOff>
    </xdr:from>
    <xdr:ext cx="899798" cy="2887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Metin kutusu 40">
              <a:extLst>
                <a:ext uri="{FF2B5EF4-FFF2-40B4-BE49-F238E27FC236}">
                  <a16:creationId xmlns:a16="http://schemas.microsoft.com/office/drawing/2014/main" id="{00000000-0008-0000-0100-000029000000}"/>
                </a:ext>
              </a:extLst>
            </xdr:cNvPr>
            <xdr:cNvSpPr txBox="1"/>
          </xdr:nvSpPr>
          <xdr:spPr>
            <a:xfrm>
              <a:off x="3213100" y="11201400"/>
              <a:ext cx="899798" cy="288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tr-TR" sz="85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tr-TR" sz="85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𝑀𝐼</m:t>
                        </m:r>
                      </m:num>
                      <m:den>
                        <m:f>
                          <m:fPr>
                            <m:type m:val="skw"/>
                            <m:ctrlPr>
                              <a:rPr lang="tr-TR" sz="85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m:rPr>
                                <m:nor/>
                              </m:rPr>
                              <a:rPr lang="tr-TR" sz="850" b="0" i="0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min</m:t>
                            </m:r>
                          </m:num>
                          <m:den>
                            <m:r>
                              <m:rPr>
                                <m:nor/>
                              </m:rPr>
                              <a:rPr lang="tr-TR" sz="850" b="0" i="0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max</m:t>
                            </m:r>
                          </m:den>
                        </m:f>
                        <m:r>
                          <a:rPr lang="tr-TR" sz="85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⁡(</m:t>
                        </m:r>
                        <m:r>
                          <a:rPr lang="tr-TR" sz="85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𝐻𝑂</m:t>
                        </m:r>
                        <m:r>
                          <a:rPr lang="tr-TR" sz="85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tr-TR" sz="85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𝐻𝐶</m:t>
                        </m:r>
                        <m:r>
                          <a:rPr lang="tr-TR" sz="85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tr-TR" sz="85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41" name="Metin kutusu 40">
              <a:extLst>
                <a:ext uri="{FF2B5EF4-FFF2-40B4-BE49-F238E27FC236}">
                  <a16:creationId xmlns:a16="http://schemas.microsoft.com/office/drawing/2014/main" id="{00000000-0008-0000-0100-000029000000}"/>
                </a:ext>
              </a:extLst>
            </xdr:cNvPr>
            <xdr:cNvSpPr txBox="1"/>
          </xdr:nvSpPr>
          <xdr:spPr>
            <a:xfrm>
              <a:off x="3213100" y="11201400"/>
              <a:ext cx="899798" cy="288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85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𝑀𝐼/("min" ⁄"max" ⁡(𝐻𝑂,𝐻𝐶))</a:t>
              </a:r>
              <a:endParaRPr lang="tr-TR" sz="85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5</xdr:col>
      <xdr:colOff>204661</xdr:colOff>
      <xdr:row>36</xdr:row>
      <xdr:rowOff>190500</xdr:rowOff>
    </xdr:from>
    <xdr:ext cx="1450730" cy="3477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Metin kutusu 41">
              <a:extLst>
                <a:ext uri="{FF2B5EF4-FFF2-40B4-BE49-F238E27FC236}">
                  <a16:creationId xmlns:a16="http://schemas.microsoft.com/office/drawing/2014/main" id="{00000000-0008-0000-0100-00002A000000}"/>
                </a:ext>
              </a:extLst>
            </xdr:cNvPr>
            <xdr:cNvSpPr txBox="1"/>
          </xdr:nvSpPr>
          <xdr:spPr>
            <a:xfrm>
              <a:off x="2211261" y="11264900"/>
              <a:ext cx="1450730" cy="347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tr-TR" sz="85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tr-TR" sz="85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𝑛𝑀𝐼</m:t>
                        </m:r>
                      </m:e>
                      <m:sub>
                        <m:eqArr>
                          <m:eqArrPr>
                            <m:ctrlPr>
                              <a:rPr lang="tr-TR" sz="85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r>
                              <a:rPr lang="tr-TR" sz="85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𝑚𝑖𝑛</m:t>
                            </m:r>
                          </m:e>
                          <m:e>
                            <m:r>
                              <a:rPr lang="tr-TR" sz="85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𝑚𝑎𝑥</m:t>
                            </m:r>
                          </m:e>
                        </m:eqArr>
                      </m:sub>
                    </m:sSub>
                    <m:r>
                      <a:rPr lang="tr-TR" sz="85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tr-TR" sz="85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2" name="Metin kutusu 41">
              <a:extLst>
                <a:ext uri="{FF2B5EF4-FFF2-40B4-BE49-F238E27FC236}">
                  <a16:creationId xmlns:a16="http://schemas.microsoft.com/office/drawing/2014/main" id="{00000000-0008-0000-0100-00002A000000}"/>
                </a:ext>
              </a:extLst>
            </xdr:cNvPr>
            <xdr:cNvSpPr txBox="1"/>
          </xdr:nvSpPr>
          <xdr:spPr>
            <a:xfrm>
              <a:off x="2211261" y="11264900"/>
              <a:ext cx="1450730" cy="347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85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〖𝑛𝑀𝐼〗_█(𝑚𝑖𝑛@𝑚𝑎𝑥)=</a:t>
              </a:r>
              <a:endParaRPr lang="tr-TR" sz="85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10</xdr:col>
      <xdr:colOff>354035</xdr:colOff>
      <xdr:row>15</xdr:row>
      <xdr:rowOff>34974</xdr:rowOff>
    </xdr:from>
    <xdr:ext cx="255565" cy="3477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Metin kutusu 42">
              <a:extLst>
                <a:ext uri="{FF2B5EF4-FFF2-40B4-BE49-F238E27FC236}">
                  <a16:creationId xmlns:a16="http://schemas.microsoft.com/office/drawing/2014/main" id="{00000000-0008-0000-0100-00002B000000}"/>
                </a:ext>
              </a:extLst>
            </xdr:cNvPr>
            <xdr:cNvSpPr txBox="1"/>
          </xdr:nvSpPr>
          <xdr:spPr>
            <a:xfrm>
              <a:off x="4760935" y="4429174"/>
              <a:ext cx="255565" cy="347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𝑇𝐶</m:t>
                        </m:r>
                      </m:num>
                      <m:den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𝑆𝑛</m:t>
                        </m:r>
                      </m:den>
                    </m:f>
                  </m:oMath>
                </m:oMathPara>
              </a14:m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3" name="Metin kutusu 42">
              <a:extLst>
                <a:ext uri="{FF2B5EF4-FFF2-40B4-BE49-F238E27FC236}">
                  <a16:creationId xmlns:a16="http://schemas.microsoft.com/office/drawing/2014/main" id="{7892D024-7997-144F-9A3D-6EE63B1696E2}"/>
                </a:ext>
              </a:extLst>
            </xdr:cNvPr>
            <xdr:cNvSpPr txBox="1"/>
          </xdr:nvSpPr>
          <xdr:spPr>
            <a:xfrm>
              <a:off x="4760935" y="4429174"/>
              <a:ext cx="255565" cy="347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𝑇𝐶/𝑆𝑛</a:t>
              </a:r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13</xdr:col>
      <xdr:colOff>333715</xdr:colOff>
      <xdr:row>15</xdr:row>
      <xdr:rowOff>34974</xdr:rowOff>
    </xdr:from>
    <xdr:ext cx="255565" cy="3477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Metin kutusu 43">
              <a:extLst>
                <a:ext uri="{FF2B5EF4-FFF2-40B4-BE49-F238E27FC236}">
                  <a16:creationId xmlns:a16="http://schemas.microsoft.com/office/drawing/2014/main" id="{00000000-0008-0000-0100-00002C000000}"/>
                </a:ext>
              </a:extLst>
            </xdr:cNvPr>
            <xdr:cNvSpPr txBox="1"/>
          </xdr:nvSpPr>
          <xdr:spPr>
            <a:xfrm>
              <a:off x="6188415" y="4429174"/>
              <a:ext cx="255565" cy="347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𝐹𝐶</m:t>
                        </m:r>
                      </m:num>
                      <m:den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𝑆𝑛</m:t>
                        </m:r>
                      </m:den>
                    </m:f>
                  </m:oMath>
                </m:oMathPara>
              </a14:m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4" name="Metin kutusu 43">
              <a:extLst>
                <a:ext uri="{FF2B5EF4-FFF2-40B4-BE49-F238E27FC236}">
                  <a16:creationId xmlns:a16="http://schemas.microsoft.com/office/drawing/2014/main" id="{5C611FBF-C835-6642-9E38-7B9267C368CD}"/>
                </a:ext>
              </a:extLst>
            </xdr:cNvPr>
            <xdr:cNvSpPr txBox="1"/>
          </xdr:nvSpPr>
          <xdr:spPr>
            <a:xfrm>
              <a:off x="6188415" y="4429174"/>
              <a:ext cx="255565" cy="347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𝐹𝐶/𝑆𝑛</a:t>
              </a:r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10</xdr:col>
      <xdr:colOff>333715</xdr:colOff>
      <xdr:row>18</xdr:row>
      <xdr:rowOff>34974</xdr:rowOff>
    </xdr:from>
    <xdr:ext cx="255565" cy="3477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Metin kutusu 44">
              <a:extLst>
                <a:ext uri="{FF2B5EF4-FFF2-40B4-BE49-F238E27FC236}">
                  <a16:creationId xmlns:a16="http://schemas.microsoft.com/office/drawing/2014/main" id="{00000000-0008-0000-0100-00002D000000}"/>
                </a:ext>
              </a:extLst>
            </xdr:cNvPr>
            <xdr:cNvSpPr txBox="1"/>
          </xdr:nvSpPr>
          <xdr:spPr>
            <a:xfrm>
              <a:off x="4740615" y="5368974"/>
              <a:ext cx="255565" cy="347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𝑇𝑃</m:t>
                        </m:r>
                      </m:num>
                      <m:den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𝑆𝑛</m:t>
                        </m:r>
                      </m:den>
                    </m:f>
                  </m:oMath>
                </m:oMathPara>
              </a14:m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5" name="Metin kutusu 44">
              <a:extLst>
                <a:ext uri="{FF2B5EF4-FFF2-40B4-BE49-F238E27FC236}">
                  <a16:creationId xmlns:a16="http://schemas.microsoft.com/office/drawing/2014/main" id="{0AAFA836-8D2D-0C4A-A917-D8424A0A4AB7}"/>
                </a:ext>
              </a:extLst>
            </xdr:cNvPr>
            <xdr:cNvSpPr txBox="1"/>
          </xdr:nvSpPr>
          <xdr:spPr>
            <a:xfrm>
              <a:off x="4740615" y="5368974"/>
              <a:ext cx="255565" cy="347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𝑇𝑃/𝑆𝑛</a:t>
              </a:r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13</xdr:col>
      <xdr:colOff>323555</xdr:colOff>
      <xdr:row>18</xdr:row>
      <xdr:rowOff>34974</xdr:rowOff>
    </xdr:from>
    <xdr:ext cx="255565" cy="3477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Metin kutusu 45">
              <a:extLst>
                <a:ext uri="{FF2B5EF4-FFF2-40B4-BE49-F238E27FC236}">
                  <a16:creationId xmlns:a16="http://schemas.microsoft.com/office/drawing/2014/main" id="{00000000-0008-0000-0100-00002E000000}"/>
                </a:ext>
              </a:extLst>
            </xdr:cNvPr>
            <xdr:cNvSpPr txBox="1"/>
          </xdr:nvSpPr>
          <xdr:spPr>
            <a:xfrm>
              <a:off x="6178255" y="5368974"/>
              <a:ext cx="255565" cy="347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𝑇𝑁</m:t>
                        </m:r>
                      </m:num>
                      <m:den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𝑆𝑛</m:t>
                        </m:r>
                      </m:den>
                    </m:f>
                  </m:oMath>
                </m:oMathPara>
              </a14:m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6" name="Metin kutusu 45">
              <a:extLst>
                <a:ext uri="{FF2B5EF4-FFF2-40B4-BE49-F238E27FC236}">
                  <a16:creationId xmlns:a16="http://schemas.microsoft.com/office/drawing/2014/main" id="{E5EC81C4-D00B-7E47-ABFC-B60A589756F2}"/>
                </a:ext>
              </a:extLst>
            </xdr:cNvPr>
            <xdr:cNvSpPr txBox="1"/>
          </xdr:nvSpPr>
          <xdr:spPr>
            <a:xfrm>
              <a:off x="6178255" y="5368974"/>
              <a:ext cx="255565" cy="347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𝑇𝑁/𝑆𝑛</a:t>
              </a:r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10</xdr:col>
      <xdr:colOff>354035</xdr:colOff>
      <xdr:row>24</xdr:row>
      <xdr:rowOff>34974</xdr:rowOff>
    </xdr:from>
    <xdr:ext cx="255565" cy="3477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Metin kutusu 46">
              <a:extLst>
                <a:ext uri="{FF2B5EF4-FFF2-40B4-BE49-F238E27FC236}">
                  <a16:creationId xmlns:a16="http://schemas.microsoft.com/office/drawing/2014/main" id="{00000000-0008-0000-0100-00002F000000}"/>
                </a:ext>
              </a:extLst>
            </xdr:cNvPr>
            <xdr:cNvSpPr txBox="1"/>
          </xdr:nvSpPr>
          <xdr:spPr>
            <a:xfrm>
              <a:off x="4760935" y="7273974"/>
              <a:ext cx="255565" cy="347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𝑇𝑃</m:t>
                        </m:r>
                      </m:num>
                      <m:den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𝑂𝑃</m:t>
                        </m:r>
                      </m:den>
                    </m:f>
                  </m:oMath>
                </m:oMathPara>
              </a14:m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7" name="Metin kutusu 46">
              <a:extLst>
                <a:ext uri="{FF2B5EF4-FFF2-40B4-BE49-F238E27FC236}">
                  <a16:creationId xmlns:a16="http://schemas.microsoft.com/office/drawing/2014/main" id="{2CB4C80A-60DC-2549-954F-4A3887191CE2}"/>
                </a:ext>
              </a:extLst>
            </xdr:cNvPr>
            <xdr:cNvSpPr txBox="1"/>
          </xdr:nvSpPr>
          <xdr:spPr>
            <a:xfrm>
              <a:off x="4760935" y="7273974"/>
              <a:ext cx="255565" cy="347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𝑇𝑃/𝑂𝑃</a:t>
              </a:r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13</xdr:col>
      <xdr:colOff>343875</xdr:colOff>
      <xdr:row>24</xdr:row>
      <xdr:rowOff>24814</xdr:rowOff>
    </xdr:from>
    <xdr:ext cx="255565" cy="3477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Metin kutusu 47">
              <a:extLst>
                <a:ext uri="{FF2B5EF4-FFF2-40B4-BE49-F238E27FC236}">
                  <a16:creationId xmlns:a16="http://schemas.microsoft.com/office/drawing/2014/main" id="{00000000-0008-0000-0100-000030000000}"/>
                </a:ext>
              </a:extLst>
            </xdr:cNvPr>
            <xdr:cNvSpPr txBox="1"/>
          </xdr:nvSpPr>
          <xdr:spPr>
            <a:xfrm>
              <a:off x="6198575" y="7263814"/>
              <a:ext cx="255565" cy="347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𝐹𝑃</m:t>
                        </m:r>
                      </m:num>
                      <m:den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𝑂𝑃</m:t>
                        </m:r>
                      </m:den>
                    </m:f>
                  </m:oMath>
                </m:oMathPara>
              </a14:m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8" name="Metin kutusu 47">
              <a:extLst>
                <a:ext uri="{FF2B5EF4-FFF2-40B4-BE49-F238E27FC236}">
                  <a16:creationId xmlns:a16="http://schemas.microsoft.com/office/drawing/2014/main" id="{44A18DA7-5D56-E647-9852-912BADA3CB61}"/>
                </a:ext>
              </a:extLst>
            </xdr:cNvPr>
            <xdr:cNvSpPr txBox="1"/>
          </xdr:nvSpPr>
          <xdr:spPr>
            <a:xfrm>
              <a:off x="6198575" y="7263814"/>
              <a:ext cx="255565" cy="347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𝐹𝑃/𝑂𝑃</a:t>
              </a:r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10</xdr:col>
      <xdr:colOff>333715</xdr:colOff>
      <xdr:row>27</xdr:row>
      <xdr:rowOff>34974</xdr:rowOff>
    </xdr:from>
    <xdr:ext cx="255565" cy="3477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Metin kutusu 48">
              <a:extLst>
                <a:ext uri="{FF2B5EF4-FFF2-40B4-BE49-F238E27FC236}">
                  <a16:creationId xmlns:a16="http://schemas.microsoft.com/office/drawing/2014/main" id="{00000000-0008-0000-0100-000031000000}"/>
                </a:ext>
              </a:extLst>
            </xdr:cNvPr>
            <xdr:cNvSpPr txBox="1"/>
          </xdr:nvSpPr>
          <xdr:spPr>
            <a:xfrm>
              <a:off x="4740615" y="8226474"/>
              <a:ext cx="255565" cy="347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𝐹𝑁</m:t>
                        </m:r>
                      </m:num>
                      <m:den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𝑂𝑁</m:t>
                        </m:r>
                      </m:den>
                    </m:f>
                  </m:oMath>
                </m:oMathPara>
              </a14:m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9" name="Metin kutusu 48">
              <a:extLst>
                <a:ext uri="{FF2B5EF4-FFF2-40B4-BE49-F238E27FC236}">
                  <a16:creationId xmlns:a16="http://schemas.microsoft.com/office/drawing/2014/main" id="{4B420231-8627-3A4B-88E6-AAF4FAB6BD79}"/>
                </a:ext>
              </a:extLst>
            </xdr:cNvPr>
            <xdr:cNvSpPr txBox="1"/>
          </xdr:nvSpPr>
          <xdr:spPr>
            <a:xfrm>
              <a:off x="4740615" y="8226474"/>
              <a:ext cx="255565" cy="347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𝐹𝑁/𝑂𝑁</a:t>
              </a:r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13</xdr:col>
      <xdr:colOff>323555</xdr:colOff>
      <xdr:row>27</xdr:row>
      <xdr:rowOff>24814</xdr:rowOff>
    </xdr:from>
    <xdr:ext cx="255565" cy="3477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Metin kutusu 49">
              <a:extLst>
                <a:ext uri="{FF2B5EF4-FFF2-40B4-BE49-F238E27FC236}">
                  <a16:creationId xmlns:a16="http://schemas.microsoft.com/office/drawing/2014/main" id="{00000000-0008-0000-0100-000032000000}"/>
                </a:ext>
              </a:extLst>
            </xdr:cNvPr>
            <xdr:cNvSpPr txBox="1"/>
          </xdr:nvSpPr>
          <xdr:spPr>
            <a:xfrm>
              <a:off x="6178255" y="8216314"/>
              <a:ext cx="255565" cy="347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𝑇𝑁</m:t>
                        </m:r>
                      </m:num>
                      <m:den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𝑂𝑁</m:t>
                        </m:r>
                      </m:den>
                    </m:f>
                  </m:oMath>
                </m:oMathPara>
              </a14:m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0" name="Metin kutusu 49">
              <a:extLst>
                <a:ext uri="{FF2B5EF4-FFF2-40B4-BE49-F238E27FC236}">
                  <a16:creationId xmlns:a16="http://schemas.microsoft.com/office/drawing/2014/main" id="{AEF737E9-8C5B-4F41-9CCD-C02A373D72C7}"/>
                </a:ext>
              </a:extLst>
            </xdr:cNvPr>
            <xdr:cNvSpPr txBox="1"/>
          </xdr:nvSpPr>
          <xdr:spPr>
            <a:xfrm>
              <a:off x="6178255" y="8216314"/>
              <a:ext cx="255565" cy="347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𝑇𝑁/𝑂𝑁</a:t>
              </a:r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19</xdr:col>
      <xdr:colOff>343875</xdr:colOff>
      <xdr:row>15</xdr:row>
      <xdr:rowOff>14654</xdr:rowOff>
    </xdr:from>
    <xdr:ext cx="255565" cy="3477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Metin kutusu 50">
              <a:extLst>
                <a:ext uri="{FF2B5EF4-FFF2-40B4-BE49-F238E27FC236}">
                  <a16:creationId xmlns:a16="http://schemas.microsoft.com/office/drawing/2014/main" id="{00000000-0008-0000-0100-000033000000}"/>
                </a:ext>
              </a:extLst>
            </xdr:cNvPr>
            <xdr:cNvSpPr txBox="1"/>
          </xdr:nvSpPr>
          <xdr:spPr>
            <a:xfrm>
              <a:off x="9356285" y="4390799"/>
              <a:ext cx="255565" cy="347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𝑇𝑃</m:t>
                        </m:r>
                      </m:num>
                      <m:den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1" name="Metin kutusu 50">
              <a:extLst>
                <a:ext uri="{FF2B5EF4-FFF2-40B4-BE49-F238E27FC236}">
                  <a16:creationId xmlns:a16="http://schemas.microsoft.com/office/drawing/2014/main" id="{88C2FB88-8E00-0B48-8983-691339B2ED93}"/>
                </a:ext>
              </a:extLst>
            </xdr:cNvPr>
            <xdr:cNvSpPr txBox="1"/>
          </xdr:nvSpPr>
          <xdr:spPr>
            <a:xfrm>
              <a:off x="9356285" y="4390799"/>
              <a:ext cx="255565" cy="347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𝑇𝑃/𝑃</a:t>
              </a:r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22</xdr:col>
      <xdr:colOff>343875</xdr:colOff>
      <xdr:row>15</xdr:row>
      <xdr:rowOff>4494</xdr:rowOff>
    </xdr:from>
    <xdr:ext cx="255565" cy="3477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Metin kutusu 51">
              <a:extLst>
                <a:ext uri="{FF2B5EF4-FFF2-40B4-BE49-F238E27FC236}">
                  <a16:creationId xmlns:a16="http://schemas.microsoft.com/office/drawing/2014/main" id="{00000000-0008-0000-0100-000034000000}"/>
                </a:ext>
              </a:extLst>
            </xdr:cNvPr>
            <xdr:cNvSpPr txBox="1"/>
          </xdr:nvSpPr>
          <xdr:spPr>
            <a:xfrm>
              <a:off x="10541975" y="4398694"/>
              <a:ext cx="255565" cy="347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𝐹𝑃</m:t>
                        </m:r>
                      </m:num>
                      <m:den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den>
                    </m:f>
                  </m:oMath>
                </m:oMathPara>
              </a14:m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2" name="Metin kutusu 51">
              <a:extLst>
                <a:ext uri="{FF2B5EF4-FFF2-40B4-BE49-F238E27FC236}">
                  <a16:creationId xmlns:a16="http://schemas.microsoft.com/office/drawing/2014/main" id="{E28D4655-0DD8-A449-A247-BFE596888B45}"/>
                </a:ext>
              </a:extLst>
            </xdr:cNvPr>
            <xdr:cNvSpPr txBox="1"/>
          </xdr:nvSpPr>
          <xdr:spPr>
            <a:xfrm>
              <a:off x="10541975" y="4398694"/>
              <a:ext cx="255565" cy="347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𝐹𝑃/𝑁</a:t>
              </a:r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19</xdr:col>
      <xdr:colOff>343875</xdr:colOff>
      <xdr:row>18</xdr:row>
      <xdr:rowOff>45134</xdr:rowOff>
    </xdr:from>
    <xdr:ext cx="255565" cy="3477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Metin kutusu 52">
              <a:extLst>
                <a:ext uri="{FF2B5EF4-FFF2-40B4-BE49-F238E27FC236}">
                  <a16:creationId xmlns:a16="http://schemas.microsoft.com/office/drawing/2014/main" id="{00000000-0008-0000-0100-000035000000}"/>
                </a:ext>
              </a:extLst>
            </xdr:cNvPr>
            <xdr:cNvSpPr txBox="1"/>
          </xdr:nvSpPr>
          <xdr:spPr>
            <a:xfrm>
              <a:off x="9094175" y="5379134"/>
              <a:ext cx="255565" cy="347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𝐹𝑁</m:t>
                        </m:r>
                      </m:num>
                      <m:den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3" name="Metin kutusu 52">
              <a:extLst>
                <a:ext uri="{FF2B5EF4-FFF2-40B4-BE49-F238E27FC236}">
                  <a16:creationId xmlns:a16="http://schemas.microsoft.com/office/drawing/2014/main" id="{2CABDD1A-8AEB-BF4A-953A-C396EA6904D5}"/>
                </a:ext>
              </a:extLst>
            </xdr:cNvPr>
            <xdr:cNvSpPr txBox="1"/>
          </xdr:nvSpPr>
          <xdr:spPr>
            <a:xfrm>
              <a:off x="9094175" y="5379134"/>
              <a:ext cx="255565" cy="347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𝐹𝑁/𝑃</a:t>
              </a:r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22</xdr:col>
      <xdr:colOff>323555</xdr:colOff>
      <xdr:row>18</xdr:row>
      <xdr:rowOff>34974</xdr:rowOff>
    </xdr:from>
    <xdr:ext cx="255565" cy="3477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Metin kutusu 53">
              <a:extLst>
                <a:ext uri="{FF2B5EF4-FFF2-40B4-BE49-F238E27FC236}">
                  <a16:creationId xmlns:a16="http://schemas.microsoft.com/office/drawing/2014/main" id="{00000000-0008-0000-0100-000036000000}"/>
                </a:ext>
              </a:extLst>
            </xdr:cNvPr>
            <xdr:cNvSpPr txBox="1"/>
          </xdr:nvSpPr>
          <xdr:spPr>
            <a:xfrm>
              <a:off x="10521655" y="5368974"/>
              <a:ext cx="255565" cy="347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𝑇𝑁</m:t>
                        </m:r>
                      </m:num>
                      <m:den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den>
                    </m:f>
                  </m:oMath>
                </m:oMathPara>
              </a14:m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4" name="Metin kutusu 53">
              <a:extLst>
                <a:ext uri="{FF2B5EF4-FFF2-40B4-BE49-F238E27FC236}">
                  <a16:creationId xmlns:a16="http://schemas.microsoft.com/office/drawing/2014/main" id="{90BD2FA9-9B24-3242-B232-EFB7D9A1BF1E}"/>
                </a:ext>
              </a:extLst>
            </xdr:cNvPr>
            <xdr:cNvSpPr txBox="1"/>
          </xdr:nvSpPr>
          <xdr:spPr>
            <a:xfrm>
              <a:off x="10521655" y="5368974"/>
              <a:ext cx="255565" cy="347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𝑇𝑁/𝑁</a:t>
              </a:r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16</xdr:col>
      <xdr:colOff>354035</xdr:colOff>
      <xdr:row>21</xdr:row>
      <xdr:rowOff>187375</xdr:rowOff>
    </xdr:from>
    <xdr:ext cx="733085" cy="219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Metin kutusu 54">
              <a:extLst>
                <a:ext uri="{FF2B5EF4-FFF2-40B4-BE49-F238E27FC236}">
                  <a16:creationId xmlns:a16="http://schemas.microsoft.com/office/drawing/2014/main" id="{00000000-0008-0000-0100-000037000000}"/>
                </a:ext>
              </a:extLst>
            </xdr:cNvPr>
            <xdr:cNvSpPr txBox="1"/>
          </xdr:nvSpPr>
          <xdr:spPr>
            <a:xfrm>
              <a:off x="7656535" y="6473875"/>
              <a:ext cx="733085" cy="219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𝑇𝑃</m:t>
                    </m:r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𝑇𝑁</m:t>
                    </m:r>
                  </m:oMath>
                </m:oMathPara>
              </a14:m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5" name="Metin kutusu 54">
              <a:extLst>
                <a:ext uri="{FF2B5EF4-FFF2-40B4-BE49-F238E27FC236}">
                  <a16:creationId xmlns:a16="http://schemas.microsoft.com/office/drawing/2014/main" id="{92D8A42F-B8D6-2E45-8940-B9EEA2BA829C}"/>
                </a:ext>
              </a:extLst>
            </xdr:cNvPr>
            <xdr:cNvSpPr txBox="1"/>
          </xdr:nvSpPr>
          <xdr:spPr>
            <a:xfrm>
              <a:off x="7656535" y="6473875"/>
              <a:ext cx="733085" cy="219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𝑇𝑃+𝑇𝑁</a:t>
              </a:r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19</xdr:col>
      <xdr:colOff>364195</xdr:colOff>
      <xdr:row>21</xdr:row>
      <xdr:rowOff>197535</xdr:rowOff>
    </xdr:from>
    <xdr:ext cx="733085" cy="219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Metin kutusu 55">
              <a:extLst>
                <a:ext uri="{FF2B5EF4-FFF2-40B4-BE49-F238E27FC236}">
                  <a16:creationId xmlns:a16="http://schemas.microsoft.com/office/drawing/2014/main" id="{00000000-0008-0000-0100-000038000000}"/>
                </a:ext>
              </a:extLst>
            </xdr:cNvPr>
            <xdr:cNvSpPr txBox="1"/>
          </xdr:nvSpPr>
          <xdr:spPr>
            <a:xfrm>
              <a:off x="9114495" y="6484035"/>
              <a:ext cx="733085" cy="219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𝑇𝑃</m:t>
                    </m:r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𝐹𝑁</m:t>
                    </m:r>
                  </m:oMath>
                </m:oMathPara>
              </a14:m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6" name="Metin kutusu 55">
              <a:extLst>
                <a:ext uri="{FF2B5EF4-FFF2-40B4-BE49-F238E27FC236}">
                  <a16:creationId xmlns:a16="http://schemas.microsoft.com/office/drawing/2014/main" id="{28727EF0-E03D-4748-B4F7-5E9B34E42A8D}"/>
                </a:ext>
              </a:extLst>
            </xdr:cNvPr>
            <xdr:cNvSpPr txBox="1"/>
          </xdr:nvSpPr>
          <xdr:spPr>
            <a:xfrm>
              <a:off x="9114495" y="6484035"/>
              <a:ext cx="733085" cy="219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𝑇𝑃+𝐹𝑁</a:t>
              </a:r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22</xdr:col>
      <xdr:colOff>365760</xdr:colOff>
      <xdr:row>21</xdr:row>
      <xdr:rowOff>182880</xdr:rowOff>
    </xdr:from>
    <xdr:ext cx="733085" cy="219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Metin kutusu 56">
              <a:extLst>
                <a:ext uri="{FF2B5EF4-FFF2-40B4-BE49-F238E27FC236}">
                  <a16:creationId xmlns:a16="http://schemas.microsoft.com/office/drawing/2014/main" id="{00000000-0008-0000-0100-000039000000}"/>
                </a:ext>
              </a:extLst>
            </xdr:cNvPr>
            <xdr:cNvSpPr txBox="1"/>
          </xdr:nvSpPr>
          <xdr:spPr>
            <a:xfrm>
              <a:off x="10563860" y="6469380"/>
              <a:ext cx="733085" cy="219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𝑇𝑁</m:t>
                    </m:r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𝐹𝑃</m:t>
                    </m:r>
                  </m:oMath>
                </m:oMathPara>
              </a14:m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7" name="Metin kutusu 56">
              <a:extLst>
                <a:ext uri="{FF2B5EF4-FFF2-40B4-BE49-F238E27FC236}">
                  <a16:creationId xmlns:a16="http://schemas.microsoft.com/office/drawing/2014/main" id="{65EAF9DE-6B0E-E644-BCCD-2304FDA8127E}"/>
                </a:ext>
              </a:extLst>
            </xdr:cNvPr>
            <xdr:cNvSpPr txBox="1"/>
          </xdr:nvSpPr>
          <xdr:spPr>
            <a:xfrm>
              <a:off x="10563860" y="6469380"/>
              <a:ext cx="733085" cy="219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𝑇𝑁+𝐹𝑃</a:t>
              </a:r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16</xdr:col>
      <xdr:colOff>375920</xdr:colOff>
      <xdr:row>24</xdr:row>
      <xdr:rowOff>203200</xdr:rowOff>
    </xdr:from>
    <xdr:ext cx="733085" cy="219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Metin kutusu 57">
              <a:extLst>
                <a:ext uri="{FF2B5EF4-FFF2-40B4-BE49-F238E27FC236}">
                  <a16:creationId xmlns:a16="http://schemas.microsoft.com/office/drawing/2014/main" id="{00000000-0008-0000-0100-00003A000000}"/>
                </a:ext>
              </a:extLst>
            </xdr:cNvPr>
            <xdr:cNvSpPr txBox="1"/>
          </xdr:nvSpPr>
          <xdr:spPr>
            <a:xfrm>
              <a:off x="7678420" y="7442200"/>
              <a:ext cx="733085" cy="219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𝑇𝑃</m:t>
                    </m:r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𝐹𝑃</m:t>
                    </m:r>
                  </m:oMath>
                </m:oMathPara>
              </a14:m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8" name="Metin kutusu 57">
              <a:extLst>
                <a:ext uri="{FF2B5EF4-FFF2-40B4-BE49-F238E27FC236}">
                  <a16:creationId xmlns:a16="http://schemas.microsoft.com/office/drawing/2014/main" id="{4CF7723E-3AE4-CF45-B7A3-D56679D28D82}"/>
                </a:ext>
              </a:extLst>
            </xdr:cNvPr>
            <xdr:cNvSpPr txBox="1"/>
          </xdr:nvSpPr>
          <xdr:spPr>
            <a:xfrm>
              <a:off x="7678420" y="7442200"/>
              <a:ext cx="733085" cy="219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𝑇𝑃+𝐹𝑃</a:t>
              </a:r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16</xdr:col>
      <xdr:colOff>406400</xdr:colOff>
      <xdr:row>27</xdr:row>
      <xdr:rowOff>193040</xdr:rowOff>
    </xdr:from>
    <xdr:ext cx="733085" cy="219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Metin kutusu 58">
              <a:extLst>
                <a:ext uri="{FF2B5EF4-FFF2-40B4-BE49-F238E27FC236}">
                  <a16:creationId xmlns:a16="http://schemas.microsoft.com/office/drawing/2014/main" id="{00000000-0008-0000-0100-00003B000000}"/>
                </a:ext>
              </a:extLst>
            </xdr:cNvPr>
            <xdr:cNvSpPr txBox="1"/>
          </xdr:nvSpPr>
          <xdr:spPr>
            <a:xfrm>
              <a:off x="7708900" y="8384540"/>
              <a:ext cx="733085" cy="219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𝑇𝑁</m:t>
                    </m:r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𝐹𝑁</m:t>
                    </m:r>
                  </m:oMath>
                </m:oMathPara>
              </a14:m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9" name="Metin kutusu 58">
              <a:extLst>
                <a:ext uri="{FF2B5EF4-FFF2-40B4-BE49-F238E27FC236}">
                  <a16:creationId xmlns:a16="http://schemas.microsoft.com/office/drawing/2014/main" id="{DBE1940A-E37D-424E-AEA7-B5D9DE809A28}"/>
                </a:ext>
              </a:extLst>
            </xdr:cNvPr>
            <xdr:cNvSpPr txBox="1"/>
          </xdr:nvSpPr>
          <xdr:spPr>
            <a:xfrm>
              <a:off x="7708900" y="8384540"/>
              <a:ext cx="733085" cy="219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𝑇𝑁+𝐹𝑁</a:t>
              </a:r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16</xdr:col>
      <xdr:colOff>30480</xdr:colOff>
      <xdr:row>30</xdr:row>
      <xdr:rowOff>193040</xdr:rowOff>
    </xdr:from>
    <xdr:ext cx="1381760" cy="2743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Metin kutusu 59">
              <a:extLst>
                <a:ext uri="{FF2B5EF4-FFF2-40B4-BE49-F238E27FC236}">
                  <a16:creationId xmlns:a16="http://schemas.microsoft.com/office/drawing/2014/main" id="{00000000-0008-0000-0100-00003C000000}"/>
                </a:ext>
              </a:extLst>
            </xdr:cNvPr>
            <xdr:cNvSpPr txBox="1"/>
          </xdr:nvSpPr>
          <xdr:spPr>
            <a:xfrm>
              <a:off x="7332980" y="9337040"/>
              <a:ext cx="1381760" cy="274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𝑇𝑃</m:t>
                    </m:r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𝐹𝑃</m:t>
                    </m:r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𝐹𝑁</m:t>
                    </m:r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𝑇𝑁</m:t>
                    </m:r>
                  </m:oMath>
                </m:oMathPara>
              </a14:m>
              <a:endParaRPr lang="tr-TR" sz="1200" b="0" i="0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0" name="Metin kutusu 59">
              <a:extLst>
                <a:ext uri="{FF2B5EF4-FFF2-40B4-BE49-F238E27FC236}">
                  <a16:creationId xmlns:a16="http://schemas.microsoft.com/office/drawing/2014/main" id="{04E598B7-1EE5-044C-8BD7-D56043D56FF2}"/>
                </a:ext>
              </a:extLst>
            </xdr:cNvPr>
            <xdr:cNvSpPr txBox="1"/>
          </xdr:nvSpPr>
          <xdr:spPr>
            <a:xfrm>
              <a:off x="7332980" y="9337040"/>
              <a:ext cx="1381760" cy="274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𝑇𝑃+𝐹𝑃+𝐹𝑁+𝑇𝑁</a:t>
              </a:r>
            </a:p>
          </xdr:txBody>
        </xdr:sp>
      </mc:Fallback>
    </mc:AlternateContent>
    <xdr:clientData/>
  </xdr:oneCellAnchor>
  <xdr:oneCellAnchor>
    <xdr:from>
      <xdr:col>20</xdr:col>
      <xdr:colOff>39075</xdr:colOff>
      <xdr:row>30</xdr:row>
      <xdr:rowOff>167055</xdr:rowOff>
    </xdr:from>
    <xdr:ext cx="438445" cy="2698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1" name="Metin kutusu 60">
              <a:extLst>
                <a:ext uri="{FF2B5EF4-FFF2-40B4-BE49-F238E27FC236}">
                  <a16:creationId xmlns:a16="http://schemas.microsoft.com/office/drawing/2014/main" id="{00000000-0008-0000-0100-00003D000000}"/>
                </a:ext>
              </a:extLst>
            </xdr:cNvPr>
            <xdr:cNvSpPr txBox="1"/>
          </xdr:nvSpPr>
          <xdr:spPr>
            <a:xfrm>
              <a:off x="9259275" y="9311055"/>
              <a:ext cx="438445" cy="269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num>
                      <m:den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𝑆𝑛</m:t>
                        </m:r>
                      </m:den>
                    </m:f>
                  </m:oMath>
                </m:oMathPara>
              </a14:m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1" name="Metin kutusu 60">
              <a:extLst>
                <a:ext uri="{FF2B5EF4-FFF2-40B4-BE49-F238E27FC236}">
                  <a16:creationId xmlns:a16="http://schemas.microsoft.com/office/drawing/2014/main" id="{F233E7A5-8228-AB4D-AED2-A6536326A2C8}"/>
                </a:ext>
              </a:extLst>
            </xdr:cNvPr>
            <xdr:cNvSpPr txBox="1"/>
          </xdr:nvSpPr>
          <xdr:spPr>
            <a:xfrm>
              <a:off x="9259275" y="9311055"/>
              <a:ext cx="438445" cy="269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𝑃⁄𝑆𝑛</a:t>
              </a:r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23</xdr:col>
      <xdr:colOff>69555</xdr:colOff>
      <xdr:row>30</xdr:row>
      <xdr:rowOff>167055</xdr:rowOff>
    </xdr:from>
    <xdr:ext cx="438445" cy="2698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Metin kutusu 61">
              <a:extLst>
                <a:ext uri="{FF2B5EF4-FFF2-40B4-BE49-F238E27FC236}">
                  <a16:creationId xmlns:a16="http://schemas.microsoft.com/office/drawing/2014/main" id="{00000000-0008-0000-0100-00003E000000}"/>
                </a:ext>
              </a:extLst>
            </xdr:cNvPr>
            <xdr:cNvSpPr txBox="1"/>
          </xdr:nvSpPr>
          <xdr:spPr>
            <a:xfrm>
              <a:off x="10737555" y="9311055"/>
              <a:ext cx="438445" cy="269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num>
                      <m:den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𝑆𝑛</m:t>
                        </m:r>
                      </m:den>
                    </m:f>
                  </m:oMath>
                </m:oMathPara>
              </a14:m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2" name="Metin kutusu 61">
              <a:extLst>
                <a:ext uri="{FF2B5EF4-FFF2-40B4-BE49-F238E27FC236}">
                  <a16:creationId xmlns:a16="http://schemas.microsoft.com/office/drawing/2014/main" id="{817EB2B9-C5CE-DC46-A2F9-47461BC300A7}"/>
                </a:ext>
              </a:extLst>
            </xdr:cNvPr>
            <xdr:cNvSpPr txBox="1"/>
          </xdr:nvSpPr>
          <xdr:spPr>
            <a:xfrm>
              <a:off x="10737555" y="9311055"/>
              <a:ext cx="438445" cy="269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𝑁⁄𝑆𝑛</a:t>
              </a:r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22</xdr:col>
      <xdr:colOff>330168</xdr:colOff>
      <xdr:row>33</xdr:row>
      <xdr:rowOff>187515</xdr:rowOff>
    </xdr:from>
    <xdr:ext cx="793102" cy="2377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Metin kutusu 62">
              <a:extLst>
                <a:ext uri="{FF2B5EF4-FFF2-40B4-BE49-F238E27FC236}">
                  <a16:creationId xmlns:a16="http://schemas.microsoft.com/office/drawing/2014/main" id="{00000000-0008-0000-0100-00003F000000}"/>
                </a:ext>
              </a:extLst>
            </xdr:cNvPr>
            <xdr:cNvSpPr txBox="1"/>
          </xdr:nvSpPr>
          <xdr:spPr>
            <a:xfrm>
              <a:off x="10756868" y="10347515"/>
              <a:ext cx="793102" cy="2377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Cambria Math" panose="02040503050406030204" pitchFamily="18" charset="0"/>
                      </a:rPr>
                      <m:t>𝑁</m:t>
                    </m:r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Cambria Math" panose="02040503050406030204" pitchFamily="18" charset="0"/>
                      </a:rPr>
                      <m:t>:</m:t>
                    </m:r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Cambria Math" panose="02040503050406030204" pitchFamily="18" charset="0"/>
                      </a:rPr>
                      <m:t>𝑃</m:t>
                    </m:r>
                    <m:r>
                      <a:rPr lang="tr-TR" sz="120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type m:val="skw"/>
                        <m:ctrlPr>
                          <a:rPr lang="tr-TR" sz="120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𝑁</m:t>
                        </m:r>
                      </m:num>
                      <m:den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tr-TR" sz="12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63" name="Metin kutusu 62">
              <a:extLst>
                <a:ext uri="{FF2B5EF4-FFF2-40B4-BE49-F238E27FC236}">
                  <a16:creationId xmlns:a16="http://schemas.microsoft.com/office/drawing/2014/main" id="{7E9A3019-B99C-8445-874C-D421ED682382}"/>
                </a:ext>
              </a:extLst>
            </xdr:cNvPr>
            <xdr:cNvSpPr txBox="1"/>
          </xdr:nvSpPr>
          <xdr:spPr>
            <a:xfrm>
              <a:off x="10756868" y="10347515"/>
              <a:ext cx="793102" cy="2377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latin typeface="Cambria Math" panose="02040503050406030204" pitchFamily="18" charset="0"/>
                </a:rPr>
                <a:t>𝑁:𝑃</a:t>
              </a:r>
              <a:r>
                <a:rPr lang="tr-TR" sz="1200" i="0">
                  <a:solidFill>
                    <a:schemeClr val="tx1">
                      <a:lumMod val="50000"/>
                      <a:lumOff val="50000"/>
                    </a:schemeClr>
                  </a:solidFill>
                  <a:latin typeface="Cambria Math" panose="02040503050406030204" pitchFamily="18" charset="0"/>
                </a:rPr>
                <a:t>=</a:t>
              </a: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latin typeface="Cambria Math" panose="02040503050406030204" pitchFamily="18" charset="0"/>
                </a:rPr>
                <a:t>𝑁⁄𝑃</a:t>
              </a:r>
              <a:endParaRPr lang="tr-TR" sz="12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19</xdr:col>
      <xdr:colOff>12668</xdr:colOff>
      <xdr:row>33</xdr:row>
      <xdr:rowOff>146875</xdr:rowOff>
    </xdr:from>
    <xdr:ext cx="1430456" cy="3176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Metin kutusu 63">
              <a:extLst>
                <a:ext uri="{FF2B5EF4-FFF2-40B4-BE49-F238E27FC236}">
                  <a16:creationId xmlns:a16="http://schemas.microsoft.com/office/drawing/2014/main" id="{00000000-0008-0000-0100-000040000000}"/>
                </a:ext>
              </a:extLst>
            </xdr:cNvPr>
            <xdr:cNvSpPr txBox="1"/>
          </xdr:nvSpPr>
          <xdr:spPr>
            <a:xfrm>
              <a:off x="8762968" y="10243375"/>
              <a:ext cx="1430456" cy="3176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tr-TR" sz="120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tr-TR" sz="1200" b="0" i="0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max</m:t>
                        </m:r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⁡(</m:t>
                        </m:r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tr-TR" sz="1200" b="0" i="0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min</m:t>
                        </m:r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⁡(</m:t>
                        </m:r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tr-TR" sz="12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64" name="Metin kutusu 63">
              <a:extLst>
                <a:ext uri="{FF2B5EF4-FFF2-40B4-BE49-F238E27FC236}">
                  <a16:creationId xmlns:a16="http://schemas.microsoft.com/office/drawing/2014/main" id="{6721331C-FB92-6949-9E91-E9C78884489A}"/>
                </a:ext>
              </a:extLst>
            </xdr:cNvPr>
            <xdr:cNvSpPr txBox="1"/>
          </xdr:nvSpPr>
          <xdr:spPr>
            <a:xfrm>
              <a:off x="8762968" y="10243375"/>
              <a:ext cx="1430456" cy="3176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200" i="0">
                  <a:solidFill>
                    <a:schemeClr val="tx1">
                      <a:lumMod val="50000"/>
                      <a:lumOff val="50000"/>
                    </a:schemeClr>
                  </a:solidFill>
                  <a:latin typeface="Cambria Math" panose="02040503050406030204" pitchFamily="18" charset="0"/>
                </a:rPr>
                <a:t>(</a:t>
              </a: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latin typeface="Cambria Math" panose="02040503050406030204" pitchFamily="18" charset="0"/>
                </a:rPr>
                <a:t>max⁡(𝑃,𝑁))⁄(min⁡(𝑃,𝑁))</a:t>
              </a:r>
              <a:endParaRPr lang="tr-TR" sz="12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16</xdr:col>
      <xdr:colOff>292068</xdr:colOff>
      <xdr:row>33</xdr:row>
      <xdr:rowOff>157035</xdr:rowOff>
    </xdr:from>
    <xdr:ext cx="945515" cy="280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Metin kutusu 64">
              <a:extLst>
                <a:ext uri="{FF2B5EF4-FFF2-40B4-BE49-F238E27FC236}">
                  <a16:creationId xmlns:a16="http://schemas.microsoft.com/office/drawing/2014/main" id="{00000000-0008-0000-0100-000041000000}"/>
                </a:ext>
              </a:extLst>
            </xdr:cNvPr>
            <xdr:cNvSpPr txBox="1"/>
          </xdr:nvSpPr>
          <xdr:spPr>
            <a:xfrm>
              <a:off x="7772368" y="10317035"/>
              <a:ext cx="945515" cy="280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tr-TR" sz="120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tr-TR" sz="1200" b="0" i="0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max</m:t>
                        </m:r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⁡(</m:t>
                        </m:r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𝑆𝑛</m:t>
                        </m:r>
                      </m:den>
                    </m:f>
                  </m:oMath>
                </m:oMathPara>
              </a14:m>
              <a:endParaRPr lang="tr-TR" sz="12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65" name="Metin kutusu 64">
              <a:extLst>
                <a:ext uri="{FF2B5EF4-FFF2-40B4-BE49-F238E27FC236}">
                  <a16:creationId xmlns:a16="http://schemas.microsoft.com/office/drawing/2014/main" id="{8D04A3E9-C8C5-B049-8839-76F1B0782B75}"/>
                </a:ext>
              </a:extLst>
            </xdr:cNvPr>
            <xdr:cNvSpPr txBox="1"/>
          </xdr:nvSpPr>
          <xdr:spPr>
            <a:xfrm>
              <a:off x="7772368" y="10317035"/>
              <a:ext cx="945515" cy="280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200" i="0">
                  <a:solidFill>
                    <a:schemeClr val="tx1">
                      <a:lumMod val="50000"/>
                      <a:lumOff val="50000"/>
                    </a:schemeClr>
                  </a:solidFill>
                  <a:latin typeface="Cambria Math" panose="02040503050406030204" pitchFamily="18" charset="0"/>
                </a:rPr>
                <a:t>(</a:t>
              </a: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latin typeface="Cambria Math" panose="02040503050406030204" pitchFamily="18" charset="0"/>
                </a:rPr>
                <a:t>max⁡(𝑃,𝑁))⁄𝑆𝑛</a:t>
              </a:r>
              <a:endParaRPr lang="tr-TR" sz="12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25</xdr:col>
      <xdr:colOff>63468</xdr:colOff>
      <xdr:row>33</xdr:row>
      <xdr:rowOff>177355</xdr:rowOff>
    </xdr:from>
    <xdr:ext cx="1385123" cy="2591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Metin kutusu 65">
              <a:extLst>
                <a:ext uri="{FF2B5EF4-FFF2-40B4-BE49-F238E27FC236}">
                  <a16:creationId xmlns:a16="http://schemas.microsoft.com/office/drawing/2014/main" id="{00000000-0008-0000-0100-000042000000}"/>
                </a:ext>
              </a:extLst>
            </xdr:cNvPr>
            <xdr:cNvSpPr txBox="1"/>
          </xdr:nvSpPr>
          <xdr:spPr>
            <a:xfrm>
              <a:off x="11960828" y="10327195"/>
              <a:ext cx="1385123" cy="259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tr-TR" sz="120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⋅</m:t>
                        </m:r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𝑂𝑃</m:t>
                        </m:r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⋅</m:t>
                        </m:r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𝑂𝑁</m:t>
                        </m:r>
                      </m:num>
                      <m:den>
                        <m:sSup>
                          <m:sSupPr>
                            <m:ctrlPr>
                              <a:rPr lang="tr-TR" sz="12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tr-TR" sz="12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𝑆𝑛</m:t>
                            </m:r>
                          </m:e>
                          <m:sup>
                            <m:r>
                              <a:rPr lang="tr-TR" sz="12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tr-TR" sz="12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66" name="Metin kutusu 65">
              <a:extLst>
                <a:ext uri="{FF2B5EF4-FFF2-40B4-BE49-F238E27FC236}">
                  <a16:creationId xmlns:a16="http://schemas.microsoft.com/office/drawing/2014/main" id="{00000000-0008-0000-0100-000042000000}"/>
                </a:ext>
              </a:extLst>
            </xdr:cNvPr>
            <xdr:cNvSpPr txBox="1"/>
          </xdr:nvSpPr>
          <xdr:spPr>
            <a:xfrm>
              <a:off x="11960828" y="10327195"/>
              <a:ext cx="1385123" cy="2591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200" i="0">
                  <a:solidFill>
                    <a:schemeClr val="tx1">
                      <a:lumMod val="50000"/>
                      <a:lumOff val="50000"/>
                    </a:schemeClr>
                  </a:solidFill>
                  <a:latin typeface="Cambria Math" panose="02040503050406030204" pitchFamily="18" charset="0"/>
                </a:rPr>
                <a:t>(</a:t>
              </a: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latin typeface="Cambria Math" panose="02040503050406030204" pitchFamily="18" charset="0"/>
                </a:rPr>
                <a:t>𝑃</a:t>
              </a: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⋅𝑂𝑃</a:t>
              </a: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latin typeface="Cambria Math" panose="02040503050406030204" pitchFamily="18" charset="0"/>
                </a:rPr>
                <a:t>+𝑁</a:t>
              </a: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⋅𝑂𝑁)⁄〖𝑆𝑛〗^2 </a:t>
              </a:r>
              <a:endParaRPr lang="tr-TR" sz="12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25</xdr:col>
      <xdr:colOff>111093</xdr:colOff>
      <xdr:row>30</xdr:row>
      <xdr:rowOff>197675</xdr:rowOff>
    </xdr:from>
    <xdr:ext cx="1244251" cy="187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Metin kutusu 66">
              <a:extLst>
                <a:ext uri="{FF2B5EF4-FFF2-40B4-BE49-F238E27FC236}">
                  <a16:creationId xmlns:a16="http://schemas.microsoft.com/office/drawing/2014/main" id="{00000000-0008-0000-0100-000043000000}"/>
                </a:ext>
              </a:extLst>
            </xdr:cNvPr>
            <xdr:cNvSpPr txBox="1"/>
          </xdr:nvSpPr>
          <xdr:spPr>
            <a:xfrm>
              <a:off x="12091936" y="9317193"/>
              <a:ext cx="1244251" cy="187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Cambria Math" panose="02040503050406030204" pitchFamily="18" charset="0"/>
                      </a:rPr>
                      <m:t>𝑇𝑃</m:t>
                    </m:r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⋅</m:t>
                    </m:r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𝑇𝑁</m:t>
                    </m:r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Cambria Math" panose="02040503050406030204" pitchFamily="18" charset="0"/>
                      </a:rPr>
                      <m:t>𝐹𝑃</m:t>
                    </m:r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⋅</m:t>
                    </m:r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𝐹𝑁</m:t>
                    </m:r>
                  </m:oMath>
                </m:oMathPara>
              </a14:m>
              <a:endParaRPr lang="tr-TR" sz="12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67" name="Metin kutusu 66">
              <a:extLst>
                <a:ext uri="{FF2B5EF4-FFF2-40B4-BE49-F238E27FC236}">
                  <a16:creationId xmlns:a16="http://schemas.microsoft.com/office/drawing/2014/main" id="{6F9D28E5-AE1F-B548-A182-7F62824FECBA}"/>
                </a:ext>
              </a:extLst>
            </xdr:cNvPr>
            <xdr:cNvSpPr txBox="1"/>
          </xdr:nvSpPr>
          <xdr:spPr>
            <a:xfrm>
              <a:off x="12091936" y="9317193"/>
              <a:ext cx="1244251" cy="187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latin typeface="Cambria Math" panose="02040503050406030204" pitchFamily="18" charset="0"/>
                </a:rPr>
                <a:t>𝑇𝑃</a:t>
              </a: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⋅𝑇𝑁</a:t>
              </a: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latin typeface="Cambria Math" panose="02040503050406030204" pitchFamily="18" charset="0"/>
                </a:rPr>
                <a:t>−𝐹𝑃</a:t>
              </a: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⋅𝐹𝑁</a:t>
              </a:r>
              <a:endParaRPr lang="tr-TR" sz="12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26</xdr:col>
      <xdr:colOff>18755</xdr:colOff>
      <xdr:row>26</xdr:row>
      <xdr:rowOff>187375</xdr:rowOff>
    </xdr:from>
    <xdr:ext cx="438445" cy="2698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Metin kutusu 67">
              <a:extLst>
                <a:ext uri="{FF2B5EF4-FFF2-40B4-BE49-F238E27FC236}">
                  <a16:creationId xmlns:a16="http://schemas.microsoft.com/office/drawing/2014/main" id="{00000000-0008-0000-0100-000044000000}"/>
                </a:ext>
              </a:extLst>
            </xdr:cNvPr>
            <xdr:cNvSpPr txBox="1"/>
          </xdr:nvSpPr>
          <xdr:spPr>
            <a:xfrm>
              <a:off x="12134555" y="8074075"/>
              <a:ext cx="438445" cy="269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𝑂𝑃</m:t>
                        </m:r>
                      </m:num>
                      <m:den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𝑆𝑛</m:t>
                        </m:r>
                      </m:den>
                    </m:f>
                  </m:oMath>
                </m:oMathPara>
              </a14:m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8" name="Metin kutusu 67">
              <a:extLst>
                <a:ext uri="{FF2B5EF4-FFF2-40B4-BE49-F238E27FC236}">
                  <a16:creationId xmlns:a16="http://schemas.microsoft.com/office/drawing/2014/main" id="{12B2B22F-6A87-2A49-A4F3-D04075DEAE9F}"/>
                </a:ext>
              </a:extLst>
            </xdr:cNvPr>
            <xdr:cNvSpPr txBox="1"/>
          </xdr:nvSpPr>
          <xdr:spPr>
            <a:xfrm>
              <a:off x="12134555" y="8074075"/>
              <a:ext cx="438445" cy="269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𝑂𝑃⁄𝑆𝑛</a:t>
              </a:r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25</xdr:col>
      <xdr:colOff>384515</xdr:colOff>
      <xdr:row>21</xdr:row>
      <xdr:rowOff>187375</xdr:rowOff>
    </xdr:from>
    <xdr:ext cx="733085" cy="219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Metin kutusu 68">
              <a:extLst>
                <a:ext uri="{FF2B5EF4-FFF2-40B4-BE49-F238E27FC236}">
                  <a16:creationId xmlns:a16="http://schemas.microsoft.com/office/drawing/2014/main" id="{00000000-0008-0000-0100-000045000000}"/>
                </a:ext>
              </a:extLst>
            </xdr:cNvPr>
            <xdr:cNvSpPr txBox="1"/>
          </xdr:nvSpPr>
          <xdr:spPr>
            <a:xfrm>
              <a:off x="12030415" y="6473875"/>
              <a:ext cx="733085" cy="219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𝐹𝑃</m:t>
                    </m:r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𝐹𝑁</m:t>
                    </m:r>
                  </m:oMath>
                </m:oMathPara>
              </a14:m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9" name="Metin kutusu 68">
              <a:extLst>
                <a:ext uri="{FF2B5EF4-FFF2-40B4-BE49-F238E27FC236}">
                  <a16:creationId xmlns:a16="http://schemas.microsoft.com/office/drawing/2014/main" id="{594D81EA-F181-F14C-A534-ED8FB09FBB9F}"/>
                </a:ext>
              </a:extLst>
            </xdr:cNvPr>
            <xdr:cNvSpPr txBox="1"/>
          </xdr:nvSpPr>
          <xdr:spPr>
            <a:xfrm>
              <a:off x="12030415" y="6473875"/>
              <a:ext cx="733085" cy="219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𝐹𝑃+𝐹𝑁</a:t>
              </a:r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19</xdr:col>
      <xdr:colOff>274320</xdr:colOff>
      <xdr:row>35</xdr:row>
      <xdr:rowOff>214218</xdr:rowOff>
    </xdr:from>
    <xdr:ext cx="2031005" cy="5393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Metin kutusu 69">
              <a:extLst>
                <a:ext uri="{FF2B5EF4-FFF2-40B4-BE49-F238E27FC236}">
                  <a16:creationId xmlns:a16="http://schemas.microsoft.com/office/drawing/2014/main" id="{00000000-0008-0000-0100-000046000000}"/>
                </a:ext>
              </a:extLst>
            </xdr:cNvPr>
            <xdr:cNvSpPr txBox="1"/>
          </xdr:nvSpPr>
          <xdr:spPr>
            <a:xfrm>
              <a:off x="9286730" y="10940363"/>
              <a:ext cx="2031005" cy="539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supHide m:val="on"/>
                        <m:ctrlPr>
                          <a:rPr lang="tr-TR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tr-TR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tr-TR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tr-TR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𝑃𝑅𝐸𝑉</m:t>
                        </m:r>
                        <m:r>
                          <a:rPr lang="tr-TR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,1−</m:t>
                        </m:r>
                        <m:r>
                          <a:rPr lang="tr-TR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𝑃𝑅𝐸𝑉</m:t>
                        </m:r>
                      </m:sub>
                      <m:sup/>
                      <m:e>
                        <m:r>
                          <a:rPr lang="tr-TR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𝑚</m:t>
                        </m:r>
                        <m:func>
                          <m:funcPr>
                            <m:ctrlPr>
                              <a:rPr lang="tr-TR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sSub>
                              <m:sSubPr>
                                <m:ctrlPr>
                                  <a:rPr lang="tr-TR" sz="1400" b="0" i="1">
                                    <a:solidFill>
                                      <a:schemeClr val="bg1">
                                        <a:lumMod val="50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tr-TR" sz="1400" b="0" i="0">
                                    <a:solidFill>
                                      <a:schemeClr val="bg1">
                                        <a:lumMod val="50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log</m:t>
                                </m:r>
                              </m:e>
                              <m:sub>
                                <m:r>
                                  <a:rPr lang="tr-TR" sz="1400" b="0" i="1">
                                    <a:solidFill>
                                      <a:schemeClr val="bg1">
                                        <a:lumMod val="50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fName>
                          <m:e>
                            <m:r>
                              <a:rPr lang="tr-TR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</m:func>
                      </m:e>
                    </m:nary>
                  </m:oMath>
                </m:oMathPara>
              </a14:m>
              <a:endParaRPr lang="tr-TR" sz="14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70" name="Metin kutusu 69">
              <a:extLst>
                <a:ext uri="{FF2B5EF4-FFF2-40B4-BE49-F238E27FC236}">
                  <a16:creationId xmlns:a16="http://schemas.microsoft.com/office/drawing/2014/main" id="{F839A405-CB86-A64B-B1F2-1EC195CD26D9}"/>
                </a:ext>
              </a:extLst>
            </xdr:cNvPr>
            <xdr:cNvSpPr txBox="1"/>
          </xdr:nvSpPr>
          <xdr:spPr>
            <a:xfrm>
              <a:off x="9286730" y="10940363"/>
              <a:ext cx="2031005" cy="5393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4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−∑_(𝑚=𝑃𝑅𝐸𝑉,1−𝑃𝑅𝐸𝑉)▒〖𝑚 log_2⁡𝑚 〗</a:t>
              </a:r>
              <a:endParaRPr lang="tr-TR" sz="14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28</xdr:col>
      <xdr:colOff>14935</xdr:colOff>
      <xdr:row>26</xdr:row>
      <xdr:rowOff>81036</xdr:rowOff>
    </xdr:from>
    <xdr:ext cx="1473545" cy="6538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Metin kutusu 70">
              <a:extLst>
                <a:ext uri="{FF2B5EF4-FFF2-40B4-BE49-F238E27FC236}">
                  <a16:creationId xmlns:a16="http://schemas.microsoft.com/office/drawing/2014/main" id="{00000000-0008-0000-0100-000047000000}"/>
                </a:ext>
              </a:extLst>
            </xdr:cNvPr>
            <xdr:cNvSpPr txBox="1"/>
          </xdr:nvSpPr>
          <xdr:spPr>
            <a:xfrm>
              <a:off x="13479995" y="7930554"/>
              <a:ext cx="1473545" cy="6538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40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supHide m:val="on"/>
                        <m:ctrlPr>
                          <a:rPr lang="tr-TR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eqArr>
                          <m:eqArrPr>
                            <m:ctrlPr>
                              <a:rPr lang="tr-TR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tr-TR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𝑚</m:t>
                            </m:r>
                            <m:r>
                              <a:rPr lang="tr-TR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tr-TR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𝐵𝐼𝐴𝑆</m:t>
                            </m:r>
                            <m:r>
                              <a:rPr lang="tr-TR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,</m:t>
                            </m:r>
                          </m:e>
                          <m:e>
                            <m:r>
                              <a:rPr lang="tr-TR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a:rPr lang="tr-TR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𝐵𝐼𝐴𝑆</m:t>
                            </m:r>
                          </m:e>
                        </m:eqArr>
                      </m:sub>
                      <m:sup/>
                      <m:e>
                        <m:r>
                          <a:rPr lang="tr-TR" sz="140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𝑚</m:t>
                        </m:r>
                        <m:func>
                          <m:funcPr>
                            <m:ctrlPr>
                              <a:rPr lang="tr-TR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sSub>
                              <m:sSubPr>
                                <m:ctrlPr>
                                  <a:rPr lang="tr-TR" sz="1400" b="0" i="1">
                                    <a:solidFill>
                                      <a:schemeClr val="bg1">
                                        <a:lumMod val="50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tr-TR" sz="1400" b="0" i="0">
                                    <a:solidFill>
                                      <a:schemeClr val="bg1">
                                        <a:lumMod val="50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log</m:t>
                                </m:r>
                              </m:e>
                              <m:sub>
                                <m:r>
                                  <a:rPr lang="tr-TR" sz="1400" b="0" i="1">
                                    <a:solidFill>
                                      <a:schemeClr val="bg1">
                                        <a:lumMod val="50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fName>
                          <m:e>
                            <m:r>
                              <a:rPr lang="tr-TR" sz="140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</m:func>
                      </m:e>
                    </m:nary>
                  </m:oMath>
                </m:oMathPara>
              </a14:m>
              <a:endParaRPr lang="tr-TR" sz="14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71" name="Metin kutusu 70">
              <a:extLst>
                <a:ext uri="{FF2B5EF4-FFF2-40B4-BE49-F238E27FC236}">
                  <a16:creationId xmlns:a16="http://schemas.microsoft.com/office/drawing/2014/main" id="{413B5821-42D1-534C-9174-F98EEEFE53E0}"/>
                </a:ext>
              </a:extLst>
            </xdr:cNvPr>
            <xdr:cNvSpPr txBox="1"/>
          </xdr:nvSpPr>
          <xdr:spPr>
            <a:xfrm>
              <a:off x="13479995" y="7930554"/>
              <a:ext cx="1473545" cy="6538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4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−∑_█(𝑚=𝐵𝐼𝐴𝑆,@1−𝐵𝐼𝐴𝑆)▒〖𝑚 log_2⁡𝑚 〗</a:t>
              </a:r>
              <a:endParaRPr lang="tr-TR" sz="14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25</xdr:col>
      <xdr:colOff>335280</xdr:colOff>
      <xdr:row>18</xdr:row>
      <xdr:rowOff>172720</xdr:rowOff>
    </xdr:from>
    <xdr:ext cx="812800" cy="2698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Metin kutusu 71">
              <a:extLst>
                <a:ext uri="{FF2B5EF4-FFF2-40B4-BE49-F238E27FC236}">
                  <a16:creationId xmlns:a16="http://schemas.microsoft.com/office/drawing/2014/main" id="{00000000-0008-0000-0100-000048000000}"/>
                </a:ext>
              </a:extLst>
            </xdr:cNvPr>
            <xdr:cNvSpPr txBox="1"/>
          </xdr:nvSpPr>
          <xdr:spPr>
            <a:xfrm>
              <a:off x="13428980" y="5506720"/>
              <a:ext cx="812800" cy="269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𝐹𝑁𝑅</m:t>
                        </m:r>
                      </m:num>
                      <m:den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𝑇𝑁𝑅</m:t>
                        </m:r>
                      </m:den>
                    </m:f>
                  </m:oMath>
                </m:oMathPara>
              </a14:m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2" name="Metin kutusu 71">
              <a:extLst>
                <a:ext uri="{FF2B5EF4-FFF2-40B4-BE49-F238E27FC236}">
                  <a16:creationId xmlns:a16="http://schemas.microsoft.com/office/drawing/2014/main" id="{672D2E1D-41C9-A149-8D9A-4439FE5254F5}"/>
                </a:ext>
              </a:extLst>
            </xdr:cNvPr>
            <xdr:cNvSpPr txBox="1"/>
          </xdr:nvSpPr>
          <xdr:spPr>
            <a:xfrm>
              <a:off x="13428980" y="5506720"/>
              <a:ext cx="812800" cy="269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𝐹𝑁𝑅⁄𝑇𝑁𝑅</a:t>
              </a:r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25</xdr:col>
      <xdr:colOff>335280</xdr:colOff>
      <xdr:row>15</xdr:row>
      <xdr:rowOff>152400</xdr:rowOff>
    </xdr:from>
    <xdr:ext cx="812800" cy="2698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Metin kutusu 72">
              <a:extLst>
                <a:ext uri="{FF2B5EF4-FFF2-40B4-BE49-F238E27FC236}">
                  <a16:creationId xmlns:a16="http://schemas.microsoft.com/office/drawing/2014/main" id="{00000000-0008-0000-0100-000049000000}"/>
                </a:ext>
              </a:extLst>
            </xdr:cNvPr>
            <xdr:cNvSpPr txBox="1"/>
          </xdr:nvSpPr>
          <xdr:spPr>
            <a:xfrm>
              <a:off x="13428980" y="4546600"/>
              <a:ext cx="812800" cy="269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𝑇𝑃𝑅</m:t>
                        </m:r>
                      </m:num>
                      <m:den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𝐹𝑃𝑅</m:t>
                        </m:r>
                      </m:den>
                    </m:f>
                  </m:oMath>
                </m:oMathPara>
              </a14:m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3" name="Metin kutusu 72">
              <a:extLst>
                <a:ext uri="{FF2B5EF4-FFF2-40B4-BE49-F238E27FC236}">
                  <a16:creationId xmlns:a16="http://schemas.microsoft.com/office/drawing/2014/main" id="{53F23D05-D20B-C648-AE2F-5A4E68CEB45D}"/>
                </a:ext>
              </a:extLst>
            </xdr:cNvPr>
            <xdr:cNvSpPr txBox="1"/>
          </xdr:nvSpPr>
          <xdr:spPr>
            <a:xfrm>
              <a:off x="13428980" y="4546600"/>
              <a:ext cx="812800" cy="269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𝑇𝑃𝑅⁄𝐹𝑃𝑅</a:t>
              </a:r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28</xdr:col>
      <xdr:colOff>365760</xdr:colOff>
      <xdr:row>15</xdr:row>
      <xdr:rowOff>152400</xdr:rowOff>
    </xdr:from>
    <xdr:ext cx="812800" cy="2698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4" name="Metin kutusu 73">
              <a:extLst>
                <a:ext uri="{FF2B5EF4-FFF2-40B4-BE49-F238E27FC236}">
                  <a16:creationId xmlns:a16="http://schemas.microsoft.com/office/drawing/2014/main" id="{00000000-0008-0000-0100-00004A000000}"/>
                </a:ext>
              </a:extLst>
            </xdr:cNvPr>
            <xdr:cNvSpPr txBox="1"/>
          </xdr:nvSpPr>
          <xdr:spPr>
            <a:xfrm>
              <a:off x="14907260" y="4546600"/>
              <a:ext cx="812800" cy="269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𝐿𝑅𝑃</m:t>
                        </m:r>
                      </m:num>
                      <m:den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𝐿𝑅𝑁</m:t>
                        </m:r>
                      </m:den>
                    </m:f>
                  </m:oMath>
                </m:oMathPara>
              </a14:m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4" name="Metin kutusu 73">
              <a:extLst>
                <a:ext uri="{FF2B5EF4-FFF2-40B4-BE49-F238E27FC236}">
                  <a16:creationId xmlns:a16="http://schemas.microsoft.com/office/drawing/2014/main" id="{2260D6B6-110F-EE4E-AC03-2B3CFF69317E}"/>
                </a:ext>
              </a:extLst>
            </xdr:cNvPr>
            <xdr:cNvSpPr txBox="1"/>
          </xdr:nvSpPr>
          <xdr:spPr>
            <a:xfrm>
              <a:off x="14907260" y="4546600"/>
              <a:ext cx="812800" cy="269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𝐿𝑅𝑃⁄𝐿𝑅𝑁</a:t>
              </a:r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28</xdr:col>
      <xdr:colOff>18755</xdr:colOff>
      <xdr:row>18</xdr:row>
      <xdr:rowOff>136575</xdr:rowOff>
    </xdr:from>
    <xdr:ext cx="1363005" cy="3104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Metin kutusu 74">
              <a:extLst>
                <a:ext uri="{FF2B5EF4-FFF2-40B4-BE49-F238E27FC236}">
                  <a16:creationId xmlns:a16="http://schemas.microsoft.com/office/drawing/2014/main" id="{00000000-0008-0000-0100-00004B000000}"/>
                </a:ext>
              </a:extLst>
            </xdr:cNvPr>
            <xdr:cNvSpPr txBox="1"/>
          </xdr:nvSpPr>
          <xdr:spPr>
            <a:xfrm>
              <a:off x="14560255" y="5470575"/>
              <a:ext cx="1363005" cy="3104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tr-TR" sz="12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tr-TR" sz="12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e>
                        </m:rad>
                      </m:num>
                      <m:den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𝜋</m:t>
                        </m:r>
                      </m:den>
                    </m:f>
                    <m:func>
                      <m:funcPr>
                        <m:ctrlP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tr-TR" sz="1200" b="0" i="0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log</m:t>
                        </m:r>
                      </m:fName>
                      <m:e>
                        <m:f>
                          <m:fPr>
                            <m:type m:val="skw"/>
                            <m:ctrlPr>
                              <a:rPr lang="tr-TR" sz="12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tr-TR" sz="12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𝐿𝑅𝑃</m:t>
                            </m:r>
                          </m:num>
                          <m:den>
                            <m:r>
                              <a:rPr lang="tr-TR" sz="12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𝐿𝑅𝑁</m:t>
                            </m:r>
                          </m:den>
                        </m:f>
                      </m:e>
                    </m:func>
                  </m:oMath>
                </m:oMathPara>
              </a14:m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5" name="Metin kutusu 74">
              <a:extLst>
                <a:ext uri="{FF2B5EF4-FFF2-40B4-BE49-F238E27FC236}">
                  <a16:creationId xmlns:a16="http://schemas.microsoft.com/office/drawing/2014/main" id="{23B5FAD3-0E6A-7E49-8B63-12394D8CA84F}"/>
                </a:ext>
              </a:extLst>
            </xdr:cNvPr>
            <xdr:cNvSpPr txBox="1"/>
          </xdr:nvSpPr>
          <xdr:spPr>
            <a:xfrm>
              <a:off x="14560255" y="5470575"/>
              <a:ext cx="1363005" cy="3104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√3⁄</a:t>
              </a: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𝜋</a:t>
              </a: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log⁡〖𝐿𝑅𝑃⁄𝐿𝑅𝑁〗</a:t>
              </a:r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25</xdr:col>
      <xdr:colOff>131012</xdr:colOff>
      <xdr:row>12</xdr:row>
      <xdr:rowOff>193040</xdr:rowOff>
    </xdr:from>
    <xdr:ext cx="1221337" cy="233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Metin kutusu 75">
              <a:extLst>
                <a:ext uri="{FF2B5EF4-FFF2-40B4-BE49-F238E27FC236}">
                  <a16:creationId xmlns:a16="http://schemas.microsoft.com/office/drawing/2014/main" id="{00000000-0008-0000-0100-00004C000000}"/>
                </a:ext>
              </a:extLst>
            </xdr:cNvPr>
            <xdr:cNvSpPr txBox="1"/>
          </xdr:nvSpPr>
          <xdr:spPr>
            <a:xfrm>
              <a:off x="13224712" y="3647440"/>
              <a:ext cx="1221337" cy="233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tr-TR" sz="1200" b="0" i="0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Z</m:t>
                    </m:r>
                    <m:d>
                      <m:dPr>
                        <m:ctrlP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𝑇𝑃𝑅</m:t>
                        </m:r>
                      </m:e>
                    </m:d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m:rPr>
                        <m:sty m:val="p"/>
                      </m:rPr>
                      <a:rPr lang="tr-TR" sz="1200" b="0" i="0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Z</m:t>
                    </m:r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𝐹𝑃𝑅</m:t>
                    </m:r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6" name="Metin kutusu 75">
              <a:extLst>
                <a:ext uri="{FF2B5EF4-FFF2-40B4-BE49-F238E27FC236}">
                  <a16:creationId xmlns:a16="http://schemas.microsoft.com/office/drawing/2014/main" id="{237AF15B-9A38-0142-8770-D36E9EAAB5B7}"/>
                </a:ext>
              </a:extLst>
            </xdr:cNvPr>
            <xdr:cNvSpPr txBox="1"/>
          </xdr:nvSpPr>
          <xdr:spPr>
            <a:xfrm>
              <a:off x="13224712" y="3647440"/>
              <a:ext cx="1221337" cy="233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Z(𝑇𝑃𝑅)−Z(𝐹𝑃𝑅)</a:t>
              </a:r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22</xdr:col>
      <xdr:colOff>59395</xdr:colOff>
      <xdr:row>9</xdr:row>
      <xdr:rowOff>116254</xdr:rowOff>
    </xdr:from>
    <xdr:ext cx="885485" cy="269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Metin kutusu 76">
              <a:extLst>
                <a:ext uri="{FF2B5EF4-FFF2-40B4-BE49-F238E27FC236}">
                  <a16:creationId xmlns:a16="http://schemas.microsoft.com/office/drawing/2014/main" id="{00000000-0008-0000-0100-00004D000000}"/>
                </a:ext>
              </a:extLst>
            </xdr:cNvPr>
            <xdr:cNvSpPr txBox="1"/>
          </xdr:nvSpPr>
          <xdr:spPr>
            <a:xfrm>
              <a:off x="10257495" y="2605454"/>
              <a:ext cx="885485" cy="269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𝑇𝑃𝑅</m:t>
                        </m:r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⋅</m:t>
                        </m:r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𝑇𝑁𝑅</m:t>
                        </m:r>
                      </m:e>
                    </m:rad>
                  </m:oMath>
                </m:oMathPara>
              </a14:m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7" name="Metin kutusu 76">
              <a:extLst>
                <a:ext uri="{FF2B5EF4-FFF2-40B4-BE49-F238E27FC236}">
                  <a16:creationId xmlns:a16="http://schemas.microsoft.com/office/drawing/2014/main" id="{4F8578EF-0CD7-0240-B63A-B37BE34E8DB3}"/>
                </a:ext>
              </a:extLst>
            </xdr:cNvPr>
            <xdr:cNvSpPr txBox="1"/>
          </xdr:nvSpPr>
          <xdr:spPr>
            <a:xfrm>
              <a:off x="10257495" y="2605454"/>
              <a:ext cx="885485" cy="269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√(𝑇𝑃𝑅</a:t>
              </a: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⋅𝑇𝑁𝑅</a:t>
              </a: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19</xdr:col>
      <xdr:colOff>60997</xdr:colOff>
      <xdr:row>9</xdr:row>
      <xdr:rowOff>55294</xdr:rowOff>
    </xdr:from>
    <xdr:ext cx="882280" cy="3477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Metin kutusu 77">
              <a:extLst>
                <a:ext uri="{FF2B5EF4-FFF2-40B4-BE49-F238E27FC236}">
                  <a16:creationId xmlns:a16="http://schemas.microsoft.com/office/drawing/2014/main" id="{00000000-0008-0000-0100-00004E000000}"/>
                </a:ext>
              </a:extLst>
            </xdr:cNvPr>
            <xdr:cNvSpPr txBox="1"/>
          </xdr:nvSpPr>
          <xdr:spPr>
            <a:xfrm>
              <a:off x="8811297" y="2544494"/>
              <a:ext cx="882280" cy="347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𝑇𝑃𝑅</m:t>
                        </m:r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𝑇𝑁𝑅</m:t>
                        </m:r>
                      </m:num>
                      <m:den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8" name="Metin kutusu 77">
              <a:extLst>
                <a:ext uri="{FF2B5EF4-FFF2-40B4-BE49-F238E27FC236}">
                  <a16:creationId xmlns:a16="http://schemas.microsoft.com/office/drawing/2014/main" id="{D74F1B0B-B529-C142-824E-2D130FE558A1}"/>
                </a:ext>
              </a:extLst>
            </xdr:cNvPr>
            <xdr:cNvSpPr txBox="1"/>
          </xdr:nvSpPr>
          <xdr:spPr>
            <a:xfrm>
              <a:off x="8811297" y="2544494"/>
              <a:ext cx="882280" cy="347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(𝑇𝑃𝑅+𝑇𝑁𝑅)/2</a:t>
              </a:r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20</xdr:col>
      <xdr:colOff>140383</xdr:colOff>
      <xdr:row>6</xdr:row>
      <xdr:rowOff>187947</xdr:rowOff>
    </xdr:from>
    <xdr:ext cx="1180641" cy="219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Metin kutusu 78">
              <a:extLst>
                <a:ext uri="{FF2B5EF4-FFF2-40B4-BE49-F238E27FC236}">
                  <a16:creationId xmlns:a16="http://schemas.microsoft.com/office/drawing/2014/main" id="{00000000-0008-0000-0100-00004F000000}"/>
                </a:ext>
              </a:extLst>
            </xdr:cNvPr>
            <xdr:cNvSpPr txBox="1"/>
          </xdr:nvSpPr>
          <xdr:spPr>
            <a:xfrm>
              <a:off x="9563783" y="1711947"/>
              <a:ext cx="1180641" cy="219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𝑇𝑃𝑅</m:t>
                    </m:r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𝑇𝑁𝑅</m:t>
                    </m:r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−1</m:t>
                    </m:r>
                  </m:oMath>
                </m:oMathPara>
              </a14:m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9" name="Metin kutusu 78">
              <a:extLst>
                <a:ext uri="{FF2B5EF4-FFF2-40B4-BE49-F238E27FC236}">
                  <a16:creationId xmlns:a16="http://schemas.microsoft.com/office/drawing/2014/main" id="{00000000-0008-0000-0100-00004F000000}"/>
                </a:ext>
              </a:extLst>
            </xdr:cNvPr>
            <xdr:cNvSpPr txBox="1"/>
          </xdr:nvSpPr>
          <xdr:spPr>
            <a:xfrm>
              <a:off x="9563783" y="1711947"/>
              <a:ext cx="1180641" cy="219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𝑇𝑃𝑅+𝑇𝑁𝑅−1</a:t>
              </a:r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7</xdr:col>
      <xdr:colOff>111760</xdr:colOff>
      <xdr:row>27</xdr:row>
      <xdr:rowOff>81280</xdr:rowOff>
    </xdr:from>
    <xdr:ext cx="1180641" cy="2190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Metin kutusu 79">
              <a:extLst>
                <a:ext uri="{FF2B5EF4-FFF2-40B4-BE49-F238E27FC236}">
                  <a16:creationId xmlns:a16="http://schemas.microsoft.com/office/drawing/2014/main" id="{00000000-0008-0000-0100-000050000000}"/>
                </a:ext>
              </a:extLst>
            </xdr:cNvPr>
            <xdr:cNvSpPr txBox="1"/>
          </xdr:nvSpPr>
          <xdr:spPr>
            <a:xfrm>
              <a:off x="1623060" y="8272780"/>
              <a:ext cx="1180641" cy="219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𝑃𝑃𝑉</m:t>
                    </m:r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𝑁𝑃𝑉</m:t>
                    </m:r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−1</m:t>
                    </m:r>
                  </m:oMath>
                </m:oMathPara>
              </a14:m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0" name="Metin kutusu 79">
              <a:extLst>
                <a:ext uri="{FF2B5EF4-FFF2-40B4-BE49-F238E27FC236}">
                  <a16:creationId xmlns:a16="http://schemas.microsoft.com/office/drawing/2014/main" id="{C4CF234A-FE7D-6C4C-BBFC-B8966ABC4255}"/>
                </a:ext>
              </a:extLst>
            </xdr:cNvPr>
            <xdr:cNvSpPr txBox="1"/>
          </xdr:nvSpPr>
          <xdr:spPr>
            <a:xfrm>
              <a:off x="1623060" y="8272780"/>
              <a:ext cx="1180641" cy="2190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𝑃𝑃𝑉+𝑁𝑃𝑉−1</a:t>
              </a:r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12</xdr:col>
      <xdr:colOff>445898</xdr:colOff>
      <xdr:row>30</xdr:row>
      <xdr:rowOff>357083</xdr:rowOff>
    </xdr:from>
    <xdr:ext cx="1410514" cy="2980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1" name="Metin kutusu 80">
              <a:extLst>
                <a:ext uri="{FF2B5EF4-FFF2-40B4-BE49-F238E27FC236}">
                  <a16:creationId xmlns:a16="http://schemas.microsoft.com/office/drawing/2014/main" id="{00000000-0008-0000-0100-000051000000}"/>
                </a:ext>
              </a:extLst>
            </xdr:cNvPr>
            <xdr:cNvSpPr txBox="1"/>
          </xdr:nvSpPr>
          <xdr:spPr>
            <a:xfrm>
              <a:off x="5830698" y="9501083"/>
              <a:ext cx="1410514" cy="2980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tr-TR" sz="1200">
                  <a:solidFill>
                    <a:schemeClr val="bg1">
                      <a:lumMod val="50000"/>
                    </a:schemeClr>
                  </a:solidFill>
                </a:rPr>
                <a:t>+ </a:t>
              </a:r>
              <a14:m>
                <m:oMath xmlns:m="http://schemas.openxmlformats.org/officeDocument/2006/math">
                  <m:f>
                    <m:fPr>
                      <m:ctrlPr>
                        <a:rPr lang="tr-TR" sz="1200" i="1">
                          <a:solidFill>
                            <a:schemeClr val="bg1">
                              <a:lumMod val="50000"/>
                            </a:schemeClr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tr-TR" sz="1200" b="0" i="1">
                          <a:solidFill>
                            <a:schemeClr val="bg1">
                              <a:lumMod val="50000"/>
                            </a:schemeClr>
                          </a:solidFill>
                          <a:latin typeface="Cambria Math" panose="02040503050406030204" pitchFamily="18" charset="0"/>
                        </a:rPr>
                        <m:t>𝐹𝑃</m:t>
                      </m:r>
                    </m:num>
                    <m:den>
                      <m:r>
                        <a:rPr lang="tr-TR" sz="1200" b="0" i="1">
                          <a:solidFill>
                            <a:schemeClr val="bg1">
                              <a:lumMod val="50000"/>
                            </a:schemeClr>
                          </a:solidFill>
                          <a:latin typeface="Cambria Math" panose="02040503050406030204" pitchFamily="18" charset="0"/>
                        </a:rPr>
                        <m:t>𝑆𝑛</m:t>
                      </m:r>
                    </m:den>
                  </m:f>
                  <m:func>
                    <m:funcPr>
                      <m:ctrlPr>
                        <a:rPr lang="tr-TR" sz="1200" i="1">
                          <a:solidFill>
                            <a:schemeClr val="bg1">
                              <a:lumMod val="50000"/>
                            </a:schemeClr>
                          </a:solidFill>
                          <a:latin typeface="Cambria Math" panose="02040503050406030204" pitchFamily="18" charset="0"/>
                        </a:rPr>
                      </m:ctrlPr>
                    </m:funcPr>
                    <m:fName>
                      <m:sSub>
                        <m:sSubPr>
                          <m:ctrlPr>
                            <a:rPr lang="tr-TR" sz="120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tr-TR" sz="1200" i="0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log</m:t>
                          </m:r>
                        </m:e>
                        <m:sub>
                          <m:r>
                            <a:rPr lang="tr-TR" sz="12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</m:fName>
                    <m:e>
                      <m:f>
                        <m:fPr>
                          <m:ctrlPr>
                            <a:rPr lang="tr-TR" sz="120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f>
                            <m:fPr>
                              <m:type m:val="lin"/>
                              <m:ctrlPr>
                                <a:rPr lang="tr-TR" sz="1200" i="1">
                                  <a:solidFill>
                                    <a:schemeClr val="bg1">
                                      <a:lumMod val="50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tr-TR" sz="1200" b="0" i="1">
                                  <a:solidFill>
                                    <a:schemeClr val="bg1">
                                      <a:lumMod val="50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𝐹𝑃</m:t>
                              </m:r>
                            </m:num>
                            <m:den>
                              <m:r>
                                <a:rPr lang="tr-TR" sz="1200" b="0" i="1">
                                  <a:solidFill>
                                    <a:schemeClr val="bg1">
                                      <a:lumMod val="50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𝑆𝑛</m:t>
                              </m:r>
                            </m:den>
                          </m:f>
                        </m:num>
                        <m:den>
                          <m:r>
                            <a:rPr lang="tr-TR" sz="12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(1−</m:t>
                          </m:r>
                          <m:r>
                            <a:rPr lang="tr-TR" sz="12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𝑃𝑅𝐸𝑉</m:t>
                          </m:r>
                          <m:r>
                            <a:rPr lang="tr-TR" sz="12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)⋅</m:t>
                          </m:r>
                          <m:r>
                            <a:rPr lang="tr-TR" sz="12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𝐵𝐼𝐴𝑆</m:t>
                          </m:r>
                        </m:den>
                      </m:f>
                    </m:e>
                  </m:func>
                </m:oMath>
              </a14:m>
              <a:endParaRPr lang="tr-TR" sz="12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81" name="Metin kutusu 80">
              <a:extLst>
                <a:ext uri="{FF2B5EF4-FFF2-40B4-BE49-F238E27FC236}">
                  <a16:creationId xmlns:a16="http://schemas.microsoft.com/office/drawing/2014/main" id="{3B3CF973-E424-9845-B17D-D38050A0ADC1}"/>
                </a:ext>
              </a:extLst>
            </xdr:cNvPr>
            <xdr:cNvSpPr txBox="1"/>
          </xdr:nvSpPr>
          <xdr:spPr>
            <a:xfrm>
              <a:off x="5830698" y="9501083"/>
              <a:ext cx="1410514" cy="2980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tr-TR" sz="1200">
                  <a:solidFill>
                    <a:schemeClr val="bg1">
                      <a:lumMod val="50000"/>
                    </a:schemeClr>
                  </a:solidFill>
                </a:rPr>
                <a:t>+ </a:t>
              </a:r>
              <a:r>
                <a:rPr lang="tr-TR" sz="12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𝐹𝑃/𝑆𝑛 </a:t>
              </a:r>
              <a:r>
                <a:rPr lang="tr-TR" sz="120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 log_</a:t>
              </a:r>
              <a:r>
                <a:rPr lang="tr-TR" sz="12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2⁡〖(𝐹𝑃∕𝑆𝑛)/((1−𝑃𝑅𝐸𝑉)⋅𝐵𝐼𝐴𝑆)〗</a:t>
              </a:r>
              <a:endParaRPr lang="tr-TR" sz="12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447245</xdr:colOff>
      <xdr:row>30</xdr:row>
      <xdr:rowOff>48895</xdr:rowOff>
    </xdr:from>
    <xdr:ext cx="1409232" cy="2744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Metin kutusu 81">
              <a:extLst>
                <a:ext uri="{FF2B5EF4-FFF2-40B4-BE49-F238E27FC236}">
                  <a16:creationId xmlns:a16="http://schemas.microsoft.com/office/drawing/2014/main" id="{00000000-0008-0000-0100-000052000000}"/>
                </a:ext>
              </a:extLst>
            </xdr:cNvPr>
            <xdr:cNvSpPr txBox="1"/>
          </xdr:nvSpPr>
          <xdr:spPr>
            <a:xfrm>
              <a:off x="5832045" y="9192895"/>
              <a:ext cx="1409232" cy="274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tr-TR" sz="1200" i="1">
                  <a:solidFill>
                    <a:schemeClr val="bg1">
                      <a:lumMod val="50000"/>
                    </a:schemeClr>
                  </a:solidFill>
                </a:rPr>
                <a:t>MI </a:t>
              </a:r>
              <a:r>
                <a:rPr lang="tr-TR" sz="1200">
                  <a:solidFill>
                    <a:schemeClr val="bg1">
                      <a:lumMod val="50000"/>
                    </a:schemeClr>
                  </a:solidFill>
                </a:rPr>
                <a:t>=  </a:t>
              </a:r>
              <a14:m>
                <m:oMath xmlns:m="http://schemas.openxmlformats.org/officeDocument/2006/math">
                  <m:f>
                    <m:fPr>
                      <m:ctrlPr>
                        <a:rPr lang="tr-TR" sz="1200" i="1">
                          <a:solidFill>
                            <a:schemeClr val="bg1">
                              <a:lumMod val="50000"/>
                            </a:schemeClr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tr-TR" sz="1200" b="0" i="1">
                          <a:solidFill>
                            <a:schemeClr val="bg1">
                              <a:lumMod val="50000"/>
                            </a:schemeClr>
                          </a:solidFill>
                          <a:latin typeface="Cambria Math" panose="02040503050406030204" pitchFamily="18" charset="0"/>
                        </a:rPr>
                        <m:t>𝑇𝑃</m:t>
                      </m:r>
                    </m:num>
                    <m:den>
                      <m:r>
                        <a:rPr lang="tr-TR" sz="1200" b="0" i="1">
                          <a:solidFill>
                            <a:schemeClr val="bg1">
                              <a:lumMod val="50000"/>
                            </a:schemeClr>
                          </a:solidFill>
                          <a:latin typeface="Cambria Math" panose="02040503050406030204" pitchFamily="18" charset="0"/>
                        </a:rPr>
                        <m:t>𝑆𝑛</m:t>
                      </m:r>
                    </m:den>
                  </m:f>
                  <m:func>
                    <m:funcPr>
                      <m:ctrlPr>
                        <a:rPr lang="tr-TR" sz="1200" i="1">
                          <a:solidFill>
                            <a:schemeClr val="bg1">
                              <a:lumMod val="50000"/>
                            </a:schemeClr>
                          </a:solidFill>
                          <a:latin typeface="Cambria Math" panose="02040503050406030204" pitchFamily="18" charset="0"/>
                        </a:rPr>
                      </m:ctrlPr>
                    </m:funcPr>
                    <m:fName>
                      <m:sSub>
                        <m:sSubPr>
                          <m:ctrlPr>
                            <a:rPr lang="tr-TR" sz="120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tr-TR" sz="1200" i="0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log</m:t>
                          </m:r>
                        </m:e>
                        <m:sub>
                          <m:r>
                            <a:rPr lang="tr-TR" sz="12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</m:fName>
                    <m:e>
                      <m:f>
                        <m:fPr>
                          <m:ctrlPr>
                            <a:rPr lang="tr-TR" sz="120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f>
                            <m:fPr>
                              <m:type m:val="lin"/>
                              <m:ctrlPr>
                                <a:rPr lang="tr-TR" sz="1200" i="1">
                                  <a:solidFill>
                                    <a:schemeClr val="bg1">
                                      <a:lumMod val="50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tr-TR" sz="1200" b="0" i="1">
                                  <a:solidFill>
                                    <a:schemeClr val="bg1">
                                      <a:lumMod val="50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𝑇𝑃</m:t>
                              </m:r>
                            </m:num>
                            <m:den>
                              <m:r>
                                <a:rPr lang="tr-TR" sz="1200" b="0" i="1">
                                  <a:solidFill>
                                    <a:schemeClr val="bg1">
                                      <a:lumMod val="50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𝑆𝑛</m:t>
                              </m:r>
                            </m:den>
                          </m:f>
                        </m:num>
                        <m:den>
                          <m:r>
                            <a:rPr lang="tr-TR" sz="12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𝑃𝑅𝐸𝑉</m:t>
                          </m:r>
                          <m:r>
                            <a:rPr lang="tr-TR" sz="12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⋅</m:t>
                          </m:r>
                          <m:r>
                            <a:rPr lang="tr-TR" sz="12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𝐵𝐼𝐴𝑆</m:t>
                          </m:r>
                        </m:den>
                      </m:f>
                    </m:e>
                  </m:func>
                </m:oMath>
              </a14:m>
              <a:endParaRPr lang="tr-TR" sz="12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82" name="Metin kutusu 81">
              <a:extLst>
                <a:ext uri="{FF2B5EF4-FFF2-40B4-BE49-F238E27FC236}">
                  <a16:creationId xmlns:a16="http://schemas.microsoft.com/office/drawing/2014/main" id="{17996093-9599-B44E-A7EE-8DECAB415C81}"/>
                </a:ext>
              </a:extLst>
            </xdr:cNvPr>
            <xdr:cNvSpPr txBox="1"/>
          </xdr:nvSpPr>
          <xdr:spPr>
            <a:xfrm>
              <a:off x="5832045" y="9192895"/>
              <a:ext cx="1409232" cy="2744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tr-TR" sz="1200" i="1">
                  <a:solidFill>
                    <a:schemeClr val="bg1">
                      <a:lumMod val="50000"/>
                    </a:schemeClr>
                  </a:solidFill>
                </a:rPr>
                <a:t>MI </a:t>
              </a:r>
              <a:r>
                <a:rPr lang="tr-TR" sz="1200">
                  <a:solidFill>
                    <a:schemeClr val="bg1">
                      <a:lumMod val="50000"/>
                    </a:schemeClr>
                  </a:solidFill>
                </a:rPr>
                <a:t>=  </a:t>
              </a:r>
              <a:r>
                <a:rPr lang="tr-TR" sz="12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𝑇𝑃/𝑆𝑛 </a:t>
              </a:r>
              <a:r>
                <a:rPr lang="tr-TR" sz="120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 log_</a:t>
              </a:r>
              <a:r>
                <a:rPr lang="tr-TR" sz="12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2⁡〖(𝑇𝑃∕𝑆𝑛)/(𝑃𝑅𝐸𝑉⋅𝐵𝐼𝐴𝑆)〗</a:t>
              </a:r>
              <a:endParaRPr lang="tr-TR" sz="12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434678</xdr:colOff>
      <xdr:row>32</xdr:row>
      <xdr:rowOff>30353</xdr:rowOff>
    </xdr:from>
    <xdr:ext cx="1422825" cy="2980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Metin kutusu 82">
              <a:extLst>
                <a:ext uri="{FF2B5EF4-FFF2-40B4-BE49-F238E27FC236}">
                  <a16:creationId xmlns:a16="http://schemas.microsoft.com/office/drawing/2014/main" id="{00000000-0008-0000-0100-000053000000}"/>
                </a:ext>
              </a:extLst>
            </xdr:cNvPr>
            <xdr:cNvSpPr txBox="1"/>
          </xdr:nvSpPr>
          <xdr:spPr>
            <a:xfrm>
              <a:off x="5819478" y="9822053"/>
              <a:ext cx="1422825" cy="2980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tr-TR" sz="1200">
                  <a:solidFill>
                    <a:schemeClr val="bg1">
                      <a:lumMod val="50000"/>
                    </a:schemeClr>
                  </a:solidFill>
                </a:rPr>
                <a:t>+ </a:t>
              </a:r>
              <a14:m>
                <m:oMath xmlns:m="http://schemas.openxmlformats.org/officeDocument/2006/math">
                  <m:f>
                    <m:fPr>
                      <m:ctrlPr>
                        <a:rPr lang="tr-TR" sz="1200" i="1">
                          <a:solidFill>
                            <a:schemeClr val="bg1">
                              <a:lumMod val="50000"/>
                            </a:schemeClr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tr-TR" sz="1200" b="0" i="1">
                          <a:solidFill>
                            <a:schemeClr val="bg1">
                              <a:lumMod val="50000"/>
                            </a:schemeClr>
                          </a:solidFill>
                          <a:latin typeface="Cambria Math" panose="02040503050406030204" pitchFamily="18" charset="0"/>
                        </a:rPr>
                        <m:t>𝐹𝑁</m:t>
                      </m:r>
                    </m:num>
                    <m:den>
                      <m:r>
                        <a:rPr lang="tr-TR" sz="1200" b="0" i="1">
                          <a:solidFill>
                            <a:schemeClr val="bg1">
                              <a:lumMod val="50000"/>
                            </a:schemeClr>
                          </a:solidFill>
                          <a:latin typeface="Cambria Math" panose="02040503050406030204" pitchFamily="18" charset="0"/>
                        </a:rPr>
                        <m:t>𝑆𝑛</m:t>
                      </m:r>
                    </m:den>
                  </m:f>
                  <m:func>
                    <m:funcPr>
                      <m:ctrlPr>
                        <a:rPr lang="tr-TR" sz="1200" i="1">
                          <a:solidFill>
                            <a:schemeClr val="bg1">
                              <a:lumMod val="50000"/>
                            </a:schemeClr>
                          </a:solidFill>
                          <a:latin typeface="Cambria Math" panose="02040503050406030204" pitchFamily="18" charset="0"/>
                        </a:rPr>
                      </m:ctrlPr>
                    </m:funcPr>
                    <m:fName>
                      <m:sSub>
                        <m:sSubPr>
                          <m:ctrlPr>
                            <a:rPr lang="tr-TR" sz="120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tr-TR" sz="1200" i="0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log</m:t>
                          </m:r>
                        </m:e>
                        <m:sub>
                          <m:r>
                            <a:rPr lang="tr-TR" sz="12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</m:fName>
                    <m:e>
                      <m:f>
                        <m:fPr>
                          <m:ctrlPr>
                            <a:rPr lang="tr-TR" sz="120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f>
                            <m:fPr>
                              <m:type m:val="lin"/>
                              <m:ctrlPr>
                                <a:rPr lang="tr-TR" sz="1200" i="1">
                                  <a:solidFill>
                                    <a:schemeClr val="bg1">
                                      <a:lumMod val="50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tr-TR" sz="1200" b="0" i="1">
                                  <a:solidFill>
                                    <a:schemeClr val="bg1">
                                      <a:lumMod val="50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𝐹𝑁</m:t>
                              </m:r>
                            </m:num>
                            <m:den>
                              <m:r>
                                <a:rPr lang="tr-TR" sz="1200" b="0" i="1">
                                  <a:solidFill>
                                    <a:schemeClr val="bg1">
                                      <a:lumMod val="50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𝑆𝑛</m:t>
                              </m:r>
                            </m:den>
                          </m:f>
                        </m:num>
                        <m:den>
                          <m:r>
                            <a:rPr lang="tr-TR" sz="12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𝑃𝑅𝐸𝑉</m:t>
                          </m:r>
                          <m:r>
                            <a:rPr lang="tr-TR" sz="12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⋅(1−</m:t>
                          </m:r>
                          <m:r>
                            <a:rPr lang="tr-TR" sz="12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𝐵𝐼𝐴𝑆</m:t>
                          </m:r>
                          <m:r>
                            <a:rPr lang="tr-TR" sz="12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)</m:t>
                          </m:r>
                        </m:den>
                      </m:f>
                    </m:e>
                  </m:func>
                </m:oMath>
              </a14:m>
              <a:endParaRPr lang="tr-TR" sz="12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83" name="Metin kutusu 82">
              <a:extLst>
                <a:ext uri="{FF2B5EF4-FFF2-40B4-BE49-F238E27FC236}">
                  <a16:creationId xmlns:a16="http://schemas.microsoft.com/office/drawing/2014/main" id="{4C88DF32-033E-1044-AC22-8567E723E9DE}"/>
                </a:ext>
              </a:extLst>
            </xdr:cNvPr>
            <xdr:cNvSpPr txBox="1"/>
          </xdr:nvSpPr>
          <xdr:spPr>
            <a:xfrm>
              <a:off x="5819478" y="9822053"/>
              <a:ext cx="1422825" cy="2980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tr-TR" sz="1200">
                  <a:solidFill>
                    <a:schemeClr val="bg1">
                      <a:lumMod val="50000"/>
                    </a:schemeClr>
                  </a:solidFill>
                </a:rPr>
                <a:t>+ </a:t>
              </a:r>
              <a:r>
                <a:rPr lang="tr-TR" sz="12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𝐹𝑁/𝑆𝑛 </a:t>
              </a:r>
              <a:r>
                <a:rPr lang="tr-TR" sz="120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 log_</a:t>
              </a:r>
              <a:r>
                <a:rPr lang="tr-TR" sz="12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2⁡〖(𝐹𝑁∕𝑆𝑛)/(𝑃𝑅𝐸𝑉⋅(1−𝐵𝐼𝐴𝑆))〗</a:t>
              </a:r>
              <a:endParaRPr lang="tr-TR" sz="12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12</xdr:col>
      <xdr:colOff>207010</xdr:colOff>
      <xdr:row>33</xdr:row>
      <xdr:rowOff>52237</xdr:rowOff>
    </xdr:from>
    <xdr:ext cx="1661480" cy="2980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4" name="Metin kutusu 83">
              <a:extLst>
                <a:ext uri="{FF2B5EF4-FFF2-40B4-BE49-F238E27FC236}">
                  <a16:creationId xmlns:a16="http://schemas.microsoft.com/office/drawing/2014/main" id="{00000000-0008-0000-0100-000054000000}"/>
                </a:ext>
              </a:extLst>
            </xdr:cNvPr>
            <xdr:cNvSpPr txBox="1"/>
          </xdr:nvSpPr>
          <xdr:spPr>
            <a:xfrm>
              <a:off x="5591810" y="10148737"/>
              <a:ext cx="1661480" cy="2980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tr-TR" sz="1200">
                  <a:solidFill>
                    <a:schemeClr val="bg1">
                      <a:lumMod val="50000"/>
                    </a:schemeClr>
                  </a:solidFill>
                </a:rPr>
                <a:t>+ </a:t>
              </a:r>
              <a14:m>
                <m:oMath xmlns:m="http://schemas.openxmlformats.org/officeDocument/2006/math">
                  <m:f>
                    <m:fPr>
                      <m:ctrlPr>
                        <a:rPr lang="tr-TR" sz="1200" i="1">
                          <a:solidFill>
                            <a:schemeClr val="bg1">
                              <a:lumMod val="50000"/>
                            </a:schemeClr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tr-TR" sz="1200" b="0" i="1">
                          <a:solidFill>
                            <a:schemeClr val="bg1">
                              <a:lumMod val="50000"/>
                            </a:schemeClr>
                          </a:solidFill>
                          <a:latin typeface="Cambria Math" panose="02040503050406030204" pitchFamily="18" charset="0"/>
                        </a:rPr>
                        <m:t>𝑇𝑁</m:t>
                      </m:r>
                    </m:num>
                    <m:den>
                      <m:r>
                        <a:rPr lang="tr-TR" sz="1200" b="0" i="1">
                          <a:solidFill>
                            <a:schemeClr val="bg1">
                              <a:lumMod val="50000"/>
                            </a:schemeClr>
                          </a:solidFill>
                          <a:latin typeface="Cambria Math" panose="02040503050406030204" pitchFamily="18" charset="0"/>
                        </a:rPr>
                        <m:t>𝑆𝑛</m:t>
                      </m:r>
                    </m:den>
                  </m:f>
                  <m:func>
                    <m:funcPr>
                      <m:ctrlPr>
                        <a:rPr lang="tr-TR" sz="1200" i="1">
                          <a:solidFill>
                            <a:schemeClr val="bg1">
                              <a:lumMod val="50000"/>
                            </a:schemeClr>
                          </a:solidFill>
                          <a:latin typeface="Cambria Math" panose="02040503050406030204" pitchFamily="18" charset="0"/>
                        </a:rPr>
                      </m:ctrlPr>
                    </m:funcPr>
                    <m:fName>
                      <m:sSub>
                        <m:sSubPr>
                          <m:ctrlPr>
                            <a:rPr lang="tr-TR" sz="120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tr-TR" sz="1200" i="0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log</m:t>
                          </m:r>
                        </m:e>
                        <m:sub>
                          <m:r>
                            <a:rPr lang="tr-TR" sz="12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</m:fName>
                    <m:e>
                      <m:f>
                        <m:fPr>
                          <m:ctrlPr>
                            <a:rPr lang="tr-TR" sz="120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f>
                            <m:fPr>
                              <m:type m:val="lin"/>
                              <m:ctrlPr>
                                <a:rPr lang="tr-TR" sz="1200" i="1">
                                  <a:solidFill>
                                    <a:schemeClr val="bg1">
                                      <a:lumMod val="50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tr-TR" sz="1200" b="0" i="1">
                                  <a:solidFill>
                                    <a:schemeClr val="bg1">
                                      <a:lumMod val="50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𝑇𝑁</m:t>
                              </m:r>
                            </m:num>
                            <m:den>
                              <m:r>
                                <a:rPr lang="tr-TR" sz="1200" b="0" i="1">
                                  <a:solidFill>
                                    <a:schemeClr val="bg1">
                                      <a:lumMod val="50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𝑆𝑛</m:t>
                              </m:r>
                            </m:den>
                          </m:f>
                        </m:num>
                        <m:den>
                          <m:r>
                            <a:rPr lang="tr-TR" sz="12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(1−</m:t>
                          </m:r>
                          <m:r>
                            <a:rPr lang="tr-TR" sz="12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𝑃𝑅𝐸𝑉</m:t>
                          </m:r>
                          <m:r>
                            <a:rPr lang="tr-TR" sz="12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)⋅(1−</m:t>
                          </m:r>
                          <m:r>
                            <a:rPr lang="tr-TR" sz="12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𝐵𝐼𝐴𝑆</m:t>
                          </m:r>
                          <m:r>
                            <a:rPr lang="tr-TR" sz="1200" b="0" i="1">
                              <a:solidFill>
                                <a:schemeClr val="bg1">
                                  <a:lumMod val="50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)</m:t>
                          </m:r>
                        </m:den>
                      </m:f>
                    </m:e>
                  </m:func>
                </m:oMath>
              </a14:m>
              <a:endParaRPr lang="tr-TR" sz="12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84" name="Metin kutusu 83">
              <a:extLst>
                <a:ext uri="{FF2B5EF4-FFF2-40B4-BE49-F238E27FC236}">
                  <a16:creationId xmlns:a16="http://schemas.microsoft.com/office/drawing/2014/main" id="{F5184FC6-D352-F343-B776-2C9330ED46F3}"/>
                </a:ext>
              </a:extLst>
            </xdr:cNvPr>
            <xdr:cNvSpPr txBox="1"/>
          </xdr:nvSpPr>
          <xdr:spPr>
            <a:xfrm>
              <a:off x="5591810" y="10148737"/>
              <a:ext cx="1661480" cy="2980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tr-TR" sz="1200">
                  <a:solidFill>
                    <a:schemeClr val="bg1">
                      <a:lumMod val="50000"/>
                    </a:schemeClr>
                  </a:solidFill>
                </a:rPr>
                <a:t>+ </a:t>
              </a:r>
              <a:r>
                <a:rPr lang="tr-TR" sz="12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𝑇𝑁/𝑆𝑛 </a:t>
              </a:r>
              <a:r>
                <a:rPr lang="tr-TR" sz="120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 log_</a:t>
              </a:r>
              <a:r>
                <a:rPr lang="tr-TR" sz="120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2⁡〖(𝑇𝑁∕𝑆𝑛)/((1−𝑃𝑅𝐸𝑉)⋅(1−𝐵𝐼𝐴𝑆))〗</a:t>
              </a:r>
              <a:endParaRPr lang="tr-TR" sz="12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10</xdr:col>
      <xdr:colOff>15875</xdr:colOff>
      <xdr:row>36</xdr:row>
      <xdr:rowOff>96612</xdr:rowOff>
    </xdr:from>
    <xdr:ext cx="1374286" cy="3659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5" name="Metin kutusu 84">
              <a:extLst>
                <a:ext uri="{FF2B5EF4-FFF2-40B4-BE49-F238E27FC236}">
                  <a16:creationId xmlns:a16="http://schemas.microsoft.com/office/drawing/2014/main" id="{00000000-0008-0000-0100-000055000000}"/>
                </a:ext>
              </a:extLst>
            </xdr:cNvPr>
            <xdr:cNvSpPr txBox="1"/>
          </xdr:nvSpPr>
          <xdr:spPr>
            <a:xfrm>
              <a:off x="4498975" y="11171012"/>
              <a:ext cx="1374286" cy="3659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95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supHide m:val="on"/>
                        <m:ctrlPr>
                          <a:rPr lang="tr-TR" sz="95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tr-TR" sz="95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tr-TR" sz="95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tr-TR" sz="95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𝑇𝑃</m:t>
                        </m:r>
                        <m:r>
                          <a:rPr lang="tr-TR" sz="95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tr-TR" sz="95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𝐹𝑃</m:t>
                        </m:r>
                        <m:r>
                          <a:rPr lang="tr-TR" sz="95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tr-TR" sz="95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𝐹𝑁</m:t>
                        </m:r>
                        <m:r>
                          <a:rPr lang="tr-TR" sz="95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tr-TR" sz="950" b="0" i="1">
                            <a:solidFill>
                              <a:schemeClr val="bg1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𝑇𝑁</m:t>
                        </m:r>
                      </m:sub>
                      <m:sup/>
                      <m:e>
                        <m:f>
                          <m:fPr>
                            <m:ctrlPr>
                              <a:rPr lang="tr-TR" sz="95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tr-TR" sz="95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𝑚</m:t>
                            </m:r>
                          </m:num>
                          <m:den>
                            <m:r>
                              <a:rPr lang="tr-TR" sz="95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𝑆𝑛</m:t>
                            </m:r>
                          </m:den>
                        </m:f>
                        <m:func>
                          <m:funcPr>
                            <m:ctrlPr>
                              <a:rPr lang="tr-TR" sz="950" b="0" i="1">
                                <a:solidFill>
                                  <a:schemeClr val="bg1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sSub>
                              <m:sSubPr>
                                <m:ctrlPr>
                                  <a:rPr lang="tr-TR" sz="950" b="0" i="1">
                                    <a:solidFill>
                                      <a:schemeClr val="bg1">
                                        <a:lumMod val="50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tr-TR" sz="950" b="0" i="0">
                                    <a:solidFill>
                                      <a:schemeClr val="bg1">
                                        <a:lumMod val="50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log</m:t>
                                </m:r>
                              </m:e>
                              <m:sub>
                                <m:r>
                                  <a:rPr lang="tr-TR" sz="950" b="0" i="1">
                                    <a:solidFill>
                                      <a:schemeClr val="bg1">
                                        <a:lumMod val="50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fName>
                          <m:e>
                            <m:f>
                              <m:fPr>
                                <m:ctrlPr>
                                  <a:rPr lang="tr-TR" sz="950" b="0" i="1">
                                    <a:solidFill>
                                      <a:schemeClr val="bg1">
                                        <a:lumMod val="50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tr-TR" sz="950" b="0" i="1">
                                    <a:solidFill>
                                      <a:schemeClr val="bg1">
                                        <a:lumMod val="50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𝑚</m:t>
                                </m:r>
                              </m:num>
                              <m:den>
                                <m:r>
                                  <a:rPr lang="tr-TR" sz="950" b="0" i="1">
                                    <a:solidFill>
                                      <a:schemeClr val="bg1">
                                        <a:lumMod val="50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  <m:t>𝑆𝑛</m:t>
                                </m:r>
                              </m:den>
                            </m:f>
                          </m:e>
                        </m:func>
                      </m:e>
                    </m:nary>
                  </m:oMath>
                </m:oMathPara>
              </a14:m>
              <a:endParaRPr lang="tr-TR" sz="95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85" name="Metin kutusu 84">
              <a:extLst>
                <a:ext uri="{FF2B5EF4-FFF2-40B4-BE49-F238E27FC236}">
                  <a16:creationId xmlns:a16="http://schemas.microsoft.com/office/drawing/2014/main" id="{00000000-0008-0000-0100-000055000000}"/>
                </a:ext>
              </a:extLst>
            </xdr:cNvPr>
            <xdr:cNvSpPr txBox="1"/>
          </xdr:nvSpPr>
          <xdr:spPr>
            <a:xfrm>
              <a:off x="4498975" y="11171012"/>
              <a:ext cx="1374286" cy="3659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950" b="0" i="0">
                  <a:solidFill>
                    <a:schemeClr val="bg1">
                      <a:lumMod val="50000"/>
                    </a:schemeClr>
                  </a:solidFill>
                  <a:latin typeface="Cambria Math" panose="02040503050406030204" pitchFamily="18" charset="0"/>
                </a:rPr>
                <a:t>−∑_(𝑚=𝑇𝑃,𝐹𝑃,𝐹𝑁,𝑇𝑁)▒〖𝑚/𝑆𝑛  log_2⁡〖𝑚/𝑆𝑛〗 〗</a:t>
              </a:r>
              <a:endParaRPr lang="tr-TR" sz="95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10</xdr:col>
      <xdr:colOff>205386</xdr:colOff>
      <xdr:row>21</xdr:row>
      <xdr:rowOff>429847</xdr:rowOff>
    </xdr:from>
    <xdr:ext cx="754758" cy="264560"/>
    <xdr:sp macro="" textlink="">
      <xdr:nvSpPr>
        <xdr:cNvPr id="8" name="Metin kutusu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704815" y="6716347"/>
          <a:ext cx="7547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r-TR" sz="1100" i="1">
              <a:solidFill>
                <a:schemeClr val="tx1">
                  <a:lumMod val="50000"/>
                  <a:lumOff val="50000"/>
                </a:schemeClr>
              </a:solidFill>
            </a:rPr>
            <a:t>TPR</a:t>
          </a:r>
          <a:r>
            <a:rPr lang="tr-TR" sz="1100">
              <a:solidFill>
                <a:schemeClr val="tx1">
                  <a:lumMod val="50000"/>
                  <a:lumOff val="50000"/>
                </a:schemeClr>
              </a:solidFill>
            </a:rPr>
            <a:t>* NaN</a:t>
          </a:r>
        </a:p>
      </xdr:txBody>
    </xdr:sp>
    <xdr:clientData/>
  </xdr:oneCellAnchor>
  <xdr:oneCellAnchor>
    <xdr:from>
      <xdr:col>13</xdr:col>
      <xdr:colOff>317080</xdr:colOff>
      <xdr:row>24</xdr:row>
      <xdr:rowOff>425941</xdr:rowOff>
    </xdr:from>
    <xdr:ext cx="772776" cy="264560"/>
    <xdr:sp macro="" textlink="">
      <xdr:nvSpPr>
        <xdr:cNvPr id="86" name="Metin kutusu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 txBox="1"/>
      </xdr:nvSpPr>
      <xdr:spPr>
        <a:xfrm>
          <a:off x="6340509" y="7664941"/>
          <a:ext cx="7727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r-TR" sz="1100" i="1">
              <a:solidFill>
                <a:schemeClr val="tx1">
                  <a:lumMod val="50000"/>
                  <a:lumOff val="50000"/>
                </a:schemeClr>
              </a:solidFill>
            </a:rPr>
            <a:t>TNR</a:t>
          </a:r>
          <a:r>
            <a:rPr lang="tr-TR" sz="1100">
              <a:solidFill>
                <a:schemeClr val="tx1">
                  <a:lumMod val="50000"/>
                  <a:lumOff val="50000"/>
                </a:schemeClr>
              </a:solidFill>
            </a:rPr>
            <a:t>* NaN</a:t>
          </a:r>
        </a:p>
      </xdr:txBody>
    </xdr:sp>
    <xdr:clientData/>
  </xdr:oneCellAnchor>
  <xdr:oneCellAnchor>
    <xdr:from>
      <xdr:col>19</xdr:col>
      <xdr:colOff>324055</xdr:colOff>
      <xdr:row>12</xdr:row>
      <xdr:rowOff>406401</xdr:rowOff>
    </xdr:from>
    <xdr:ext cx="762325" cy="264560"/>
    <xdr:sp macro="" textlink="">
      <xdr:nvSpPr>
        <xdr:cNvPr id="87" name="Metin kutusu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 txBox="1"/>
      </xdr:nvSpPr>
      <xdr:spPr>
        <a:xfrm>
          <a:off x="9304769" y="3853544"/>
          <a:ext cx="7623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r-TR" sz="1100" i="1">
              <a:solidFill>
                <a:schemeClr val="tx1">
                  <a:lumMod val="50000"/>
                  <a:lumOff val="50000"/>
                </a:schemeClr>
              </a:solidFill>
            </a:rPr>
            <a:t>PPV</a:t>
          </a:r>
          <a:r>
            <a:rPr lang="tr-TR" sz="1100">
              <a:solidFill>
                <a:schemeClr val="tx1">
                  <a:lumMod val="50000"/>
                  <a:lumOff val="50000"/>
                </a:schemeClr>
              </a:solidFill>
            </a:rPr>
            <a:t>* NaN</a:t>
          </a:r>
        </a:p>
      </xdr:txBody>
    </xdr:sp>
    <xdr:clientData/>
  </xdr:oneCellAnchor>
  <xdr:oneCellAnchor>
    <xdr:from>
      <xdr:col>22</xdr:col>
      <xdr:colOff>283863</xdr:colOff>
      <xdr:row>15</xdr:row>
      <xdr:rowOff>406835</xdr:rowOff>
    </xdr:from>
    <xdr:ext cx="780342" cy="264560"/>
    <xdr:sp macro="" textlink="">
      <xdr:nvSpPr>
        <xdr:cNvPr id="88" name="Metin kutusu 87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/>
      </xdr:nvSpPr>
      <xdr:spPr>
        <a:xfrm>
          <a:off x="10743220" y="4797406"/>
          <a:ext cx="7803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r-TR" sz="1100" i="1">
              <a:solidFill>
                <a:schemeClr val="tx1">
                  <a:lumMod val="50000"/>
                  <a:lumOff val="50000"/>
                </a:schemeClr>
              </a:solidFill>
            </a:rPr>
            <a:t>NPV</a:t>
          </a:r>
          <a:r>
            <a:rPr lang="tr-TR" sz="1100">
              <a:solidFill>
                <a:schemeClr val="tx1">
                  <a:lumMod val="50000"/>
                  <a:lumOff val="50000"/>
                </a:schemeClr>
              </a:solidFill>
            </a:rPr>
            <a:t>* NaN</a:t>
          </a:r>
        </a:p>
      </xdr:txBody>
    </xdr:sp>
    <xdr:clientData/>
  </xdr:oneCellAnchor>
  <xdr:oneCellAnchor>
    <xdr:from>
      <xdr:col>12</xdr:col>
      <xdr:colOff>414061</xdr:colOff>
      <xdr:row>6</xdr:row>
      <xdr:rowOff>344411</xdr:rowOff>
    </xdr:from>
    <xdr:ext cx="1462513" cy="5484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Metin kutusu 99">
              <a:extLst>
                <a:ext uri="{FF2B5EF4-FFF2-40B4-BE49-F238E27FC236}">
                  <a16:creationId xmlns:a16="http://schemas.microsoft.com/office/drawing/2014/main" id="{00000000-0008-0000-0100-000064000000}"/>
                </a:ext>
              </a:extLst>
            </xdr:cNvPr>
            <xdr:cNvSpPr txBox="1"/>
          </xdr:nvSpPr>
          <xdr:spPr>
            <a:xfrm>
              <a:off x="5900461" y="1868411"/>
              <a:ext cx="1462513" cy="548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𝑀𝐴𝐸</m:t>
                    </m:r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𝑆𝑛</m:t>
                        </m:r>
                      </m:den>
                    </m:f>
                    <m:nary>
                      <m:naryPr>
                        <m:chr m:val="∑"/>
                        <m:ctrlP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  <m:sup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𝑆𝑛</m:t>
                        </m:r>
                      </m:sup>
                      <m:e>
                        <m:d>
                          <m:dPr>
                            <m:begChr m:val="|"/>
                            <m:endChr m:val="|"/>
                            <m:ctrlPr>
                              <a:rPr lang="tr-TR" sz="12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tr-TR" sz="1200" b="0" i="1">
                                    <a:solidFill>
                                      <a:schemeClr val="tx1">
                                        <a:lumMod val="50000"/>
                                        <a:lumOff val="5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tr-TR" sz="1200" b="0" i="1">
                                    <a:solidFill>
                                      <a:schemeClr val="tx1">
                                        <a:lumMod val="50000"/>
                                        <a:lumOff val="5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e>
                              <m:sub>
                                <m:r>
                                  <a:rPr lang="tr-TR" sz="1200" b="0" i="1">
                                    <a:solidFill>
                                      <a:schemeClr val="tx1">
                                        <a:lumMod val="50000"/>
                                        <a:lumOff val="5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tr-TR" sz="12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tr-TR" sz="1200" b="0" i="1">
                                    <a:solidFill>
                                      <a:schemeClr val="tx1">
                                        <a:lumMod val="50000"/>
                                        <a:lumOff val="5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tr-TR" sz="1200" b="0" i="1">
                                    <a:solidFill>
                                      <a:schemeClr val="tx1">
                                        <a:lumMod val="50000"/>
                                        <a:lumOff val="5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tr-TR" sz="1200" b="0" i="1">
                                    <a:solidFill>
                                      <a:schemeClr val="tx1">
                                        <a:lumMod val="50000"/>
                                        <a:lumOff val="5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nary>
                  </m:oMath>
                </m:oMathPara>
              </a14:m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00" name="Metin kutusu 99">
              <a:extLst>
                <a:ext uri="{FF2B5EF4-FFF2-40B4-BE49-F238E27FC236}">
                  <a16:creationId xmlns:a16="http://schemas.microsoft.com/office/drawing/2014/main" id="{00000000-0008-0000-0100-000064000000}"/>
                </a:ext>
              </a:extLst>
            </xdr:cNvPr>
            <xdr:cNvSpPr txBox="1"/>
          </xdr:nvSpPr>
          <xdr:spPr>
            <a:xfrm>
              <a:off x="5900461" y="1868411"/>
              <a:ext cx="1462513" cy="5484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𝑀𝐴𝐸=1/𝑆𝑛 ∑_𝑖^𝑆𝑛▒|𝑐_𝑖−𝑝_𝑖 | </a:t>
              </a:r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12</xdr:col>
      <xdr:colOff>276847</xdr:colOff>
      <xdr:row>8</xdr:row>
      <xdr:rowOff>240364</xdr:rowOff>
    </xdr:from>
    <xdr:ext cx="1693849" cy="2526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Metin kutusu 102">
              <a:extLst>
                <a:ext uri="{FF2B5EF4-FFF2-40B4-BE49-F238E27FC236}">
                  <a16:creationId xmlns:a16="http://schemas.microsoft.com/office/drawing/2014/main" id="{00000000-0008-0000-0100-000067000000}"/>
                </a:ext>
              </a:extLst>
            </xdr:cNvPr>
            <xdr:cNvSpPr txBox="1"/>
          </xdr:nvSpPr>
          <xdr:spPr>
            <a:xfrm>
              <a:off x="5763247" y="2424764"/>
              <a:ext cx="1693849" cy="2526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𝑀𝑥𝐴𝐸</m:t>
                    </m:r>
                    <m:r>
                      <a:rPr lang="tr-TR" sz="1200" b="0" i="0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r>
                      <m:rPr>
                        <m:sty m:val="p"/>
                      </m:rPr>
                      <a:rPr lang="tr-TR" sz="1200" b="0" i="0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max</m:t>
                    </m:r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⁡(</m:t>
                    </m:r>
                    <m:d>
                      <m:dPr>
                        <m:begChr m:val="|"/>
                        <m:endChr m:val="|"/>
                        <m:ctrlP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tr-TR" sz="12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tr-TR" sz="12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  <m:sub>
                            <m:r>
                              <a:rPr lang="tr-TR" sz="12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tr-TR" sz="12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tr-TR" sz="12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tr-TR" sz="12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03" name="Metin kutusu 102">
              <a:extLst>
                <a:ext uri="{FF2B5EF4-FFF2-40B4-BE49-F238E27FC236}">
                  <a16:creationId xmlns:a16="http://schemas.microsoft.com/office/drawing/2014/main" id="{00000000-0008-0000-0100-000067000000}"/>
                </a:ext>
              </a:extLst>
            </xdr:cNvPr>
            <xdr:cNvSpPr txBox="1"/>
          </xdr:nvSpPr>
          <xdr:spPr>
            <a:xfrm>
              <a:off x="5763247" y="2424764"/>
              <a:ext cx="1693849" cy="2526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𝑀𝑥𝐴𝐸= max⁡(|𝑐_𝑖−𝑝_𝑖 |)</a:t>
              </a:r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26</xdr:col>
      <xdr:colOff>13030</xdr:colOff>
      <xdr:row>8</xdr:row>
      <xdr:rowOff>177695</xdr:rowOff>
    </xdr:from>
    <xdr:ext cx="2800791" cy="6114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4" name="Metin kutusu 103">
              <a:extLst>
                <a:ext uri="{FF2B5EF4-FFF2-40B4-BE49-F238E27FC236}">
                  <a16:creationId xmlns:a16="http://schemas.microsoft.com/office/drawing/2014/main" id="{00000000-0008-0000-0100-000068000000}"/>
                </a:ext>
              </a:extLst>
            </xdr:cNvPr>
            <xdr:cNvSpPr txBox="1"/>
          </xdr:nvSpPr>
          <xdr:spPr>
            <a:xfrm>
              <a:off x="12382830" y="2362095"/>
              <a:ext cx="2800791" cy="6114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𝑆𝑛</m:t>
                        </m:r>
                      </m:den>
                    </m:f>
                    <m:nary>
                      <m:naryPr>
                        <m:chr m:val="∑"/>
                        <m:ctrlP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  <m:sup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𝑆𝑛</m:t>
                        </m:r>
                      </m:sup>
                      <m:e>
                        <m:eqArr>
                          <m:eqArrPr>
                            <m:ctrlPr>
                              <a:rPr lang="tr-TR" sz="12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eqArrPr>
                          <m:e>
                            <m:sSub>
                              <m:sSubPr>
                                <m:ctrlPr>
                                  <a:rPr lang="tr-TR" sz="1200" b="0" i="1">
                                    <a:solidFill>
                                      <a:schemeClr val="tx1">
                                        <a:lumMod val="50000"/>
                                        <a:lumOff val="5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tr-TR" sz="1200" b="0" i="1">
                                    <a:solidFill>
                                      <a:schemeClr val="tx1">
                                        <a:lumMod val="50000"/>
                                        <a:lumOff val="5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e>
                              <m:sub>
                                <m:r>
                                  <a:rPr lang="tr-TR" sz="1200" b="0" i="1">
                                    <a:solidFill>
                                      <a:schemeClr val="tx1">
                                        <a:lumMod val="50000"/>
                                        <a:lumOff val="5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func>
                              <m:funcPr>
                                <m:ctrlPr>
                                  <a:rPr lang="tr-TR" sz="1200" b="0" i="1">
                                    <a:solidFill>
                                      <a:schemeClr val="tx1">
                                        <a:lumMod val="50000"/>
                                        <a:lumOff val="5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sSub>
                                  <m:sSubPr>
                                    <m:ctrlPr>
                                      <a:rPr lang="tr-TR" sz="1200" b="0" i="1"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tr-TR" sz="1200" b="0" i="0"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log</m:t>
                                    </m:r>
                                  </m:e>
                                  <m:sub>
                                    <m:r>
                                      <a:rPr lang="tr-TR" sz="1200" b="0" i="1"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fName>
                              <m:e>
                                <m:sSub>
                                  <m:sSubPr>
                                    <m:ctrlPr>
                                      <a:rPr lang="tr-TR" sz="1200" b="0" i="1"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tr-TR" sz="1200" b="0" i="1"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tr-TR" sz="1200" b="0" i="1"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func>
                            <m:r>
                              <a:rPr lang="tr-TR" sz="12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</m:e>
                          <m:e>
                            <m:d>
                              <m:dPr>
                                <m:ctrlPr>
                                  <a:rPr lang="tr-TR" sz="1200" b="0" i="1">
                                    <a:solidFill>
                                      <a:schemeClr val="tx1">
                                        <a:lumMod val="50000"/>
                                        <a:lumOff val="5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tr-TR" sz="1200" b="0" i="1">
                                    <a:solidFill>
                                      <a:schemeClr val="tx1">
                                        <a:lumMod val="50000"/>
                                        <a:lumOff val="5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sSub>
                                  <m:sSubPr>
                                    <m:ctrlPr>
                                      <a:rPr lang="tr-TR" sz="1200" b="0" i="1"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tr-TR" sz="1200" b="0" i="1"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e>
                                  <m:sub>
                                    <m:r>
                                      <a:rPr lang="tr-TR" sz="1200" b="0" i="1"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d>
                            <m:func>
                              <m:funcPr>
                                <m:ctrlPr>
                                  <a:rPr lang="tr-TR" sz="1200" b="0" i="1">
                                    <a:solidFill>
                                      <a:schemeClr val="tx1">
                                        <a:lumMod val="50000"/>
                                        <a:lumOff val="5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sSub>
                                  <m:sSubPr>
                                    <m:ctrlPr>
                                      <a:rPr lang="tr-TR" sz="1200" b="0" i="1"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tr-TR" sz="1200" b="0" i="0"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log</m:t>
                                    </m:r>
                                  </m:e>
                                  <m:sub>
                                    <m:r>
                                      <a:rPr lang="tr-TR" sz="1200" b="0" i="1"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fName>
                              <m:e>
                                <m:r>
                                  <a:rPr lang="tr-TR" sz="1200" b="0" i="1">
                                    <a:solidFill>
                                      <a:schemeClr val="tx1">
                                        <a:lumMod val="50000"/>
                                        <a:lumOff val="5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(1−</m:t>
                                </m:r>
                                <m:sSub>
                                  <m:sSubPr>
                                    <m:ctrlPr>
                                      <a:rPr lang="tr-TR" sz="1200" b="0" i="1"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tr-TR" sz="1200" b="0" i="1"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tr-TR" sz="1200" b="0" i="1"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tr-TR" sz="1200" b="0" i="1">
                                    <a:solidFill>
                                      <a:schemeClr val="tx1">
                                        <a:lumMod val="50000"/>
                                        <a:lumOff val="5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</m:func>
                          </m:e>
                        </m:eqArr>
                      </m:e>
                    </m:nary>
                  </m:oMath>
                </m:oMathPara>
              </a14:m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04" name="Metin kutusu 103">
              <a:extLst>
                <a:ext uri="{FF2B5EF4-FFF2-40B4-BE49-F238E27FC236}">
                  <a16:creationId xmlns:a16="http://schemas.microsoft.com/office/drawing/2014/main" id="{00000000-0008-0000-0100-000068000000}"/>
                </a:ext>
              </a:extLst>
            </xdr:cNvPr>
            <xdr:cNvSpPr txBox="1"/>
          </xdr:nvSpPr>
          <xdr:spPr>
            <a:xfrm>
              <a:off x="12382830" y="2362095"/>
              <a:ext cx="2800791" cy="6114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−1/𝑆𝑛 ∑_𝑖^𝑆𝑛▒█(𝑐_𝑖  log_2⁡〖𝑝_𝑖 〗+@(1−𝑐_𝑖 )  log_2⁡〖(1−𝑝_𝑖)〗 )</a:t>
              </a:r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12</xdr:col>
      <xdr:colOff>42510</xdr:colOff>
      <xdr:row>4</xdr:row>
      <xdr:rowOff>63784</xdr:rowOff>
    </xdr:from>
    <xdr:ext cx="1900738" cy="7397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Metin kutusu 104">
              <a:extLst>
                <a:ext uri="{FF2B5EF4-FFF2-40B4-BE49-F238E27FC236}">
                  <a16:creationId xmlns:a16="http://schemas.microsoft.com/office/drawing/2014/main" id="{00000000-0008-0000-0100-000069000000}"/>
                </a:ext>
              </a:extLst>
            </xdr:cNvPr>
            <xdr:cNvSpPr txBox="1"/>
          </xdr:nvSpPr>
          <xdr:spPr>
            <a:xfrm>
              <a:off x="5528910" y="1092484"/>
              <a:ext cx="1900738" cy="739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𝑅𝑀𝑆𝐸</m:t>
                    </m:r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ctrlP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g>
                      <m:e>
                        <m:f>
                          <m:fPr>
                            <m:ctrlPr>
                              <a:rPr lang="tr-TR" sz="12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tr-TR" sz="12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tr-TR" sz="12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𝑆𝑛</m:t>
                            </m:r>
                          </m:den>
                        </m:f>
                        <m:nary>
                          <m:naryPr>
                            <m:chr m:val="∑"/>
                            <m:ctrlPr>
                              <a:rPr lang="tr-TR" sz="12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7"/>
                              </m:rPr>
                              <a:rPr lang="tr-TR" sz="12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  <m:sup>
                            <m:r>
                              <a:rPr lang="tr-TR" sz="12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tr-TR" sz="1200" b="0" i="1">
                                    <a:solidFill>
                                      <a:schemeClr val="tx1">
                                        <a:lumMod val="50000"/>
                                        <a:lumOff val="5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tr-TR" sz="1200" b="0" i="1"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tr-TR" sz="1200" b="0" i="1">
                                            <a:solidFill>
                                              <a:schemeClr val="tx1">
                                                <a:lumMod val="50000"/>
                                                <a:lumOff val="50000"/>
                                              </a:schemeClr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tr-TR" sz="1200" b="0" i="1">
                                            <a:solidFill>
                                              <a:schemeClr val="tx1">
                                                <a:lumMod val="50000"/>
                                                <a:lumOff val="50000"/>
                                              </a:schemeClr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𝑐</m:t>
                                        </m:r>
                                      </m:e>
                                      <m:sub>
                                        <m:r>
                                          <a:rPr lang="tr-TR" sz="1200" b="0" i="1">
                                            <a:solidFill>
                                              <a:schemeClr val="tx1">
                                                <a:lumMod val="50000"/>
                                                <a:lumOff val="50000"/>
                                              </a:schemeClr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tr-TR" sz="1200" b="0" i="1"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tr-TR" sz="1200" b="0" i="1">
                                            <a:solidFill>
                                              <a:schemeClr val="tx1">
                                                <a:lumMod val="50000"/>
                                                <a:lumOff val="50000"/>
                                              </a:schemeClr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tr-TR" sz="1200" b="0" i="1">
                                            <a:solidFill>
                                              <a:schemeClr val="tx1">
                                                <a:lumMod val="50000"/>
                                                <a:lumOff val="50000"/>
                                              </a:schemeClr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𝑝</m:t>
                                        </m:r>
                                      </m:e>
                                      <m:sub>
                                        <m:r>
                                          <a:rPr lang="tr-TR" sz="1200" b="0" i="1">
                                            <a:solidFill>
                                              <a:schemeClr val="tx1">
                                                <a:lumMod val="50000"/>
                                                <a:lumOff val="50000"/>
                                              </a:schemeClr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tr-TR" sz="1200" b="0" i="1">
                                    <a:solidFill>
                                      <a:schemeClr val="tx1">
                                        <a:lumMod val="50000"/>
                                        <a:lumOff val="5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  <m:r>
                          <m:rPr>
                            <m:nor/>
                          </m:rP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05" name="Metin kutusu 104">
              <a:extLst>
                <a:ext uri="{FF2B5EF4-FFF2-40B4-BE49-F238E27FC236}">
                  <a16:creationId xmlns:a16="http://schemas.microsoft.com/office/drawing/2014/main" id="{00000000-0008-0000-0100-000069000000}"/>
                </a:ext>
              </a:extLst>
            </xdr:cNvPr>
            <xdr:cNvSpPr txBox="1"/>
          </xdr:nvSpPr>
          <xdr:spPr>
            <a:xfrm>
              <a:off x="5528910" y="1092484"/>
              <a:ext cx="1900738" cy="739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𝑅𝑀𝑆𝐸=√(2&amp;1/𝑆𝑛 ∑_𝑖^𝑆𝑛▒(𝑐_𝑖−𝑝_𝑖 )^2  " " )</a:t>
              </a:r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12</xdr:col>
      <xdr:colOff>76734</xdr:colOff>
      <xdr:row>9</xdr:row>
      <xdr:rowOff>192354</xdr:rowOff>
    </xdr:from>
    <xdr:ext cx="1897049" cy="2526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0" name="Metin kutusu 89">
              <a:extLst>
                <a:ext uri="{FF2B5EF4-FFF2-40B4-BE49-F238E27FC236}">
                  <a16:creationId xmlns:a16="http://schemas.microsoft.com/office/drawing/2014/main" id="{00000000-0008-0000-0100-00005A000000}"/>
                </a:ext>
              </a:extLst>
            </xdr:cNvPr>
            <xdr:cNvSpPr txBox="1"/>
          </xdr:nvSpPr>
          <xdr:spPr>
            <a:xfrm>
              <a:off x="5563134" y="2681554"/>
              <a:ext cx="1897049" cy="2526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𝑀𝑑𝐴𝐸</m:t>
                    </m:r>
                    <m:r>
                      <a:rPr lang="tr-TR" sz="1200" b="0" i="0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r>
                      <m:rPr>
                        <m:sty m:val="p"/>
                      </m:rPr>
                      <a:rPr lang="tr-TR" sz="1200" b="0" i="0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median</m:t>
                    </m:r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⁡(</m:t>
                    </m:r>
                    <m:d>
                      <m:dPr>
                        <m:begChr m:val="|"/>
                        <m:endChr m:val="|"/>
                        <m:ctrlP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tr-TR" sz="12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tr-TR" sz="12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  <m:sub>
                            <m:r>
                              <a:rPr lang="tr-TR" sz="12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tr-TR" sz="12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tr-TR" sz="12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tr-TR" sz="12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0" name="Metin kutusu 89">
              <a:extLst>
                <a:ext uri="{FF2B5EF4-FFF2-40B4-BE49-F238E27FC236}">
                  <a16:creationId xmlns:a16="http://schemas.microsoft.com/office/drawing/2014/main" id="{00000000-0008-0000-0100-00005A000000}"/>
                </a:ext>
              </a:extLst>
            </xdr:cNvPr>
            <xdr:cNvSpPr txBox="1"/>
          </xdr:nvSpPr>
          <xdr:spPr>
            <a:xfrm>
              <a:off x="5563134" y="2681554"/>
              <a:ext cx="1897049" cy="2526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𝑀𝑑𝐴𝐸= median⁡(|𝑐_𝑖−𝑝_𝑖 |)</a:t>
              </a:r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15</xdr:col>
      <xdr:colOff>413422</xdr:colOff>
      <xdr:row>11</xdr:row>
      <xdr:rowOff>245794</xdr:rowOff>
    </xdr:from>
    <xdr:ext cx="1120104" cy="6209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1" name="Metin kutusu 90">
              <a:extLst>
                <a:ext uri="{FF2B5EF4-FFF2-40B4-BE49-F238E27FC236}">
                  <a16:creationId xmlns:a16="http://schemas.microsoft.com/office/drawing/2014/main" id="{00000000-0008-0000-0100-00005B000000}"/>
                </a:ext>
              </a:extLst>
            </xdr:cNvPr>
            <xdr:cNvSpPr txBox="1"/>
          </xdr:nvSpPr>
          <xdr:spPr>
            <a:xfrm>
              <a:off x="10338472" y="1455469"/>
              <a:ext cx="1120104" cy="620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tr-TR" sz="120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SimSun" panose="02010600030101010101" pitchFamily="2" charset="-122"/>
                            <a:cs typeface="Times New Roman" panose="020206030504050203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20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SimSun" panose="02010600030101010101" pitchFamily="2" charset="-122"/>
                            <a:cs typeface="Times New Roman" panose="02020603050405020304" pitchFamily="18" charset="0"/>
                          </a:rPr>
                          <m:t>𝑆𝑛</m:t>
                        </m:r>
                      </m:den>
                    </m:f>
                    <m:nary>
                      <m:naryPr>
                        <m:chr m:val="∑"/>
                        <m:limLoc m:val="undOvr"/>
                        <m:ctrlPr>
                          <a:rPr lang="tr-TR" sz="120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US" sz="120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SimSun" panose="02010600030101010101" pitchFamily="2" charset="-122"/>
                            <a:cs typeface="Times New Roman" panose="020206030504050203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sz="120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SimSun" panose="02010600030101010101" pitchFamily="2" charset="-122"/>
                            <a:cs typeface="Times New Roman" panose="02020603050405020304" pitchFamily="18" charset="0"/>
                          </a:rPr>
                          <m:t>𝑆𝑛</m:t>
                        </m:r>
                      </m:sup>
                      <m:e>
                        <m:f>
                          <m:fPr>
                            <m:ctrlPr>
                              <a:rPr lang="en-US" sz="120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SimSun" panose="02010600030101010101" pitchFamily="2" charset="-122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d>
                              <m:dPr>
                                <m:begChr m:val="|"/>
                                <m:endChr m:val="|"/>
                                <m:ctrlPr>
                                  <a:rPr lang="en-US" sz="1200" i="1">
                                    <a:solidFill>
                                      <a:schemeClr val="tx1">
                                        <a:lumMod val="50000"/>
                                        <a:lumOff val="5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SimSun" panose="02010600030101010101" pitchFamily="2" charset="-122"/>
                                    <a:cs typeface="Times New Roman" panose="020206030504050203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tr-TR" sz="1100" i="1"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tr-TR" sz="1100" b="0" i="1">
                                    <a:solidFill>
                                      <a:schemeClr val="tx1">
                                        <a:lumMod val="50000"/>
                                        <a:lumOff val="5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tr-TR" sz="1100" i="1"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tr-TR" sz="1100" b="0" i="1"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d>
                          </m:num>
                          <m:den>
                            <m:d>
                              <m:dPr>
                                <m:begChr m:val="|"/>
                                <m:endChr m:val="|"/>
                                <m:ctrlPr>
                                  <a:rPr lang="en-US" sz="1100" i="1">
                                    <a:solidFill>
                                      <a:schemeClr val="tx1">
                                        <a:lumMod val="50000"/>
                                        <a:lumOff val="5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tr-TR" sz="1100" i="1"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tr-TR" sz="1100" b="0" i="1">
                                    <a:solidFill>
                                      <a:schemeClr val="tx1">
                                        <a:lumMod val="50000"/>
                                        <a:lumOff val="5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tr-TR" sz="1100" i="1"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tr-TR" sz="1100" b="0" i="1"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d>
                          </m:den>
                        </m:f>
                      </m:e>
                    </m:nary>
                  </m:oMath>
                </m:oMathPara>
              </a14:m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1" name="Metin kutusu 90">
              <a:extLst>
                <a:ext uri="{FF2B5EF4-FFF2-40B4-BE49-F238E27FC236}">
                  <a16:creationId xmlns:a16="http://schemas.microsoft.com/office/drawing/2014/main" id="{00000000-0008-0000-0100-00005B000000}"/>
                </a:ext>
              </a:extLst>
            </xdr:cNvPr>
            <xdr:cNvSpPr txBox="1"/>
          </xdr:nvSpPr>
          <xdr:spPr>
            <a:xfrm>
              <a:off x="10338472" y="1455469"/>
              <a:ext cx="1120104" cy="6209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20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SimSun" panose="02010600030101010101" pitchFamily="2" charset="-122"/>
                  <a:cs typeface="Times New Roman" panose="02020603050405020304" pitchFamily="18" charset="0"/>
                </a:rPr>
                <a:t>1</a:t>
              </a:r>
              <a:r>
                <a:rPr lang="tr-TR" sz="120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SimSun" panose="02010600030101010101" pitchFamily="2" charset="-122"/>
                  <a:cs typeface="Times New Roman" panose="02020603050405020304" pitchFamily="18" charset="0"/>
                </a:rPr>
                <a:t>/</a:t>
              </a:r>
              <a:r>
                <a:rPr lang="en-US" sz="120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SimSun" panose="02010600030101010101" pitchFamily="2" charset="-122"/>
                  <a:cs typeface="Times New Roman" panose="02020603050405020304" pitchFamily="18" charset="0"/>
                </a:rPr>
                <a:t>𝑆𝑛</a:t>
              </a:r>
              <a:r>
                <a:rPr lang="tr-TR" sz="120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SimSun" panose="02010600030101010101" pitchFamily="2" charset="-122"/>
                  <a:cs typeface="Times New Roman" panose="02020603050405020304" pitchFamily="18" charset="0"/>
                </a:rPr>
                <a:t> </a:t>
              </a:r>
              <a:r>
                <a:rPr lang="tr-TR" sz="120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</a:rPr>
                <a:t>∑1</a:t>
              </a:r>
              <a:r>
                <a:rPr lang="en-US" sz="120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</a:rPr>
                <a:t>_</a:t>
              </a:r>
              <a:r>
                <a:rPr lang="en-US" sz="120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SimSun" panose="02010600030101010101" pitchFamily="2" charset="-122"/>
                  <a:cs typeface="Times New Roman" panose="02020603050405020304" pitchFamily="18" charset="0"/>
                </a:rPr>
                <a:t>𝑖^𝑆𝑛</a:t>
              </a:r>
              <a:r>
                <a:rPr lang="en-US" sz="110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US" sz="120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</a:t>
              </a:r>
              <a:r>
                <a:rPr lang="en-US" sz="110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tr-TR" sz="110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tr-TR" sz="11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−𝑝_</a:t>
              </a:r>
              <a:r>
                <a:rPr lang="en-US" sz="110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|</a:t>
              </a:r>
              <a:r>
                <a:rPr lang="en-US" sz="120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|𝑐</a:t>
              </a:r>
              <a:r>
                <a:rPr lang="tr-TR" sz="110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tr-TR" sz="11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+𝑝_</a:t>
              </a:r>
              <a:r>
                <a:rPr lang="en-US" sz="110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| </a:t>
              </a:r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7</xdr:col>
      <xdr:colOff>206419</xdr:colOff>
      <xdr:row>5</xdr:row>
      <xdr:rowOff>304046</xdr:rowOff>
    </xdr:from>
    <xdr:to>
      <xdr:col>8</xdr:col>
      <xdr:colOff>416804</xdr:colOff>
      <xdr:row>8</xdr:row>
      <xdr:rowOff>45993</xdr:rowOff>
    </xdr:to>
    <xdr:grpSp>
      <xdr:nvGrpSpPr>
        <xdr:cNvPr id="25" name="Grup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pSpPr/>
      </xdr:nvGrpSpPr>
      <xdr:grpSpPr>
        <a:xfrm>
          <a:off x="3216319" y="1523246"/>
          <a:ext cx="680285" cy="707147"/>
          <a:chOff x="10010297" y="3363549"/>
          <a:chExt cx="678508" cy="685202"/>
        </a:xfrm>
      </xdr:grpSpPr>
      <xdr:sp macro="" textlink="">
        <xdr:nvSpPr>
          <xdr:cNvPr id="26" name="Pasta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/>
        </xdr:nvSpPr>
        <xdr:spPr>
          <a:xfrm>
            <a:off x="10010297" y="3472679"/>
            <a:ext cx="566971" cy="576072"/>
          </a:xfrm>
          <a:prstGeom prst="pie">
            <a:avLst>
              <a:gd name="adj1" fmla="val 16206228"/>
              <a:gd name="adj2" fmla="val 39878"/>
            </a:avLst>
          </a:prstGeom>
          <a:pattFill prst="ltVert">
            <a:fgClr>
              <a:schemeClr val="tx1">
                <a:lumMod val="50000"/>
                <a:lumOff val="50000"/>
              </a:schemeClr>
            </a:fgClr>
            <a:bgClr>
              <a:srgbClr val="FFE699"/>
            </a:bgClr>
          </a:patt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tr-TR" sz="1100">
              <a:solidFill>
                <a:schemeClr val="tx1"/>
              </a:solidFill>
            </a:endParaRPr>
          </a:p>
        </xdr:txBody>
      </xdr:sp>
      <xdr:cxnSp macro="">
        <xdr:nvCxnSpPr>
          <xdr:cNvPr id="27" name="Düz Ok Bağlayıcısı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CxnSpPr/>
        </xdr:nvCxnSpPr>
        <xdr:spPr>
          <a:xfrm flipV="1">
            <a:off x="10290034" y="3762320"/>
            <a:ext cx="398771" cy="0"/>
          </a:xfrm>
          <a:prstGeom prst="straightConnector1">
            <a:avLst/>
          </a:prstGeom>
          <a:ln>
            <a:solidFill>
              <a:schemeClr val="tx1">
                <a:lumMod val="50000"/>
                <a:lumOff val="50000"/>
              </a:schemeClr>
            </a:solidFill>
            <a:tailEnd type="triangle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Düz Ok Bağlayıcısı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CxnSpPr/>
        </xdr:nvCxnSpPr>
        <xdr:spPr>
          <a:xfrm flipV="1">
            <a:off x="10294369" y="3363549"/>
            <a:ext cx="0" cy="403106"/>
          </a:xfrm>
          <a:prstGeom prst="straightConnector1">
            <a:avLst/>
          </a:prstGeom>
          <a:ln>
            <a:solidFill>
              <a:schemeClr val="tx1">
                <a:lumMod val="50000"/>
                <a:lumOff val="50000"/>
              </a:schemeClr>
            </a:solidFill>
            <a:tailEnd type="triangle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</xdr:grpSp>
    <xdr:clientData/>
  </xdr:twoCellAnchor>
  <xdr:oneCellAnchor>
    <xdr:from>
      <xdr:col>6</xdr:col>
      <xdr:colOff>446061</xdr:colOff>
      <xdr:row>5</xdr:row>
      <xdr:rowOff>252310</xdr:rowOff>
    </xdr:from>
    <xdr:ext cx="556947" cy="342786"/>
    <xdr:sp macro="" textlink="">
      <xdr:nvSpPr>
        <xdr:cNvPr id="97" name="Metin kutusu 96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 txBox="1"/>
      </xdr:nvSpPr>
      <xdr:spPr>
        <a:xfrm>
          <a:off x="2986061" y="1471510"/>
          <a:ext cx="55694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tr-TR" sz="800" i="1">
              <a:solidFill>
                <a:schemeClr val="tx1">
                  <a:lumMod val="50000"/>
                  <a:lumOff val="50000"/>
                </a:schemeClr>
              </a:solidFill>
            </a:rPr>
            <a:t>PPV</a:t>
          </a:r>
          <a:r>
            <a:rPr lang="tr-TR" sz="800">
              <a:solidFill>
                <a:schemeClr val="tx1">
                  <a:lumMod val="50000"/>
                  <a:lumOff val="50000"/>
                </a:schemeClr>
              </a:solidFill>
            </a:rPr>
            <a:t>,</a:t>
          </a:r>
        </a:p>
        <a:p>
          <a:pPr algn="r"/>
          <a:r>
            <a:rPr lang="tr-TR" sz="800" i="1">
              <a:solidFill>
                <a:schemeClr val="tx1">
                  <a:lumMod val="50000"/>
                  <a:lumOff val="50000"/>
                </a:schemeClr>
              </a:solidFill>
            </a:rPr>
            <a:t>Precision</a:t>
          </a:r>
        </a:p>
      </xdr:txBody>
    </xdr:sp>
    <xdr:clientData/>
  </xdr:oneCellAnchor>
  <xdr:twoCellAnchor editAs="oneCell">
    <xdr:from>
      <xdr:col>16</xdr:col>
      <xdr:colOff>57152</xdr:colOff>
      <xdr:row>40</xdr:row>
      <xdr:rowOff>33300</xdr:rowOff>
    </xdr:from>
    <xdr:to>
      <xdr:col>16</xdr:col>
      <xdr:colOff>201152</xdr:colOff>
      <xdr:row>40</xdr:row>
      <xdr:rowOff>177300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6827" y="11844300"/>
          <a:ext cx="144000" cy="14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311927</xdr:colOff>
      <xdr:row>40</xdr:row>
      <xdr:rowOff>33300</xdr:rowOff>
    </xdr:from>
    <xdr:to>
      <xdr:col>16</xdr:col>
      <xdr:colOff>455927</xdr:colOff>
      <xdr:row>40</xdr:row>
      <xdr:rowOff>177300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0002" y="11977650"/>
          <a:ext cx="144000" cy="144000"/>
        </a:xfrm>
        <a:prstGeom prst="rect">
          <a:avLst/>
        </a:prstGeom>
      </xdr:spPr>
    </xdr:pic>
    <xdr:clientData/>
  </xdr:twoCellAnchor>
  <xdr:twoCellAnchor editAs="oneCell">
    <xdr:from>
      <xdr:col>17</xdr:col>
      <xdr:colOff>99977</xdr:colOff>
      <xdr:row>40</xdr:row>
      <xdr:rowOff>33300</xdr:rowOff>
    </xdr:from>
    <xdr:to>
      <xdr:col>17</xdr:col>
      <xdr:colOff>243977</xdr:colOff>
      <xdr:row>40</xdr:row>
      <xdr:rowOff>177300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4777" y="11977650"/>
          <a:ext cx="144000" cy="144000"/>
        </a:xfrm>
        <a:prstGeom prst="rect">
          <a:avLst/>
        </a:prstGeom>
      </xdr:spPr>
    </xdr:pic>
    <xdr:clientData/>
  </xdr:twoCellAnchor>
  <xdr:twoCellAnchor editAs="oneCell">
    <xdr:from>
      <xdr:col>17</xdr:col>
      <xdr:colOff>354752</xdr:colOff>
      <xdr:row>40</xdr:row>
      <xdr:rowOff>33300</xdr:rowOff>
    </xdr:from>
    <xdr:to>
      <xdr:col>17</xdr:col>
      <xdr:colOff>498752</xdr:colOff>
      <xdr:row>40</xdr:row>
      <xdr:rowOff>177300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9552" y="11977650"/>
          <a:ext cx="144000" cy="144000"/>
        </a:xfrm>
        <a:prstGeom prst="rect">
          <a:avLst/>
        </a:prstGeom>
      </xdr:spPr>
    </xdr:pic>
    <xdr:clientData/>
  </xdr:twoCellAnchor>
  <xdr:oneCellAnchor>
    <xdr:from>
      <xdr:col>15</xdr:col>
      <xdr:colOff>210710</xdr:colOff>
      <xdr:row>2</xdr:row>
      <xdr:rowOff>190838</xdr:rowOff>
    </xdr:from>
    <xdr:ext cx="1833989" cy="6114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Metin kutusu 100">
              <a:extLst>
                <a:ext uri="{FF2B5EF4-FFF2-40B4-BE49-F238E27FC236}">
                  <a16:creationId xmlns:a16="http://schemas.microsoft.com/office/drawing/2014/main" id="{00000000-0008-0000-0100-00005F000000}"/>
                </a:ext>
              </a:extLst>
            </xdr:cNvPr>
            <xdr:cNvSpPr txBox="1"/>
          </xdr:nvSpPr>
          <xdr:spPr>
            <a:xfrm>
              <a:off x="7221110" y="457538"/>
              <a:ext cx="1833989" cy="6114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𝑀𝑆𝐸</m:t>
                    </m:r>
                    <m:r>
                      <a:rPr lang="tr-TR" sz="12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𝑆𝑛</m:t>
                        </m:r>
                      </m:den>
                    </m:f>
                    <m:nary>
                      <m:naryPr>
                        <m:chr m:val="∑"/>
                        <m:ctrlP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  <m:sup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𝑆𝑛</m:t>
                        </m:r>
                      </m:sup>
                      <m:e>
                        <m:sSup>
                          <m:sSupPr>
                            <m:ctrlPr>
                              <a:rPr lang="tr-TR" sz="12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tr-TR" sz="1200" b="0" i="1">
                                    <a:solidFill>
                                      <a:schemeClr val="tx1">
                                        <a:lumMod val="50000"/>
                                        <a:lumOff val="5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tr-TR" sz="1200" b="0" i="1"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tr-TR" sz="1200" b="0" i="1"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e>
                                  <m:sub>
                                    <m:r>
                                      <a:rPr lang="tr-TR" sz="1200" b="0" i="1"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tr-TR" sz="1200" b="0" i="1">
                                    <a:solidFill>
                                      <a:schemeClr val="tx1">
                                        <a:lumMod val="50000"/>
                                        <a:lumOff val="5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tr-TR" sz="1200" b="0" i="1"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tr-TR" sz="1200" b="0" i="1"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tr-TR" sz="1200" b="0" i="1"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tr-TR" sz="12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5" name="Metin kutusu 100">
              <a:extLst>
                <a:ext uri="{FF2B5EF4-FFF2-40B4-BE49-F238E27FC236}">
                  <a16:creationId xmlns:a16="http://schemas.microsoft.com/office/drawing/2014/main" id="{00000000-0008-0000-0100-00005F000000}"/>
                </a:ext>
              </a:extLst>
            </xdr:cNvPr>
            <xdr:cNvSpPr txBox="1"/>
          </xdr:nvSpPr>
          <xdr:spPr>
            <a:xfrm>
              <a:off x="7221110" y="457538"/>
              <a:ext cx="1833989" cy="6114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𝑀𝑆𝐸=  1/𝑆𝑛 ∑_𝑖^𝑆𝑛▒(𝑐_𝑖−𝑝_𝑖 )^2 </a:t>
              </a:r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27</xdr:col>
      <xdr:colOff>457200</xdr:colOff>
      <xdr:row>4</xdr:row>
      <xdr:rowOff>139700</xdr:rowOff>
    </xdr:from>
    <xdr:ext cx="1524000" cy="3905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Metin kutusu 50">
              <a:extLst>
                <a:ext uri="{FF2B5EF4-FFF2-40B4-BE49-F238E27FC236}">
                  <a16:creationId xmlns:a16="http://schemas.microsoft.com/office/drawing/2014/main" id="{00000000-0008-0000-0100-000066000000}"/>
                </a:ext>
              </a:extLst>
            </xdr:cNvPr>
            <xdr:cNvSpPr txBox="1"/>
          </xdr:nvSpPr>
          <xdr:spPr>
            <a:xfrm>
              <a:off x="13360400" y="1168400"/>
              <a:ext cx="1524000" cy="390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1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Cambria Math" panose="02040503050406030204" pitchFamily="18" charset="0"/>
                      </a:rPr>
                      <m:t>𝑀𝑅𝐴𝐸</m:t>
                    </m:r>
                    <m:r>
                      <a:rPr lang="tr-TR" sz="1100" b="0" i="1">
                        <a:solidFill>
                          <a:schemeClr val="tx1">
                            <a:lumMod val="50000"/>
                            <a:lumOff val="50000"/>
                          </a:schemeClr>
                        </a:solidFill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tr-TR" sz="11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tr-TR" sz="11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tr-TR" sz="1100" b="0" i="0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mean</m:t>
                            </m:r>
                          </m:e>
                          <m:lim>
                            <m:r>
                              <a:rPr lang="tr-TR" sz="11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tr-TR" sz="11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=1..</m:t>
                            </m:r>
                            <m:r>
                              <a:rPr lang="tr-TR" sz="11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𝑆𝑛</m:t>
                            </m:r>
                          </m:lim>
                        </m:limLow>
                      </m:fName>
                      <m:e>
                        <m:f>
                          <m:fPr>
                            <m:ctrlPr>
                              <a:rPr lang="tr-TR" sz="1100" b="0" i="1">
                                <a:solidFill>
                                  <a:schemeClr val="tx1">
                                    <a:lumMod val="50000"/>
                                    <a:lumOff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d>
                              <m:dPr>
                                <m:begChr m:val="|"/>
                                <m:endChr m:val="|"/>
                                <m:ctrlPr>
                                  <a:rPr lang="tr-TR" sz="1100" b="0" i="1">
                                    <a:solidFill>
                                      <a:schemeClr val="tx1">
                                        <a:lumMod val="50000"/>
                                        <a:lumOff val="50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tr-TR" sz="1100" i="1"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tr-TR" sz="1100" b="0" i="1">
                                    <a:solidFill>
                                      <a:schemeClr val="tx1">
                                        <a:lumMod val="50000"/>
                                        <a:lumOff val="5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tr-TR" sz="1100" i="1"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tr-TR" sz="1100" b="0" i="1"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d>
                          </m:num>
                          <m:den>
                            <m:d>
                              <m:dPr>
                                <m:begChr m:val="|"/>
                                <m:endChr m:val="|"/>
                                <m:ctrlPr>
                                  <a:rPr lang="tr-TR" sz="1100" b="0" i="1">
                                    <a:solidFill>
                                      <a:schemeClr val="tx1">
                                        <a:lumMod val="50000"/>
                                        <a:lumOff val="50000"/>
                                      </a:schemeClr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tr-TR" sz="1100" i="1"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e>
                                  <m:sub>
                                    <m:r>
                                      <a:rPr lang="en-US" sz="1100" i="1"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tr-TR" sz="1100" b="0" i="1">
                                    <a:solidFill>
                                      <a:schemeClr val="tx1">
                                        <a:lumMod val="50000"/>
                                        <a:lumOff val="5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tr-TR" sz="1100" b="0" i="1"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tr-TR" sz="1100" b="0" i="1">
                                        <a:solidFill>
                                          <a:schemeClr val="tx1">
                                            <a:lumMod val="50000"/>
                                            <a:lumOff val="50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e>
                                </m:acc>
                              </m:e>
                            </m:d>
                          </m:den>
                        </m:f>
                      </m:e>
                    </m:func>
                  </m:oMath>
                </m:oMathPara>
              </a14:m>
              <a:endParaRPr lang="tr-TR" sz="11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102" name="Metin kutusu 50">
              <a:extLst>
                <a:ext uri="{FF2B5EF4-FFF2-40B4-BE49-F238E27FC236}">
                  <a16:creationId xmlns:a16="http://schemas.microsoft.com/office/drawing/2014/main" id="{00000000-0008-0000-0100-000066000000}"/>
                </a:ext>
              </a:extLst>
            </xdr:cNvPr>
            <xdr:cNvSpPr txBox="1"/>
          </xdr:nvSpPr>
          <xdr:spPr>
            <a:xfrm>
              <a:off x="13360400" y="1168400"/>
              <a:ext cx="1524000" cy="3905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tr-TR" sz="1100" b="0" i="0">
                  <a:solidFill>
                    <a:schemeClr val="tx1">
                      <a:lumMod val="50000"/>
                      <a:lumOff val="50000"/>
                    </a:schemeClr>
                  </a:solidFill>
                  <a:latin typeface="Cambria Math" panose="02040503050406030204" pitchFamily="18" charset="0"/>
                </a:rPr>
                <a:t>𝑀𝑅𝐴𝐸=mean┬(𝑖=1..𝑆𝑛)⁡〖|</a:t>
              </a:r>
              <a:r>
                <a:rPr lang="en-US" sz="110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tr-TR" sz="110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tr-TR" sz="11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−𝑝_</a:t>
              </a:r>
              <a:r>
                <a:rPr lang="en-US" sz="110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|</a:t>
              </a:r>
              <a:r>
                <a:rPr lang="tr-TR" sz="11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/|</a:t>
              </a:r>
              <a:r>
                <a:rPr lang="en-US" sz="110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tr-TR" sz="110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tr-TR" sz="11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−𝑐 ̅ | 〗</a:t>
              </a:r>
              <a:endParaRPr lang="tr-TR" sz="1100">
                <a:solidFill>
                  <a:schemeClr val="tx1">
                    <a:lumMod val="50000"/>
                    <a:lumOff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26</xdr:col>
      <xdr:colOff>104775</xdr:colOff>
      <xdr:row>4</xdr:row>
      <xdr:rowOff>114300</xdr:rowOff>
    </xdr:from>
    <xdr:ext cx="641201" cy="452432"/>
    <xdr:sp macro="" textlink="">
      <xdr:nvSpPr>
        <xdr:cNvPr id="106" name="Metin kutusu 28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SpPr txBox="1"/>
      </xdr:nvSpPr>
      <xdr:spPr>
        <a:xfrm>
          <a:off x="8029575" y="3048000"/>
          <a:ext cx="641201" cy="452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r-TR" sz="1150" i="1">
              <a:solidFill>
                <a:sysClr val="windowText" lastClr="000000"/>
              </a:solidFill>
              <a:latin typeface="+mn-lt"/>
            </a:rPr>
            <a:t>MdRAE</a:t>
          </a:r>
        </a:p>
        <a:p>
          <a:r>
            <a:rPr lang="tr-TR" sz="1150" i="1">
              <a:solidFill>
                <a:sysClr val="windowText" lastClr="000000"/>
              </a:solidFill>
              <a:latin typeface="+mn-lt"/>
            </a:rPr>
            <a:t>GMRAE</a:t>
          </a:r>
        </a:p>
      </xdr:txBody>
    </xdr:sp>
    <xdr:clientData/>
  </xdr:oneCellAnchor>
  <xdr:oneCellAnchor>
    <xdr:from>
      <xdr:col>18</xdr:col>
      <xdr:colOff>417698</xdr:colOff>
      <xdr:row>12</xdr:row>
      <xdr:rowOff>266700</xdr:rowOff>
    </xdr:from>
    <xdr:ext cx="1603005" cy="203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Metin kutusu 93">
              <a:extLst>
                <a:ext uri="{FF2B5EF4-FFF2-40B4-BE49-F238E27FC236}">
                  <a16:creationId xmlns:a16="http://schemas.microsoft.com/office/drawing/2014/main" id="{00000000-0008-0000-0100-00005E000000}"/>
                </a:ext>
              </a:extLst>
            </xdr:cNvPr>
            <xdr:cNvSpPr txBox="1"/>
          </xdr:nvSpPr>
          <xdr:spPr>
            <a:xfrm>
              <a:off x="8901298" y="3721100"/>
              <a:ext cx="1603005" cy="203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05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charset="0"/>
                      </a:rPr>
                      <m:t>𝑤</m:t>
                    </m:r>
                    <m:r>
                      <a:rPr lang="tr-TR" sz="105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charset="0"/>
                        <a:ea typeface="Cambria Math" charset="0"/>
                        <a:cs typeface="Cambria Math" charset="0"/>
                      </a:rPr>
                      <m:t>⋅</m:t>
                    </m:r>
                    <m:r>
                      <a:rPr lang="tr-TR" sz="105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charset="0"/>
                      </a:rPr>
                      <m:t>𝑇𝑃𝑅</m:t>
                    </m:r>
                    <m:r>
                      <a:rPr lang="tr-TR" sz="105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charset="0"/>
                      </a:rPr>
                      <m:t>+(1−</m:t>
                    </m:r>
                    <m:r>
                      <a:rPr lang="tr-TR" sz="105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charset="0"/>
                      </a:rPr>
                      <m:t>𝑤</m:t>
                    </m:r>
                    <m:r>
                      <a:rPr lang="tr-TR" sz="105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charset="0"/>
                      </a:rPr>
                      <m:t>)⋅</m:t>
                    </m:r>
                    <m:r>
                      <a:rPr lang="tr-TR" sz="1050" b="0" i="1">
                        <a:solidFill>
                          <a:schemeClr val="bg1">
                            <a:lumMod val="50000"/>
                          </a:schemeClr>
                        </a:solidFill>
                        <a:latin typeface="Cambria Math" charset="0"/>
                      </a:rPr>
                      <m:t>𝑇𝑁𝑅</m:t>
                    </m:r>
                  </m:oMath>
                </m:oMathPara>
              </a14:m>
              <a:endParaRPr lang="tr-TR" sz="105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Choice>
      <mc:Fallback xmlns="">
        <xdr:sp macro="" textlink="">
          <xdr:nvSpPr>
            <xdr:cNvPr id="94" name="Metin kutusu 93">
              <a:extLst>
                <a:ext uri="{FF2B5EF4-FFF2-40B4-BE49-F238E27FC236}">
                  <a16:creationId xmlns:a16="http://schemas.microsoft.com/office/drawing/2014/main" id="{EE144750-568E-E14D-B5E6-253F3C97A7DF}"/>
                </a:ext>
              </a:extLst>
            </xdr:cNvPr>
            <xdr:cNvSpPr txBox="1"/>
          </xdr:nvSpPr>
          <xdr:spPr>
            <a:xfrm>
              <a:off x="8901298" y="3721100"/>
              <a:ext cx="1603005" cy="203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050" b="0" i="0">
                  <a:solidFill>
                    <a:schemeClr val="bg1">
                      <a:lumMod val="50000"/>
                    </a:schemeClr>
                  </a:solidFill>
                  <a:latin typeface="Cambria Math" charset="0"/>
                </a:rPr>
                <a:t>𝑤</a:t>
              </a:r>
              <a:r>
                <a:rPr lang="tr-TR" sz="1050" b="0" i="0">
                  <a:solidFill>
                    <a:schemeClr val="bg1">
                      <a:lumMod val="50000"/>
                    </a:schemeClr>
                  </a:solidFill>
                  <a:latin typeface="Cambria Math" charset="0"/>
                  <a:ea typeface="Cambria Math" charset="0"/>
                  <a:cs typeface="Cambria Math" charset="0"/>
                </a:rPr>
                <a:t>⋅</a:t>
              </a:r>
              <a:r>
                <a:rPr lang="tr-TR" sz="1050" b="0" i="0">
                  <a:solidFill>
                    <a:schemeClr val="bg1">
                      <a:lumMod val="50000"/>
                    </a:schemeClr>
                  </a:solidFill>
                  <a:latin typeface="Cambria Math" charset="0"/>
                </a:rPr>
                <a:t>𝑇𝑃𝑅+(1−𝑤)⋅𝑇𝑁𝑅</a:t>
              </a:r>
              <a:endParaRPr lang="tr-TR" sz="105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oneCellAnchor>
    <xdr:from>
      <xdr:col>25</xdr:col>
      <xdr:colOff>6607</xdr:colOff>
      <xdr:row>6</xdr:row>
      <xdr:rowOff>12700</xdr:rowOff>
    </xdr:from>
    <xdr:ext cx="1390393" cy="406400"/>
    <xdr:sp macro="" textlink="">
      <xdr:nvSpPr>
        <xdr:cNvPr id="98" name="Metin kutusu 28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 txBox="1"/>
      </xdr:nvSpPr>
      <xdr:spPr>
        <a:xfrm>
          <a:off x="11906507" y="1536700"/>
          <a:ext cx="1390393" cy="406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noAutofit/>
        </a:bodyPr>
        <a:lstStyle/>
        <a:p>
          <a:pPr algn="ctr"/>
          <a:r>
            <a:rPr lang="tr-TR" sz="800" i="0" u="sng">
              <a:solidFill>
                <a:sysClr val="windowText" lastClr="000000"/>
              </a:solidFill>
              <a:latin typeface="Century Gothic" panose="020B0502020202020204" pitchFamily="34" charset="0"/>
            </a:rPr>
            <a:t>Variants</a:t>
          </a:r>
          <a:r>
            <a:rPr lang="tr-TR" sz="800" i="0">
              <a:solidFill>
                <a:sysClr val="windowText" lastClr="000000"/>
              </a:solidFill>
              <a:latin typeface="Century Gothic" panose="020B0502020202020204" pitchFamily="34" charset="0"/>
            </a:rPr>
            <a:t>:</a:t>
          </a:r>
        </a:p>
        <a:p>
          <a:pPr algn="ctr"/>
          <a:r>
            <a:rPr lang="tr-TR" sz="800" i="0">
              <a:solidFill>
                <a:sysClr val="windowText" lastClr="000000"/>
              </a:solidFill>
              <a:latin typeface="Century Gothic" panose="020B0502020202020204" pitchFamily="34" charset="0"/>
            </a:rPr>
            <a:t>Median/Geometric-</a:t>
          </a:r>
        </a:p>
        <a:p>
          <a:pPr algn="ctr"/>
          <a:r>
            <a:rPr lang="tr-TR" sz="800" i="0">
              <a:solidFill>
                <a:sysClr val="windowText" lastClr="000000"/>
              </a:solidFill>
              <a:latin typeface="Century Gothic" panose="020B0502020202020204" pitchFamily="34" charset="0"/>
            </a:rPr>
            <a:t>mean Relative Absolute Err.</a:t>
          </a:r>
        </a:p>
      </xdr:txBody>
    </xdr:sp>
    <xdr:clientData/>
  </xdr:oneCellAnchor>
  <xdr:oneCellAnchor>
    <xdr:from>
      <xdr:col>17</xdr:col>
      <xdr:colOff>219075</xdr:colOff>
      <xdr:row>5</xdr:row>
      <xdr:rowOff>38100</xdr:rowOff>
    </xdr:from>
    <xdr:ext cx="529504" cy="272382"/>
    <xdr:sp macro="" textlink="">
      <xdr:nvSpPr>
        <xdr:cNvPr id="99" name="Metin kutusu 28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 txBox="1"/>
      </xdr:nvSpPr>
      <xdr:spPr>
        <a:xfrm>
          <a:off x="8169275" y="1257300"/>
          <a:ext cx="529504" cy="2723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tr-TR" sz="1150" i="1">
              <a:solidFill>
                <a:sysClr val="windowText" lastClr="000000"/>
              </a:solidFill>
              <a:latin typeface="+mn-lt"/>
            </a:rPr>
            <a:t>RMSE</a:t>
          </a:r>
        </a:p>
      </xdr:txBody>
    </xdr:sp>
    <xdr:clientData/>
  </xdr:oneCellAnchor>
  <xdr:oneCellAnchor>
    <xdr:from>
      <xdr:col>17</xdr:col>
      <xdr:colOff>237261</xdr:colOff>
      <xdr:row>7</xdr:row>
      <xdr:rowOff>165100</xdr:rowOff>
    </xdr:from>
    <xdr:ext cx="543931" cy="452432"/>
    <xdr:sp macro="" textlink="">
      <xdr:nvSpPr>
        <xdr:cNvPr id="107" name="Metin kutusu 28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 txBox="1"/>
      </xdr:nvSpPr>
      <xdr:spPr>
        <a:xfrm>
          <a:off x="8187461" y="2146300"/>
          <a:ext cx="543931" cy="452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tr-TR" sz="1150" i="1">
              <a:solidFill>
                <a:sysClr val="windowText" lastClr="000000"/>
              </a:solidFill>
              <a:latin typeface="+mn-lt"/>
            </a:rPr>
            <a:t>MdAE</a:t>
          </a:r>
        </a:p>
        <a:p>
          <a:pPr algn="ctr"/>
          <a:r>
            <a:rPr lang="tr-TR" sz="1150" i="1">
              <a:solidFill>
                <a:sysClr val="windowText" lastClr="000000"/>
              </a:solidFill>
              <a:latin typeface="+mn-lt"/>
            </a:rPr>
            <a:t>MxAE</a:t>
          </a:r>
          <a:endParaRPr lang="tr-TR" sz="1150" i="0">
            <a:solidFill>
              <a:sysClr val="windowText" lastClr="000000"/>
            </a:solidFill>
            <a:latin typeface="+mn-lt"/>
          </a:endParaRPr>
        </a:p>
      </xdr:txBody>
    </xdr:sp>
    <xdr:clientData/>
  </xdr:oneCellAnchor>
  <xdr:oneCellAnchor>
    <xdr:from>
      <xdr:col>28</xdr:col>
      <xdr:colOff>365760</xdr:colOff>
      <xdr:row>21</xdr:row>
      <xdr:rowOff>152400</xdr:rowOff>
    </xdr:from>
    <xdr:ext cx="812800" cy="2698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Metin kutusu 73">
              <a:extLst>
                <a:ext uri="{FF2B5EF4-FFF2-40B4-BE49-F238E27FC236}">
                  <a16:creationId xmlns:a16="http://schemas.microsoft.com/office/drawing/2014/main" id="{00000000-0008-0000-0100-000060000000}"/>
                </a:ext>
              </a:extLst>
            </xdr:cNvPr>
            <xdr:cNvSpPr txBox="1"/>
          </xdr:nvSpPr>
          <xdr:spPr>
            <a:xfrm>
              <a:off x="13655403" y="4540704"/>
              <a:ext cx="812800" cy="269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𝑇𝑃𝑅</m:t>
                        </m:r>
                      </m:num>
                      <m:den>
                        <m:r>
                          <a:rPr lang="tr-TR" sz="1200" b="0" i="1">
                            <a:solidFill>
                              <a:schemeClr val="tx1">
                                <a:lumMod val="50000"/>
                                <a:lumOff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𝐵𝐼𝐴𝑆</m:t>
                        </m:r>
                      </m:den>
                    </m:f>
                  </m:oMath>
                </m:oMathPara>
              </a14:m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96" name="Metin kutusu 73">
              <a:extLst>
                <a:ext uri="{FF2B5EF4-FFF2-40B4-BE49-F238E27FC236}">
                  <a16:creationId xmlns:a16="http://schemas.microsoft.com/office/drawing/2014/main" id="{00000000-0008-0000-0100-00004A000000}"/>
                </a:ext>
              </a:extLst>
            </xdr:cNvPr>
            <xdr:cNvSpPr txBox="1"/>
          </xdr:nvSpPr>
          <xdr:spPr>
            <a:xfrm>
              <a:off x="13655403" y="4540704"/>
              <a:ext cx="812800" cy="2698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tr-TR" sz="1200" b="0" i="0">
                  <a:solidFill>
                    <a:schemeClr val="tx1">
                      <a:lumMod val="50000"/>
                      <a:lumOff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𝑇𝑃𝑅⁄𝐵𝐼𝐴𝑆</a:t>
              </a:r>
              <a:endParaRPr lang="tr-TR" sz="1200" b="0" i="1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23</xdr:col>
      <xdr:colOff>293633</xdr:colOff>
      <xdr:row>11</xdr:row>
      <xdr:rowOff>50800</xdr:rowOff>
    </xdr:from>
    <xdr:ext cx="521810" cy="256737"/>
    <xdr:sp macro="" textlink="">
      <xdr:nvSpPr>
        <xdr:cNvPr id="101" name="Metin kutusu 28">
          <a:extLst>
            <a:ext uri="{FF2B5EF4-FFF2-40B4-BE49-F238E27FC236}">
              <a16:creationId xmlns:a16="http://schemas.microsoft.com/office/drawing/2014/main" id="{4A9E8544-FADE-3E44-AC1A-BE1405575004}"/>
            </a:ext>
          </a:extLst>
        </xdr:cNvPr>
        <xdr:cNvSpPr txBox="1"/>
      </xdr:nvSpPr>
      <xdr:spPr>
        <a:xfrm>
          <a:off x="11185153" y="3200400"/>
          <a:ext cx="521810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tr-TR" sz="1050" i="1">
              <a:solidFill>
                <a:sysClr val="windowText" lastClr="000000"/>
              </a:solidFill>
              <a:latin typeface="+mn-lt"/>
            </a:rPr>
            <a:t>GINI</a:t>
          </a:r>
          <a:r>
            <a:rPr lang="tr-TR" sz="1050" i="0">
              <a:solidFill>
                <a:sysClr val="windowText" lastClr="000000"/>
              </a:solidFill>
              <a:latin typeface="+mn-lt"/>
            </a:rPr>
            <a:t> </a:t>
          </a:r>
          <a:r>
            <a:rPr lang="tr-TR" sz="1050" i="0">
              <a:solidFill>
                <a:schemeClr val="tx1">
                  <a:lumMod val="50000"/>
                  <a:lumOff val="50000"/>
                </a:schemeClr>
              </a:solidFill>
              <a:latin typeface="+mn-lt"/>
            </a:rPr>
            <a:t>±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44448</xdr:colOff>
      <xdr:row>14</xdr:row>
      <xdr:rowOff>44451</xdr:rowOff>
    </xdr:from>
    <xdr:ext cx="599971" cy="29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Metin kutusu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 txBox="1"/>
          </xdr:nvSpPr>
          <xdr:spPr>
            <a:xfrm>
              <a:off x="7600948" y="4972051"/>
              <a:ext cx="599971" cy="29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tr-TR" sz="1100" b="0" i="0">
                                <a:latin typeface="Cambria Math" panose="02040503050406030204" pitchFamily="18" charset="0"/>
                              </a:rPr>
                              <m:t>mean</m:t>
                            </m:r>
                          </m:e>
                          <m:lim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=1..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𝑆𝑛</m:t>
                            </m:r>
                          </m:lim>
                        </m:limLow>
                      </m:fName>
                      <m:e>
                        <m:d>
                          <m:dPr>
                            <m:begChr m:val="|"/>
                            <m:endChr m:val="|"/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func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8" name="Metin kutusu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 txBox="1"/>
          </xdr:nvSpPr>
          <xdr:spPr>
            <a:xfrm>
              <a:off x="7600948" y="4972051"/>
              <a:ext cx="599971" cy="29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tr-TR" sz="1100" b="0" i="0">
                  <a:latin typeface="Cambria Math" panose="02040503050406030204" pitchFamily="18" charset="0"/>
                </a:rPr>
                <a:t>mean┬(𝑖=1..𝑆𝑛)⁡|𝑒_𝑖 |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20</xdr:col>
      <xdr:colOff>15873</xdr:colOff>
      <xdr:row>17</xdr:row>
      <xdr:rowOff>59267</xdr:rowOff>
    </xdr:from>
    <xdr:ext cx="878417" cy="29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Metin kutusu 9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 txBox="1"/>
          </xdr:nvSpPr>
          <xdr:spPr>
            <a:xfrm>
              <a:off x="7569198" y="6021917"/>
              <a:ext cx="878417" cy="29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tr-TR" sz="1100" b="0" i="0">
                                <a:latin typeface="Cambria Math" panose="02040503050406030204" pitchFamily="18" charset="0"/>
                              </a:rPr>
                              <m:t>geomean</m:t>
                            </m:r>
                          </m:e>
                          <m:lim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=1..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𝑆𝑛</m:t>
                            </m:r>
                          </m:lim>
                        </m:limLow>
                      </m:fName>
                      <m:e>
                        <m:d>
                          <m:dPr>
                            <m:begChr m:val="|"/>
                            <m:endChr m:val="|"/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func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10" name="Metin kutusu 9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 txBox="1"/>
          </xdr:nvSpPr>
          <xdr:spPr>
            <a:xfrm>
              <a:off x="7569198" y="6021917"/>
              <a:ext cx="878417" cy="29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tr-TR" sz="1100" b="0" i="0">
                  <a:latin typeface="Cambria Math" panose="02040503050406030204" pitchFamily="18" charset="0"/>
                </a:rPr>
                <a:t>geomean┬(𝑖=1..𝑆𝑛)⁡|𝑒_𝑖 |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20</xdr:col>
      <xdr:colOff>44448</xdr:colOff>
      <xdr:row>15</xdr:row>
      <xdr:rowOff>52918</xdr:rowOff>
    </xdr:from>
    <xdr:ext cx="659968" cy="29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Metin kutusu 10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 txBox="1"/>
          </xdr:nvSpPr>
          <xdr:spPr>
            <a:xfrm>
              <a:off x="7600948" y="5348818"/>
              <a:ext cx="659968" cy="29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tr-TR" sz="1100" b="0" i="0">
                                <a:latin typeface="Cambria Math" panose="02040503050406030204" pitchFamily="18" charset="0"/>
                              </a:rPr>
                              <m:t>median</m:t>
                            </m:r>
                          </m:e>
                          <m:lim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=1..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𝑆𝑛</m:t>
                            </m:r>
                          </m:lim>
                        </m:limLow>
                      </m:fName>
                      <m:e>
                        <m:d>
                          <m:dPr>
                            <m:begChr m:val="|"/>
                            <m:endChr m:val="|"/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func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11" name="Metin kutusu 10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 txBox="1"/>
          </xdr:nvSpPr>
          <xdr:spPr>
            <a:xfrm>
              <a:off x="7600948" y="5348818"/>
              <a:ext cx="659968" cy="29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tr-TR" sz="1100" b="0" i="0">
                  <a:latin typeface="Cambria Math" panose="02040503050406030204" pitchFamily="18" charset="0"/>
                </a:rPr>
                <a:t>median┬(𝑖=1..𝑆𝑛)⁡|𝑒_𝑖 |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20</xdr:col>
      <xdr:colOff>15873</xdr:colOff>
      <xdr:row>16</xdr:row>
      <xdr:rowOff>67735</xdr:rowOff>
    </xdr:from>
    <xdr:ext cx="659968" cy="29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Metin kutusu 11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 txBox="1"/>
          </xdr:nvSpPr>
          <xdr:spPr>
            <a:xfrm>
              <a:off x="7569198" y="5668435"/>
              <a:ext cx="659968" cy="29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tr-TR" sz="1100" b="0" i="0">
                                <a:latin typeface="Cambria Math" panose="02040503050406030204" pitchFamily="18" charset="0"/>
                              </a:rPr>
                              <m:t>max</m:t>
                            </m:r>
                          </m:e>
                          <m:lim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=1..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𝑆𝑛</m:t>
                            </m:r>
                          </m:lim>
                        </m:limLow>
                      </m:fName>
                      <m:e>
                        <m:d>
                          <m:dPr>
                            <m:begChr m:val="|"/>
                            <m:endChr m:val="|"/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func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12" name="Metin kutusu 11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 txBox="1"/>
          </xdr:nvSpPr>
          <xdr:spPr>
            <a:xfrm>
              <a:off x="7569198" y="5668435"/>
              <a:ext cx="659968" cy="29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tr-TR" sz="1100" b="0" i="0">
                  <a:latin typeface="Cambria Math" panose="02040503050406030204" pitchFamily="18" charset="0"/>
                </a:rPr>
                <a:t>max┬(𝑖=1..𝑆𝑛)⁡|𝑒_𝑖 |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20</xdr:col>
      <xdr:colOff>44448</xdr:colOff>
      <xdr:row>5</xdr:row>
      <xdr:rowOff>68790</xdr:rowOff>
    </xdr:from>
    <xdr:ext cx="556243" cy="2307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Metin kutusu 12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 txBox="1"/>
          </xdr:nvSpPr>
          <xdr:spPr>
            <a:xfrm>
              <a:off x="7600948" y="1681690"/>
              <a:ext cx="556243" cy="2307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tr-TR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tr-TR" sz="11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tr-TR" sz="1100" i="0">
                                <a:latin typeface="Cambria Math" panose="02040503050406030204" pitchFamily="18" charset="0"/>
                              </a:rPr>
                              <m:t>m</m:t>
                            </m:r>
                            <m:r>
                              <m:rPr>
                                <m:sty m:val="p"/>
                              </m:rPr>
                              <a:rPr lang="tr-TR" sz="1100" b="0" i="0">
                                <a:latin typeface="Cambria Math" panose="02040503050406030204" pitchFamily="18" charset="0"/>
                              </a:rPr>
                              <m:t>ea</m:t>
                            </m:r>
                            <m:r>
                              <m:rPr>
                                <m:sty m:val="p"/>
                              </m:rPr>
                              <a:rPr lang="tr-TR" sz="1100" i="0">
                                <a:latin typeface="Cambria Math" panose="02040503050406030204" pitchFamily="18" charset="0"/>
                              </a:rPr>
                              <m:t>n</m:t>
                            </m:r>
                          </m:e>
                          <m:lim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=1..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𝑆𝑛</m:t>
                            </m:r>
                          </m:lim>
                        </m:limLow>
                      </m:fName>
                      <m:e>
                        <m:sSubSup>
                          <m:sSubSupPr>
                            <m:ctrlPr>
                              <a:rPr lang="tr-T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b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func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13" name="Metin kutusu 12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 txBox="1"/>
          </xdr:nvSpPr>
          <xdr:spPr>
            <a:xfrm>
              <a:off x="7600948" y="1681690"/>
              <a:ext cx="556243" cy="2307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i="0">
                  <a:latin typeface="Cambria Math" panose="02040503050406030204" pitchFamily="18" charset="0"/>
                </a:rPr>
                <a:t>m</a:t>
              </a:r>
              <a:r>
                <a:rPr lang="tr-TR" sz="1100" b="0" i="0">
                  <a:latin typeface="Cambria Math" panose="02040503050406030204" pitchFamily="18" charset="0"/>
                </a:rPr>
                <a:t>ea</a:t>
              </a:r>
              <a:r>
                <a:rPr lang="tr-TR" sz="1100" i="0">
                  <a:latin typeface="Cambria Math" panose="02040503050406030204" pitchFamily="18" charset="0"/>
                </a:rPr>
                <a:t>n┬(</a:t>
              </a:r>
              <a:r>
                <a:rPr lang="tr-TR" sz="1100" b="0" i="0">
                  <a:latin typeface="Cambria Math" panose="02040503050406030204" pitchFamily="18" charset="0"/>
                </a:rPr>
                <a:t>𝑖=1..𝑆𝑛)⁡〖𝑒_𝑖^2 〗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20</xdr:col>
      <xdr:colOff>44448</xdr:colOff>
      <xdr:row>4</xdr:row>
      <xdr:rowOff>62441</xdr:rowOff>
    </xdr:from>
    <xdr:ext cx="523220" cy="2218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Metin kutusu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 txBox="1"/>
          </xdr:nvSpPr>
          <xdr:spPr>
            <a:xfrm>
              <a:off x="7600948" y="1307041"/>
              <a:ext cx="523220" cy="2218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tr-TR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tr-TR" sz="11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tr-TR" sz="1100" i="0">
                                <a:latin typeface="Cambria Math" panose="02040503050406030204" pitchFamily="18" charset="0"/>
                              </a:rPr>
                              <m:t>m</m:t>
                            </m:r>
                            <m:r>
                              <m:rPr>
                                <m:sty m:val="p"/>
                              </m:rPr>
                              <a:rPr lang="tr-TR" sz="1100" b="0" i="0">
                                <a:latin typeface="Cambria Math" panose="02040503050406030204" pitchFamily="18" charset="0"/>
                              </a:rPr>
                              <m:t>ea</m:t>
                            </m:r>
                            <m:r>
                              <m:rPr>
                                <m:sty m:val="p"/>
                              </m:rPr>
                              <a:rPr lang="tr-TR" sz="1100" i="0">
                                <a:latin typeface="Cambria Math" panose="02040503050406030204" pitchFamily="18" charset="0"/>
                              </a:rPr>
                              <m:t>n</m:t>
                            </m:r>
                          </m:e>
                          <m:lim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=1..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𝑆𝑛</m:t>
                            </m:r>
                          </m:lim>
                        </m:limLow>
                      </m:fName>
                      <m:e>
                        <m:sSub>
                          <m:sSubPr>
                            <m:ctrlPr>
                              <a:rPr lang="tr-T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b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func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14" name="Metin kutusu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 txBox="1"/>
          </xdr:nvSpPr>
          <xdr:spPr>
            <a:xfrm>
              <a:off x="7600948" y="1307041"/>
              <a:ext cx="523220" cy="2218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i="0">
                  <a:latin typeface="Cambria Math" panose="02040503050406030204" pitchFamily="18" charset="0"/>
                </a:rPr>
                <a:t>m</a:t>
              </a:r>
              <a:r>
                <a:rPr lang="tr-TR" sz="1100" b="0" i="0">
                  <a:latin typeface="Cambria Math" panose="02040503050406030204" pitchFamily="18" charset="0"/>
                </a:rPr>
                <a:t>ea</a:t>
              </a:r>
              <a:r>
                <a:rPr lang="tr-TR" sz="1100" i="0">
                  <a:latin typeface="Cambria Math" panose="02040503050406030204" pitchFamily="18" charset="0"/>
                </a:rPr>
                <a:t>n┬(</a:t>
              </a:r>
              <a:r>
                <a:rPr lang="tr-TR" sz="1100" b="0" i="0">
                  <a:latin typeface="Cambria Math" panose="02040503050406030204" pitchFamily="18" charset="0"/>
                </a:rPr>
                <a:t>𝑖=1..𝑆𝑛)⁡〖𝑒_𝑖 〗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20</xdr:col>
      <xdr:colOff>15873</xdr:colOff>
      <xdr:row>6</xdr:row>
      <xdr:rowOff>16932</xdr:rowOff>
    </xdr:from>
    <xdr:ext cx="662104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Metin kutusu 1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 txBox="1"/>
          </xdr:nvSpPr>
          <xdr:spPr>
            <a:xfrm>
              <a:off x="7569198" y="1998132"/>
              <a:ext cx="66210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tr-T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unc>
                          <m:funcPr>
                            <m:ctrlPr>
                              <a:rPr lang="tr-TR" sz="110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limLow>
                              <m:limLowPr>
                                <m:ctrlPr>
                                  <a:rPr lang="tr-TR" sz="1100" i="1">
                                    <a:latin typeface="Cambria Math" panose="02040503050406030204" pitchFamily="18" charset="0"/>
                                  </a:rPr>
                                </m:ctrlPr>
                              </m:limLowPr>
                              <m:e>
                                <m:r>
                                  <m:rPr>
                                    <m:sty m:val="p"/>
                                  </m:rPr>
                                  <a:rPr lang="tr-TR" sz="1100" i="0">
                                    <a:latin typeface="Cambria Math" panose="02040503050406030204" pitchFamily="18" charset="0"/>
                                  </a:rPr>
                                  <m:t>m</m:t>
                                </m:r>
                                <m:r>
                                  <m:rPr>
                                    <m:sty m:val="p"/>
                                  </m:rPr>
                                  <a:rPr lang="tr-TR" sz="1100" b="0" i="0">
                                    <a:latin typeface="Cambria Math" panose="02040503050406030204" pitchFamily="18" charset="0"/>
                                  </a:rPr>
                                  <m:t>ea</m:t>
                                </m:r>
                                <m:r>
                                  <m:rPr>
                                    <m:sty m:val="p"/>
                                  </m:rPr>
                                  <a:rPr lang="tr-TR" sz="1100" i="0">
                                    <a:latin typeface="Cambria Math" panose="02040503050406030204" pitchFamily="18" charset="0"/>
                                  </a:rPr>
                                  <m:t>n</m:t>
                                </m:r>
                              </m:e>
                              <m:lim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=1..</m:t>
                                </m:r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𝑆𝑛</m:t>
                                </m:r>
                              </m:lim>
                            </m:limLow>
                          </m:fName>
                          <m:e>
                            <m:sSubSup>
                              <m:sSubSupPr>
                                <m:ctrlPr>
                                  <a:rPr lang="tr-TR" sz="110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func>
                      </m:e>
                    </m:rad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15" name="Metin kutusu 1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 txBox="1"/>
          </xdr:nvSpPr>
          <xdr:spPr>
            <a:xfrm>
              <a:off x="7569198" y="1998132"/>
              <a:ext cx="66210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i="0">
                  <a:latin typeface="Cambria Math" panose="02040503050406030204" pitchFamily="18" charset="0"/>
                </a:rPr>
                <a:t>√(m</a:t>
              </a:r>
              <a:r>
                <a:rPr lang="tr-TR" sz="1100" b="0" i="0">
                  <a:latin typeface="Cambria Math" panose="02040503050406030204" pitchFamily="18" charset="0"/>
                </a:rPr>
                <a:t>ea</a:t>
              </a:r>
              <a:r>
                <a:rPr lang="tr-TR" sz="1100" i="0">
                  <a:latin typeface="Cambria Math" panose="02040503050406030204" pitchFamily="18" charset="0"/>
                </a:rPr>
                <a:t>n┬(</a:t>
              </a:r>
              <a:r>
                <a:rPr lang="tr-TR" sz="1100" b="0" i="0">
                  <a:latin typeface="Cambria Math" panose="02040503050406030204" pitchFamily="18" charset="0"/>
                </a:rPr>
                <a:t>𝑖=1..𝑆𝑛)⁡〖𝑒_𝑖^2 〗 )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20</xdr:col>
      <xdr:colOff>44448</xdr:colOff>
      <xdr:row>7</xdr:row>
      <xdr:rowOff>83606</xdr:rowOff>
    </xdr:from>
    <xdr:ext cx="665631" cy="2307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Metin kutusu 15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 txBox="1"/>
          </xdr:nvSpPr>
          <xdr:spPr>
            <a:xfrm>
              <a:off x="7600948" y="4274606"/>
              <a:ext cx="665631" cy="2307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tr-TR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tr-TR" sz="11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tr-TR" sz="1100" i="0">
                                <a:latin typeface="Cambria Math" panose="02040503050406030204" pitchFamily="18" charset="0"/>
                              </a:rPr>
                              <m:t>m</m:t>
                            </m:r>
                            <m:r>
                              <m:rPr>
                                <m:sty m:val="p"/>
                              </m:rPr>
                              <a:rPr lang="tr-TR" sz="1100" b="0" i="0">
                                <a:latin typeface="Cambria Math" panose="02040503050406030204" pitchFamily="18" charset="0"/>
                              </a:rPr>
                              <m:t>edia</m:t>
                            </m:r>
                            <m:r>
                              <m:rPr>
                                <m:sty m:val="p"/>
                              </m:rPr>
                              <a:rPr lang="tr-TR" sz="1100" i="0">
                                <a:latin typeface="Cambria Math" panose="02040503050406030204" pitchFamily="18" charset="0"/>
                              </a:rPr>
                              <m:t>n</m:t>
                            </m:r>
                          </m:e>
                          <m:lim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=1..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𝑆𝑛</m:t>
                            </m:r>
                          </m:lim>
                        </m:limLow>
                      </m:fName>
                      <m:e>
                        <m:sSubSup>
                          <m:sSubSupPr>
                            <m:ctrlPr>
                              <a:rPr lang="tr-T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b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func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16" name="Metin kutusu 15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 txBox="1"/>
          </xdr:nvSpPr>
          <xdr:spPr>
            <a:xfrm>
              <a:off x="7600948" y="4274606"/>
              <a:ext cx="665631" cy="2307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i="0">
                  <a:latin typeface="Cambria Math" panose="02040503050406030204" pitchFamily="18" charset="0"/>
                </a:rPr>
                <a:t>m</a:t>
              </a:r>
              <a:r>
                <a:rPr lang="tr-TR" sz="1100" b="0" i="0">
                  <a:latin typeface="Cambria Math" panose="02040503050406030204" pitchFamily="18" charset="0"/>
                </a:rPr>
                <a:t>edia</a:t>
              </a:r>
              <a:r>
                <a:rPr lang="tr-TR" sz="1100" i="0">
                  <a:latin typeface="Cambria Math" panose="02040503050406030204" pitchFamily="18" charset="0"/>
                </a:rPr>
                <a:t>n┬(</a:t>
              </a:r>
              <a:r>
                <a:rPr lang="tr-TR" sz="1100" b="0" i="0">
                  <a:latin typeface="Cambria Math" panose="02040503050406030204" pitchFamily="18" charset="0"/>
                </a:rPr>
                <a:t>𝑖=1..𝑆𝑛)⁡〖𝑒_𝑖^2 〗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20</xdr:col>
      <xdr:colOff>44448</xdr:colOff>
      <xdr:row>8</xdr:row>
      <xdr:rowOff>76200</xdr:rowOff>
    </xdr:from>
    <xdr:ext cx="556243" cy="2307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Metin kutusu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 txBox="1"/>
          </xdr:nvSpPr>
          <xdr:spPr>
            <a:xfrm>
              <a:off x="7600948" y="4635500"/>
              <a:ext cx="556243" cy="2307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tr-TR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tr-TR" sz="11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tr-TR" sz="1100" i="0">
                                <a:latin typeface="Cambria Math" panose="02040503050406030204" pitchFamily="18" charset="0"/>
                              </a:rPr>
                              <m:t>s</m:t>
                            </m:r>
                            <m:r>
                              <m:rPr>
                                <m:sty m:val="p"/>
                              </m:rPr>
                              <a:rPr lang="tr-TR" sz="1100" b="0" i="0">
                                <a:latin typeface="Cambria Math" panose="02040503050406030204" pitchFamily="18" charset="0"/>
                              </a:rPr>
                              <m:t>um</m:t>
                            </m:r>
                          </m:e>
                          <m:lim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=1..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𝑆𝑛</m:t>
                            </m:r>
                          </m:lim>
                        </m:limLow>
                      </m:fName>
                      <m:e>
                        <m:sSubSup>
                          <m:sSubSupPr>
                            <m:ctrlPr>
                              <a:rPr lang="tr-T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b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func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17" name="Metin kutusu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 txBox="1"/>
          </xdr:nvSpPr>
          <xdr:spPr>
            <a:xfrm>
              <a:off x="7600948" y="4635500"/>
              <a:ext cx="556243" cy="2307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i="0">
                  <a:latin typeface="Cambria Math" panose="02040503050406030204" pitchFamily="18" charset="0"/>
                </a:rPr>
                <a:t>s</a:t>
              </a:r>
              <a:r>
                <a:rPr lang="tr-TR" sz="1100" b="0" i="0">
                  <a:latin typeface="Cambria Math" panose="02040503050406030204" pitchFamily="18" charset="0"/>
                </a:rPr>
                <a:t>um┬(𝑖=1..𝑆𝑛)⁡〖𝑒_𝑖^2 〗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4</xdr:col>
      <xdr:colOff>920749</xdr:colOff>
      <xdr:row>1</xdr:row>
      <xdr:rowOff>26557</xdr:rowOff>
    </xdr:from>
    <xdr:ext cx="725776" cy="2231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Metin kutusu 17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 txBox="1"/>
          </xdr:nvSpPr>
          <xdr:spPr>
            <a:xfrm>
              <a:off x="3371849" y="255157"/>
              <a:ext cx="725776" cy="2231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%</m:t>
                        </m:r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tr-T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type m:val="skw"/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b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18" name="Metin kutusu 17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 txBox="1"/>
          </xdr:nvSpPr>
          <xdr:spPr>
            <a:xfrm>
              <a:off x="3371849" y="255157"/>
              <a:ext cx="725776" cy="2231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latin typeface="Cambria Math" panose="02040503050406030204" pitchFamily="18" charset="0"/>
                </a:rPr>
                <a:t>〖%𝑒〗_𝑖=𝑒_𝑖⁄𝑐_𝑖 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20</xdr:col>
      <xdr:colOff>44448</xdr:colOff>
      <xdr:row>24</xdr:row>
      <xdr:rowOff>44451</xdr:rowOff>
    </xdr:from>
    <xdr:ext cx="749776" cy="29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Metin kutusu 27">
              <a:extLst>
                <a:ext uri="{FF2B5EF4-FFF2-40B4-BE49-F238E27FC236}">
                  <a16:creationId xmlns:a16="http://schemas.microsoft.com/office/drawing/2014/main" id="{00000000-0008-0000-0300-00001C000000}"/>
                </a:ext>
              </a:extLst>
            </xdr:cNvPr>
            <xdr:cNvSpPr txBox="1"/>
          </xdr:nvSpPr>
          <xdr:spPr>
            <a:xfrm>
              <a:off x="7600948" y="6813551"/>
              <a:ext cx="749776" cy="29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tr-TR" sz="1100" b="0" i="0">
                                <a:latin typeface="Cambria Math" panose="02040503050406030204" pitchFamily="18" charset="0"/>
                              </a:rPr>
                              <m:t>mean</m:t>
                            </m:r>
                          </m:e>
                          <m:lim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=1..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𝑆𝑛</m:t>
                            </m:r>
                          </m:lim>
                        </m:limLow>
                      </m:fName>
                      <m:e>
                        <m:d>
                          <m:dPr>
                            <m:begChr m:val="|"/>
                            <m:endChr m:val="|"/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%</m:t>
                                </m:r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func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28" name="Metin kutusu 27">
              <a:extLst>
                <a:ext uri="{FF2B5EF4-FFF2-40B4-BE49-F238E27FC236}">
                  <a16:creationId xmlns:a16="http://schemas.microsoft.com/office/drawing/2014/main" id="{00000000-0008-0000-0300-00001C000000}"/>
                </a:ext>
              </a:extLst>
            </xdr:cNvPr>
            <xdr:cNvSpPr txBox="1"/>
          </xdr:nvSpPr>
          <xdr:spPr>
            <a:xfrm>
              <a:off x="7600948" y="6813551"/>
              <a:ext cx="749776" cy="29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tr-TR" sz="1100" b="0" i="0">
                  <a:latin typeface="Cambria Math" panose="02040503050406030204" pitchFamily="18" charset="0"/>
                </a:rPr>
                <a:t>mean┬(𝑖=1..𝑆𝑛)⁡|〖%𝑒〗_𝑖 |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20</xdr:col>
      <xdr:colOff>44448</xdr:colOff>
      <xdr:row>25</xdr:row>
      <xdr:rowOff>52918</xdr:rowOff>
    </xdr:from>
    <xdr:ext cx="855975" cy="29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Metin kutusu 28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SpPr txBox="1"/>
          </xdr:nvSpPr>
          <xdr:spPr>
            <a:xfrm>
              <a:off x="7600948" y="7190318"/>
              <a:ext cx="855975" cy="29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tr-TR" sz="1100" b="0" i="0">
                                <a:latin typeface="Cambria Math" panose="02040503050406030204" pitchFamily="18" charset="0"/>
                              </a:rPr>
                              <m:t>median</m:t>
                            </m:r>
                          </m:e>
                          <m:lim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=1..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𝑆𝑛</m:t>
                            </m:r>
                          </m:lim>
                        </m:limLow>
                      </m:fName>
                      <m:e>
                        <m:d>
                          <m:dPr>
                            <m:begChr m:val="|"/>
                            <m:endChr m:val="|"/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%</m:t>
                                </m:r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func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29" name="Metin kutusu 28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SpPr txBox="1"/>
          </xdr:nvSpPr>
          <xdr:spPr>
            <a:xfrm>
              <a:off x="7600948" y="7190318"/>
              <a:ext cx="855975" cy="29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tr-TR" sz="1100" b="0" i="0">
                  <a:latin typeface="Cambria Math" panose="02040503050406030204" pitchFamily="18" charset="0"/>
                </a:rPr>
                <a:t>median┬(𝑖=1..𝑆𝑛)⁡|〖%𝑒〗_𝑖 |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20</xdr:col>
      <xdr:colOff>15873</xdr:colOff>
      <xdr:row>26</xdr:row>
      <xdr:rowOff>52918</xdr:rowOff>
    </xdr:from>
    <xdr:ext cx="787588" cy="3598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Metin kutusu 29">
              <a:extLst>
                <a:ext uri="{FF2B5EF4-FFF2-40B4-BE49-F238E27FC236}">
                  <a16:creationId xmlns:a16="http://schemas.microsoft.com/office/drawing/2014/main" id="{00000000-0008-0000-0300-00001E000000}"/>
                </a:ext>
              </a:extLst>
            </xdr:cNvPr>
            <xdr:cNvSpPr txBox="1"/>
          </xdr:nvSpPr>
          <xdr:spPr>
            <a:xfrm>
              <a:off x="7569198" y="8920693"/>
              <a:ext cx="787588" cy="3598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tr-T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unc>
                          <m:funcPr>
                            <m:ctrlPr>
                              <a:rPr lang="tr-TR" sz="110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limLow>
                              <m:limLowPr>
                                <m:ctrlPr>
                                  <a:rPr lang="tr-TR" sz="1100" i="1">
                                    <a:latin typeface="Cambria Math" panose="02040503050406030204" pitchFamily="18" charset="0"/>
                                  </a:rPr>
                                </m:ctrlPr>
                              </m:limLowPr>
                              <m:e>
                                <m:r>
                                  <m:rPr>
                                    <m:sty m:val="p"/>
                                  </m:rPr>
                                  <a:rPr lang="tr-TR" sz="1100" i="0">
                                    <a:latin typeface="Cambria Math" panose="02040503050406030204" pitchFamily="18" charset="0"/>
                                  </a:rPr>
                                  <m:t>m</m:t>
                                </m:r>
                                <m:r>
                                  <m:rPr>
                                    <m:sty m:val="p"/>
                                  </m:rPr>
                                  <a:rPr lang="tr-TR" sz="1100" b="0" i="0">
                                    <a:latin typeface="Cambria Math" panose="02040503050406030204" pitchFamily="18" charset="0"/>
                                  </a:rPr>
                                  <m:t>ea</m:t>
                                </m:r>
                                <m:r>
                                  <m:rPr>
                                    <m:sty m:val="p"/>
                                  </m:rPr>
                                  <a:rPr lang="tr-TR" sz="1100" i="0">
                                    <a:latin typeface="Cambria Math" panose="02040503050406030204" pitchFamily="18" charset="0"/>
                                  </a:rPr>
                                  <m:t>n</m:t>
                                </m:r>
                              </m:e>
                              <m:lim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=1..</m:t>
                                </m:r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𝑆𝑛</m:t>
                                </m:r>
                              </m:lim>
                            </m:limLow>
                          </m:fName>
                          <m:e>
                            <m:sSubSup>
                              <m:sSubSupPr>
                                <m:ctrlPr>
                                  <a:rPr lang="tr-TR" sz="110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%</m:t>
                                </m:r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func>
                      </m:e>
                    </m:rad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30" name="Metin kutusu 29">
              <a:extLst>
                <a:ext uri="{FF2B5EF4-FFF2-40B4-BE49-F238E27FC236}">
                  <a16:creationId xmlns:a16="http://schemas.microsoft.com/office/drawing/2014/main" id="{00000000-0008-0000-0300-00001E000000}"/>
                </a:ext>
              </a:extLst>
            </xdr:cNvPr>
            <xdr:cNvSpPr txBox="1"/>
          </xdr:nvSpPr>
          <xdr:spPr>
            <a:xfrm>
              <a:off x="7569198" y="8920693"/>
              <a:ext cx="787588" cy="3598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tr-TR" sz="1100" i="0">
                  <a:latin typeface="Cambria Math" panose="02040503050406030204" pitchFamily="18" charset="0"/>
                </a:rPr>
                <a:t>√(m</a:t>
              </a:r>
              <a:r>
                <a:rPr lang="tr-TR" sz="1100" b="0" i="0">
                  <a:latin typeface="Cambria Math" panose="02040503050406030204" pitchFamily="18" charset="0"/>
                </a:rPr>
                <a:t>ea</a:t>
              </a:r>
              <a:r>
                <a:rPr lang="tr-TR" sz="1100" i="0">
                  <a:latin typeface="Cambria Math" panose="02040503050406030204" pitchFamily="18" charset="0"/>
                </a:rPr>
                <a:t>n┬(</a:t>
              </a:r>
              <a:r>
                <a:rPr lang="tr-TR" sz="1100" b="0" i="0">
                  <a:latin typeface="Cambria Math" panose="02040503050406030204" pitchFamily="18" charset="0"/>
                </a:rPr>
                <a:t>𝑖=1..𝑆𝑛)⁡〖〖%𝑒〗_𝑖^2 〗 )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20</xdr:col>
      <xdr:colOff>15873</xdr:colOff>
      <xdr:row>27</xdr:row>
      <xdr:rowOff>61383</xdr:rowOff>
    </xdr:from>
    <xdr:ext cx="896977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Metin kutusu 32">
              <a:extLs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SpPr txBox="1"/>
          </xdr:nvSpPr>
          <xdr:spPr>
            <a:xfrm>
              <a:off x="7569198" y="9376833"/>
              <a:ext cx="89697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tr-T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unc>
                          <m:funcPr>
                            <m:ctrlPr>
                              <a:rPr lang="tr-TR" sz="110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limLow>
                              <m:limLowPr>
                                <m:ctrlPr>
                                  <a:rPr lang="tr-TR" sz="1100" i="1">
                                    <a:latin typeface="Cambria Math" panose="02040503050406030204" pitchFamily="18" charset="0"/>
                                  </a:rPr>
                                </m:ctrlPr>
                              </m:limLowPr>
                              <m:e>
                                <m:r>
                                  <m:rPr>
                                    <m:sty m:val="p"/>
                                  </m:rPr>
                                  <a:rPr lang="tr-TR" sz="1100" i="0">
                                    <a:latin typeface="Cambria Math" panose="02040503050406030204" pitchFamily="18" charset="0"/>
                                  </a:rPr>
                                  <m:t>m</m:t>
                                </m:r>
                                <m:r>
                                  <m:rPr>
                                    <m:sty m:val="p"/>
                                  </m:rPr>
                                  <a:rPr lang="tr-TR" sz="1100" b="0" i="0">
                                    <a:latin typeface="Cambria Math" panose="02040503050406030204" pitchFamily="18" charset="0"/>
                                  </a:rPr>
                                  <m:t>edia</m:t>
                                </m:r>
                                <m:r>
                                  <m:rPr>
                                    <m:sty m:val="p"/>
                                  </m:rPr>
                                  <a:rPr lang="tr-TR" sz="1100" i="0">
                                    <a:latin typeface="Cambria Math" panose="02040503050406030204" pitchFamily="18" charset="0"/>
                                  </a:rPr>
                                  <m:t>n</m:t>
                                </m:r>
                              </m:e>
                              <m:lim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=1..</m:t>
                                </m:r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𝑆𝑛</m:t>
                                </m:r>
                              </m:lim>
                            </m:limLow>
                          </m:fName>
                          <m:e>
                            <m:sSubSup>
                              <m:sSubSupPr>
                                <m:ctrlPr>
                                  <a:rPr lang="tr-TR" sz="110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%</m:t>
                                </m:r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func>
                      </m:e>
                    </m:rad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33" name="Metin kutusu 32">
              <a:extLs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SpPr txBox="1"/>
          </xdr:nvSpPr>
          <xdr:spPr>
            <a:xfrm>
              <a:off x="7569198" y="9376833"/>
              <a:ext cx="89697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i="0">
                  <a:latin typeface="Cambria Math" panose="02040503050406030204" pitchFamily="18" charset="0"/>
                </a:rPr>
                <a:t>√(m</a:t>
              </a:r>
              <a:r>
                <a:rPr lang="tr-TR" sz="1100" b="0" i="0">
                  <a:latin typeface="Cambria Math" panose="02040503050406030204" pitchFamily="18" charset="0"/>
                </a:rPr>
                <a:t>edia</a:t>
              </a:r>
              <a:r>
                <a:rPr lang="tr-TR" sz="1100" i="0">
                  <a:latin typeface="Cambria Math" panose="02040503050406030204" pitchFamily="18" charset="0"/>
                </a:rPr>
                <a:t>n┬(</a:t>
              </a:r>
              <a:r>
                <a:rPr lang="tr-TR" sz="1100" b="0" i="0">
                  <a:latin typeface="Cambria Math" panose="02040503050406030204" pitchFamily="18" charset="0"/>
                </a:rPr>
                <a:t>𝑖=1..𝑆𝑛)⁡〖〖%𝑒〗_𝑖^2 〗 )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20</xdr:col>
      <xdr:colOff>44448</xdr:colOff>
      <xdr:row>23</xdr:row>
      <xdr:rowOff>51858</xdr:rowOff>
    </xdr:from>
    <xdr:ext cx="648704" cy="2218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Metin kutusu 33">
              <a:extLst>
                <a:ext uri="{FF2B5EF4-FFF2-40B4-BE49-F238E27FC236}">
                  <a16:creationId xmlns:a16="http://schemas.microsoft.com/office/drawing/2014/main" id="{00000000-0008-0000-0300-000022000000}"/>
                </a:ext>
              </a:extLst>
            </xdr:cNvPr>
            <xdr:cNvSpPr txBox="1"/>
          </xdr:nvSpPr>
          <xdr:spPr>
            <a:xfrm>
              <a:off x="7600948" y="6452658"/>
              <a:ext cx="648704" cy="2218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tr-TR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tr-TR" sz="11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tr-TR" sz="1100" i="0">
                                <a:latin typeface="Cambria Math" panose="02040503050406030204" pitchFamily="18" charset="0"/>
                              </a:rPr>
                              <m:t>m</m:t>
                            </m:r>
                            <m:r>
                              <m:rPr>
                                <m:sty m:val="p"/>
                              </m:rPr>
                              <a:rPr lang="tr-TR" sz="1100" b="0" i="0">
                                <a:latin typeface="Cambria Math" panose="02040503050406030204" pitchFamily="18" charset="0"/>
                              </a:rPr>
                              <m:t>ea</m:t>
                            </m:r>
                            <m:r>
                              <m:rPr>
                                <m:sty m:val="p"/>
                              </m:rPr>
                              <a:rPr lang="tr-TR" sz="1100" i="0">
                                <a:latin typeface="Cambria Math" panose="02040503050406030204" pitchFamily="18" charset="0"/>
                              </a:rPr>
                              <m:t>n</m:t>
                            </m:r>
                          </m:e>
                          <m:lim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=1..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𝑆𝑛</m:t>
                            </m:r>
                          </m:lim>
                        </m:limLow>
                      </m:fName>
                      <m:e>
                        <m:sSub>
                          <m:sSubPr>
                            <m:ctrlPr>
                              <a:rPr lang="tr-T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%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b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func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34" name="Metin kutusu 33">
              <a:extLst>
                <a:ext uri="{FF2B5EF4-FFF2-40B4-BE49-F238E27FC236}">
                  <a16:creationId xmlns:a16="http://schemas.microsoft.com/office/drawing/2014/main" id="{00000000-0008-0000-0300-000022000000}"/>
                </a:ext>
              </a:extLst>
            </xdr:cNvPr>
            <xdr:cNvSpPr txBox="1"/>
          </xdr:nvSpPr>
          <xdr:spPr>
            <a:xfrm>
              <a:off x="7600948" y="6452658"/>
              <a:ext cx="648704" cy="2218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i="0">
                  <a:latin typeface="Cambria Math" panose="02040503050406030204" pitchFamily="18" charset="0"/>
                </a:rPr>
                <a:t>m</a:t>
              </a:r>
              <a:r>
                <a:rPr lang="tr-TR" sz="1100" b="0" i="0">
                  <a:latin typeface="Cambria Math" panose="02040503050406030204" pitchFamily="18" charset="0"/>
                </a:rPr>
                <a:t>ea</a:t>
              </a:r>
              <a:r>
                <a:rPr lang="tr-TR" sz="1100" i="0">
                  <a:latin typeface="Cambria Math" panose="02040503050406030204" pitchFamily="18" charset="0"/>
                </a:rPr>
                <a:t>n┬(</a:t>
              </a:r>
              <a:r>
                <a:rPr lang="tr-TR" sz="1100" b="0" i="0">
                  <a:latin typeface="Cambria Math" panose="02040503050406030204" pitchFamily="18" charset="0"/>
                </a:rPr>
                <a:t>𝑖=1..𝑆𝑛)⁡〖〖%𝑒〗_𝑖 〗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4</xdr:col>
      <xdr:colOff>75142</xdr:colOff>
      <xdr:row>3</xdr:row>
      <xdr:rowOff>27207</xdr:rowOff>
    </xdr:from>
    <xdr:ext cx="1463670" cy="3450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Metin kutusu 34">
              <a:extLst>
                <a:ext uri="{FF2B5EF4-FFF2-40B4-BE49-F238E27FC236}">
                  <a16:creationId xmlns:a16="http://schemas.microsoft.com/office/drawing/2014/main" id="{00000000-0008-0000-0300-000023000000}"/>
                </a:ext>
              </a:extLst>
            </xdr:cNvPr>
            <xdr:cNvSpPr txBox="1"/>
          </xdr:nvSpPr>
          <xdr:spPr>
            <a:xfrm>
              <a:off x="2526242" y="890807"/>
              <a:ext cx="1463670" cy="3450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𝑠𝑦𝑚</m:t>
                        </m:r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_%</m:t>
                        </m:r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tr-T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type m:val="skw"/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b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f>
                          <m:fPr>
                            <m:type m:val="skw"/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e>
                              <m:sub>
                                <m: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num>
                          <m:den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35" name="Metin kutusu 34">
              <a:extLst>
                <a:ext uri="{FF2B5EF4-FFF2-40B4-BE49-F238E27FC236}">
                  <a16:creationId xmlns:a16="http://schemas.microsoft.com/office/drawing/2014/main" id="{00000000-0008-0000-0300-000023000000}"/>
                </a:ext>
              </a:extLst>
            </xdr:cNvPr>
            <xdr:cNvSpPr txBox="1"/>
          </xdr:nvSpPr>
          <xdr:spPr>
            <a:xfrm>
              <a:off x="2526242" y="890807"/>
              <a:ext cx="1463670" cy="3450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latin typeface="Cambria Math" panose="02040503050406030204" pitchFamily="18" charset="0"/>
                </a:rPr>
                <a:t>〖𝑠𝑦𝑚_%𝑒〗_𝑖=𝑒_𝑖⁄((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𝑐_𝑖+𝑝_𝑖)⁄</a:t>
              </a:r>
              <a:r>
                <a:rPr lang="tr-TR" sz="1100" b="0" i="0">
                  <a:latin typeface="Cambria Math" panose="02040503050406030204" pitchFamily="18" charset="0"/>
                </a:rPr>
                <a:t>2)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20</xdr:col>
      <xdr:colOff>44448</xdr:colOff>
      <xdr:row>29</xdr:row>
      <xdr:rowOff>44451</xdr:rowOff>
    </xdr:from>
    <xdr:ext cx="993193" cy="3746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Metin kutusu 35">
              <a:extLst>
                <a:ext uri="{FF2B5EF4-FFF2-40B4-BE49-F238E27FC236}">
                  <a16:creationId xmlns:a16="http://schemas.microsoft.com/office/drawing/2014/main" id="{00000000-0008-0000-0300-000024000000}"/>
                </a:ext>
              </a:extLst>
            </xdr:cNvPr>
            <xdr:cNvSpPr txBox="1"/>
          </xdr:nvSpPr>
          <xdr:spPr>
            <a:xfrm>
              <a:off x="10436223" y="10255251"/>
              <a:ext cx="993193" cy="3746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tr-TR" sz="1100" b="0" i="0">
                                <a:latin typeface="Cambria Math" panose="02040503050406030204" pitchFamily="18" charset="0"/>
                              </a:rPr>
                              <m:t>mean</m:t>
                            </m:r>
                          </m:e>
                          <m:lim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=1..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𝑆𝑛</m:t>
                            </m:r>
                          </m:lim>
                        </m:limLow>
                      </m:fName>
                      <m:e>
                        <m:d>
                          <m:dPr>
                            <m:begChr m:val="|"/>
                            <m:endChr m:val="|"/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tr-T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tr-T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𝑠𝑦𝑚</m:t>
                                    </m:r>
                                    <m:r>
                                      <a:rPr lang="tr-T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_%</m:t>
                                    </m:r>
                                    <m:r>
                                      <a:rPr lang="tr-T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</m:e>
                                  <m:sub>
                                    <m:r>
                                      <a:rPr lang="tr-T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</m:e>
                    </m:func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36" name="Metin kutusu 35">
              <a:extLst>
                <a:ext uri="{FF2B5EF4-FFF2-40B4-BE49-F238E27FC236}">
                  <a16:creationId xmlns:a16="http://schemas.microsoft.com/office/drawing/2014/main" id="{00000000-0008-0000-0300-000024000000}"/>
                </a:ext>
              </a:extLst>
            </xdr:cNvPr>
            <xdr:cNvSpPr txBox="1"/>
          </xdr:nvSpPr>
          <xdr:spPr>
            <a:xfrm>
              <a:off x="10436223" y="10255251"/>
              <a:ext cx="993193" cy="3746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tr-TR" sz="1100" b="0" i="0">
                  <a:latin typeface="Cambria Math" panose="02040503050406030204" pitchFamily="18" charset="0"/>
                </a:rPr>
                <a:t>mean┬(𝑖=1..𝑆𝑛)⁡|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𝑠𝑦𝑚_%𝑒〗_𝑖/2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4</xdr:col>
      <xdr:colOff>1074309</xdr:colOff>
      <xdr:row>2</xdr:row>
      <xdr:rowOff>47140</xdr:rowOff>
    </xdr:from>
    <xdr:ext cx="1703916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Metin kutusu 38">
              <a:extLs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:cNvPr>
            <xdr:cNvSpPr txBox="1"/>
          </xdr:nvSpPr>
          <xdr:spPr>
            <a:xfrm>
              <a:off x="3525409" y="504340"/>
              <a:ext cx="1703916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𝑠𝑐𝑎</m:t>
                        </m:r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tr-T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type m:val="skw"/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b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func>
                          <m:funcPr>
                            <m:ctrlPr>
                              <a:rPr lang="tr-TR" sz="110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limLow>
                              <m:limLowPr>
                                <m:ctrlPr>
                                  <a:rPr lang="tr-TR" sz="1100" i="1">
                                    <a:latin typeface="Cambria Math" panose="02040503050406030204" pitchFamily="18" charset="0"/>
                                  </a:rPr>
                                </m:ctrlPr>
                              </m:limLowPr>
                              <m:e>
                                <m:r>
                                  <m:rPr>
                                    <m:sty m:val="p"/>
                                  </m:rPr>
                                  <a:rPr lang="tr-TR" sz="1100" i="0">
                                    <a:latin typeface="Cambria Math" panose="02040503050406030204" pitchFamily="18" charset="0"/>
                                  </a:rPr>
                                  <m:t>m</m:t>
                                </m:r>
                                <m:r>
                                  <m:rPr>
                                    <m:sty m:val="p"/>
                                  </m:rPr>
                                  <a:rPr lang="tr-TR" sz="1100" b="0" i="0">
                                    <a:latin typeface="Cambria Math" panose="02040503050406030204" pitchFamily="18" charset="0"/>
                                  </a:rPr>
                                  <m:t>ea</m:t>
                                </m:r>
                                <m:r>
                                  <m:rPr>
                                    <m:sty m:val="p"/>
                                  </m:rPr>
                                  <a:rPr lang="tr-TR" sz="1100" i="0">
                                    <a:latin typeface="Cambria Math" panose="02040503050406030204" pitchFamily="18" charset="0"/>
                                  </a:rPr>
                                  <m:t>n</m:t>
                                </m:r>
                              </m:e>
                              <m:lim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=2..</m:t>
                                </m:r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𝑆𝑛</m:t>
                                </m:r>
                              </m:lim>
                            </m:limLow>
                          </m:fName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tr-TR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tr-TR" sz="1100" b="0" i="1">
                                        <a:latin typeface="Cambria Math" panose="02040503050406030204" pitchFamily="18" charset="0"/>
                                      </a:rPr>
                                      <m:t>𝑐</m:t>
                                    </m:r>
                                  </m:e>
                                  <m:sub>
                                    <m:r>
                                      <a:rPr lang="tr-TR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tr-TR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tr-TR" sz="1100" b="0" i="1">
                                        <a:latin typeface="Cambria Math" panose="02040503050406030204" pitchFamily="18" charset="0"/>
                                      </a:rPr>
                                      <m:t>𝑐</m:t>
                                    </m:r>
                                  </m:e>
                                  <m:sub>
                                    <m:r>
                                      <a:rPr lang="tr-TR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tr-TR" sz="1100" b="0" i="1">
                                        <a:latin typeface="Cambria Math" panose="02040503050406030204" pitchFamily="18" charset="0"/>
                                      </a:rPr>
                                      <m:t>−1</m:t>
                                    </m:r>
                                  </m:sub>
                                </m:sSub>
                              </m:e>
                            </m:d>
                          </m:e>
                        </m:func>
                      </m:den>
                    </m:f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39" name="Metin kutusu 38">
              <a:extLs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:cNvPr>
            <xdr:cNvSpPr txBox="1"/>
          </xdr:nvSpPr>
          <xdr:spPr>
            <a:xfrm>
              <a:off x="3525409" y="504340"/>
              <a:ext cx="1703916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latin typeface="Cambria Math" panose="02040503050406030204" pitchFamily="18" charset="0"/>
                </a:rPr>
                <a:t>〖𝑠𝑐𝑎_𝑒〗_𝑖=𝑒_𝑖⁄</a:t>
              </a:r>
              <a:r>
                <a:rPr lang="tr-TR" sz="1100" i="0">
                  <a:latin typeface="Cambria Math" panose="02040503050406030204" pitchFamily="18" charset="0"/>
                </a:rPr>
                <a:t>m</a:t>
              </a:r>
              <a:r>
                <a:rPr lang="tr-TR" sz="1100" b="0" i="0">
                  <a:latin typeface="Cambria Math" panose="02040503050406030204" pitchFamily="18" charset="0"/>
                </a:rPr>
                <a:t>ea</a:t>
              </a:r>
              <a:r>
                <a:rPr lang="tr-TR" sz="1100" i="0">
                  <a:latin typeface="Cambria Math" panose="02040503050406030204" pitchFamily="18" charset="0"/>
                </a:rPr>
                <a:t>n┬(</a:t>
              </a:r>
              <a:r>
                <a:rPr lang="tr-TR" sz="1100" b="0" i="0">
                  <a:latin typeface="Cambria Math" panose="02040503050406030204" pitchFamily="18" charset="0"/>
                </a:rPr>
                <a:t>𝑖=2..𝑆𝑛)⁡|𝑐_𝑖−𝑐_(𝑖−1) | 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20</xdr:col>
      <xdr:colOff>44448</xdr:colOff>
      <xdr:row>31</xdr:row>
      <xdr:rowOff>62441</xdr:rowOff>
    </xdr:from>
    <xdr:ext cx="787780" cy="2218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Metin kutusu 39">
              <a:extLst>
                <a:ext uri="{FF2B5EF4-FFF2-40B4-BE49-F238E27FC236}">
                  <a16:creationId xmlns:a16="http://schemas.microsoft.com/office/drawing/2014/main" id="{00000000-0008-0000-0300-000028000000}"/>
                </a:ext>
              </a:extLst>
            </xdr:cNvPr>
            <xdr:cNvSpPr txBox="1"/>
          </xdr:nvSpPr>
          <xdr:spPr>
            <a:xfrm>
              <a:off x="7600948" y="9041341"/>
              <a:ext cx="787780" cy="2218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tr-TR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tr-TR" sz="11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tr-TR" sz="1100" i="0">
                                <a:latin typeface="Cambria Math" panose="02040503050406030204" pitchFamily="18" charset="0"/>
                              </a:rPr>
                              <m:t>m</m:t>
                            </m:r>
                            <m:r>
                              <m:rPr>
                                <m:sty m:val="p"/>
                              </m:rPr>
                              <a:rPr lang="tr-TR" sz="1100" b="0" i="0">
                                <a:latin typeface="Cambria Math" panose="02040503050406030204" pitchFamily="18" charset="0"/>
                              </a:rPr>
                              <m:t>ea</m:t>
                            </m:r>
                            <m:r>
                              <m:rPr>
                                <m:sty m:val="p"/>
                              </m:rPr>
                              <a:rPr lang="tr-TR" sz="1100" i="0">
                                <a:latin typeface="Cambria Math" panose="02040503050406030204" pitchFamily="18" charset="0"/>
                              </a:rPr>
                              <m:t>n</m:t>
                            </m:r>
                          </m:e>
                          <m:lim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=1..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𝑆𝑛</m:t>
                            </m:r>
                          </m:lim>
                        </m:limLow>
                      </m:fName>
                      <m:e>
                        <m:sSub>
                          <m:sSubPr>
                            <m:ctrlPr>
                              <a:rPr lang="tr-T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𝑠𝑐𝑎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_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b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func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40" name="Metin kutusu 39">
              <a:extLst>
                <a:ext uri="{FF2B5EF4-FFF2-40B4-BE49-F238E27FC236}">
                  <a16:creationId xmlns:a16="http://schemas.microsoft.com/office/drawing/2014/main" id="{00000000-0008-0000-0300-000028000000}"/>
                </a:ext>
              </a:extLst>
            </xdr:cNvPr>
            <xdr:cNvSpPr txBox="1"/>
          </xdr:nvSpPr>
          <xdr:spPr>
            <a:xfrm>
              <a:off x="7600948" y="9041341"/>
              <a:ext cx="787780" cy="2218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i="0">
                  <a:latin typeface="Cambria Math" panose="02040503050406030204" pitchFamily="18" charset="0"/>
                </a:rPr>
                <a:t>m</a:t>
              </a:r>
              <a:r>
                <a:rPr lang="tr-TR" sz="1100" b="0" i="0">
                  <a:latin typeface="Cambria Math" panose="02040503050406030204" pitchFamily="18" charset="0"/>
                </a:rPr>
                <a:t>ea</a:t>
              </a:r>
              <a:r>
                <a:rPr lang="tr-TR" sz="1100" i="0">
                  <a:latin typeface="Cambria Math" panose="02040503050406030204" pitchFamily="18" charset="0"/>
                </a:rPr>
                <a:t>n┬(</a:t>
              </a:r>
              <a:r>
                <a:rPr lang="tr-TR" sz="1100" b="0" i="0">
                  <a:latin typeface="Cambria Math" panose="02040503050406030204" pitchFamily="18" charset="0"/>
                </a:rPr>
                <a:t>𝑖=1..𝑆𝑛)⁡〖〖𝑠𝑐𝑎_𝑒〗_𝑖 〗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20</xdr:col>
      <xdr:colOff>44448</xdr:colOff>
      <xdr:row>32</xdr:row>
      <xdr:rowOff>62441</xdr:rowOff>
    </xdr:from>
    <xdr:ext cx="896977" cy="2218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Metin kutusu 40">
              <a:extLst>
                <a:ext uri="{FF2B5EF4-FFF2-40B4-BE49-F238E27FC236}">
                  <a16:creationId xmlns:a16="http://schemas.microsoft.com/office/drawing/2014/main" id="{00000000-0008-0000-0300-000029000000}"/>
                </a:ext>
              </a:extLst>
            </xdr:cNvPr>
            <xdr:cNvSpPr txBox="1"/>
          </xdr:nvSpPr>
          <xdr:spPr>
            <a:xfrm>
              <a:off x="7600948" y="9409641"/>
              <a:ext cx="896977" cy="2218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tr-TR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tr-TR" sz="11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tr-TR" sz="1100" i="0">
                                <a:latin typeface="Cambria Math" panose="02040503050406030204" pitchFamily="18" charset="0"/>
                              </a:rPr>
                              <m:t>m</m:t>
                            </m:r>
                            <m:r>
                              <m:rPr>
                                <m:sty m:val="p"/>
                              </m:rPr>
                              <a:rPr lang="tr-TR" sz="1100" b="0" i="0">
                                <a:latin typeface="Cambria Math" panose="02040503050406030204" pitchFamily="18" charset="0"/>
                              </a:rPr>
                              <m:t>edia</m:t>
                            </m:r>
                            <m:r>
                              <m:rPr>
                                <m:sty m:val="p"/>
                              </m:rPr>
                              <a:rPr lang="tr-TR" sz="1100" i="0">
                                <a:latin typeface="Cambria Math" panose="02040503050406030204" pitchFamily="18" charset="0"/>
                              </a:rPr>
                              <m:t>n</m:t>
                            </m:r>
                          </m:e>
                          <m:lim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=1..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𝑆𝑛</m:t>
                            </m:r>
                          </m:lim>
                        </m:limLow>
                      </m:fName>
                      <m:e>
                        <m:sSub>
                          <m:sSubPr>
                            <m:ctrlPr>
                              <a:rPr lang="tr-T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𝑠𝑐𝑎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_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b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func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41" name="Metin kutusu 40">
              <a:extLst>
                <a:ext uri="{FF2B5EF4-FFF2-40B4-BE49-F238E27FC236}">
                  <a16:creationId xmlns:a16="http://schemas.microsoft.com/office/drawing/2014/main" id="{00000000-0008-0000-0300-000029000000}"/>
                </a:ext>
              </a:extLst>
            </xdr:cNvPr>
            <xdr:cNvSpPr txBox="1"/>
          </xdr:nvSpPr>
          <xdr:spPr>
            <a:xfrm>
              <a:off x="7600948" y="9409641"/>
              <a:ext cx="896977" cy="2218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i="0">
                  <a:latin typeface="Cambria Math" panose="02040503050406030204" pitchFamily="18" charset="0"/>
                </a:rPr>
                <a:t>m</a:t>
              </a:r>
              <a:r>
                <a:rPr lang="tr-TR" sz="1100" b="0" i="0">
                  <a:latin typeface="Cambria Math" panose="02040503050406030204" pitchFamily="18" charset="0"/>
                </a:rPr>
                <a:t>edia</a:t>
              </a:r>
              <a:r>
                <a:rPr lang="tr-TR" sz="1100" i="0">
                  <a:latin typeface="Cambria Math" panose="02040503050406030204" pitchFamily="18" charset="0"/>
                </a:rPr>
                <a:t>n┬(</a:t>
              </a:r>
              <a:r>
                <a:rPr lang="tr-TR" sz="1100" b="0" i="0">
                  <a:latin typeface="Cambria Math" panose="02040503050406030204" pitchFamily="18" charset="0"/>
                </a:rPr>
                <a:t>𝑖=1..𝑆𝑛)⁡〖〖𝑠𝑐𝑎_𝑒〗_𝑖 〗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20</xdr:col>
      <xdr:colOff>15873</xdr:colOff>
      <xdr:row>33</xdr:row>
      <xdr:rowOff>42335</xdr:rowOff>
    </xdr:from>
    <xdr:ext cx="933452" cy="3598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Metin kutusu 41">
              <a:extLst>
                <a:ext uri="{FF2B5EF4-FFF2-40B4-BE49-F238E27FC236}">
                  <a16:creationId xmlns:a16="http://schemas.microsoft.com/office/drawing/2014/main" id="{00000000-0008-0000-0300-00002A000000}"/>
                </a:ext>
              </a:extLst>
            </xdr:cNvPr>
            <xdr:cNvSpPr txBox="1"/>
          </xdr:nvSpPr>
          <xdr:spPr>
            <a:xfrm>
              <a:off x="7569198" y="11596160"/>
              <a:ext cx="933452" cy="3598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tr-T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unc>
                          <m:funcPr>
                            <m:ctrlPr>
                              <a:rPr lang="tr-TR" sz="110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limLow>
                              <m:limLowPr>
                                <m:ctrlPr>
                                  <a:rPr lang="tr-TR" sz="1100" i="1">
                                    <a:latin typeface="Cambria Math" panose="02040503050406030204" pitchFamily="18" charset="0"/>
                                  </a:rPr>
                                </m:ctrlPr>
                              </m:limLowPr>
                              <m:e>
                                <m:r>
                                  <m:rPr>
                                    <m:sty m:val="p"/>
                                  </m:rPr>
                                  <a:rPr lang="tr-TR" sz="1100" i="0">
                                    <a:latin typeface="Cambria Math" panose="02040503050406030204" pitchFamily="18" charset="0"/>
                                  </a:rPr>
                                  <m:t>m</m:t>
                                </m:r>
                                <m:r>
                                  <m:rPr>
                                    <m:sty m:val="p"/>
                                  </m:rPr>
                                  <a:rPr lang="tr-TR" sz="1100" b="0" i="0">
                                    <a:latin typeface="Cambria Math" panose="02040503050406030204" pitchFamily="18" charset="0"/>
                                  </a:rPr>
                                  <m:t>ea</m:t>
                                </m:r>
                                <m:r>
                                  <m:rPr>
                                    <m:sty m:val="p"/>
                                  </m:rPr>
                                  <a:rPr lang="tr-TR" sz="1100" i="0">
                                    <a:latin typeface="Cambria Math" panose="02040503050406030204" pitchFamily="18" charset="0"/>
                                  </a:rPr>
                                  <m:t>n</m:t>
                                </m:r>
                              </m:e>
                              <m:lim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=1..</m:t>
                                </m:r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𝑆𝑛</m:t>
                                </m:r>
                              </m:lim>
                            </m:limLow>
                          </m:fName>
                          <m:e>
                            <m:sSubSup>
                              <m:sSubSupPr>
                                <m:ctrlPr>
                                  <a:rPr lang="tr-TR" sz="110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𝑠𝑐𝑎</m:t>
                                </m:r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_</m:t>
                                </m:r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func>
                      </m:e>
                    </m:rad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42" name="Metin kutusu 41">
              <a:extLst>
                <a:ext uri="{FF2B5EF4-FFF2-40B4-BE49-F238E27FC236}">
                  <a16:creationId xmlns:a16="http://schemas.microsoft.com/office/drawing/2014/main" id="{00000000-0008-0000-0300-00002A000000}"/>
                </a:ext>
              </a:extLst>
            </xdr:cNvPr>
            <xdr:cNvSpPr txBox="1"/>
          </xdr:nvSpPr>
          <xdr:spPr>
            <a:xfrm>
              <a:off x="7569198" y="11596160"/>
              <a:ext cx="933452" cy="3598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tr-TR" sz="1100" i="0">
                  <a:latin typeface="Cambria Math" panose="02040503050406030204" pitchFamily="18" charset="0"/>
                </a:rPr>
                <a:t>√(m</a:t>
              </a:r>
              <a:r>
                <a:rPr lang="tr-TR" sz="1100" b="0" i="0">
                  <a:latin typeface="Cambria Math" panose="02040503050406030204" pitchFamily="18" charset="0"/>
                </a:rPr>
                <a:t>ea</a:t>
              </a:r>
              <a:r>
                <a:rPr lang="tr-TR" sz="1100" i="0">
                  <a:latin typeface="Cambria Math" panose="02040503050406030204" pitchFamily="18" charset="0"/>
                </a:rPr>
                <a:t>n┬(</a:t>
              </a:r>
              <a:r>
                <a:rPr lang="tr-TR" sz="1100" b="0" i="0">
                  <a:latin typeface="Cambria Math" panose="02040503050406030204" pitchFamily="18" charset="0"/>
                </a:rPr>
                <a:t>𝑖=1..𝑆𝑛)⁡〖〖𝑠𝑐𝑎_𝑒〗_𝑖^2 〗 )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4</xdr:col>
      <xdr:colOff>71340</xdr:colOff>
      <xdr:row>2</xdr:row>
      <xdr:rowOff>80337</xdr:rowOff>
    </xdr:from>
    <xdr:ext cx="922625" cy="2512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Metin kutusu 42">
              <a:extLst>
                <a:ext uri="{FF2B5EF4-FFF2-40B4-BE49-F238E27FC236}">
                  <a16:creationId xmlns:a16="http://schemas.microsoft.com/office/drawing/2014/main" id="{00000000-0008-0000-0300-00002B000000}"/>
                </a:ext>
              </a:extLst>
            </xdr:cNvPr>
            <xdr:cNvSpPr txBox="1"/>
          </xdr:nvSpPr>
          <xdr:spPr>
            <a:xfrm>
              <a:off x="2522440" y="537537"/>
              <a:ext cx="922625" cy="2512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𝑟𝑒𝑙</m:t>
                        </m:r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_</m:t>
                        </m:r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tr-T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type m:val="skw"/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b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el-G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sSub>
                          <m:sSubPr>
                            <m:ctrlPr>
                              <a:rPr lang="el-G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  <m:sub>
                            <m: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43" name="Metin kutusu 42">
              <a:extLst>
                <a:ext uri="{FF2B5EF4-FFF2-40B4-BE49-F238E27FC236}">
                  <a16:creationId xmlns:a16="http://schemas.microsoft.com/office/drawing/2014/main" id="{00000000-0008-0000-0300-00002B000000}"/>
                </a:ext>
              </a:extLst>
            </xdr:cNvPr>
            <xdr:cNvSpPr txBox="1"/>
          </xdr:nvSpPr>
          <xdr:spPr>
            <a:xfrm>
              <a:off x="2522440" y="537537"/>
              <a:ext cx="922625" cy="2512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latin typeface="Cambria Math" panose="02040503050406030204" pitchFamily="18" charset="0"/>
                </a:rPr>
                <a:t>〖𝑟𝑒𝑙_𝑒〗_𝑖=𝑒_𝑖⁄(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)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20</xdr:col>
      <xdr:colOff>44448</xdr:colOff>
      <xdr:row>21</xdr:row>
      <xdr:rowOff>107950</xdr:rowOff>
    </xdr:from>
    <xdr:ext cx="749776" cy="29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Metin kutusu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 txBox="1"/>
          </xdr:nvSpPr>
          <xdr:spPr>
            <a:xfrm>
              <a:off x="7600948" y="10191750"/>
              <a:ext cx="749776" cy="29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tr-TR" sz="1100" b="0" i="0">
                                <a:latin typeface="Cambria Math" panose="02040503050406030204" pitchFamily="18" charset="0"/>
                              </a:rPr>
                              <m:t>sum</m:t>
                            </m:r>
                          </m:e>
                          <m:lim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=1..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𝑆𝑛</m:t>
                            </m:r>
                          </m:lim>
                        </m:limLow>
                      </m:fName>
                      <m:e>
                        <m:d>
                          <m:dPr>
                            <m:begChr m:val="|"/>
                            <m:endChr m:val="|"/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𝑟𝑒𝑙</m:t>
                                </m:r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_</m:t>
                                </m:r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func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45" name="Metin kutusu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 txBox="1"/>
          </xdr:nvSpPr>
          <xdr:spPr>
            <a:xfrm>
              <a:off x="7600948" y="10191750"/>
              <a:ext cx="749776" cy="29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tr-TR" sz="1100" b="0" i="0">
                  <a:latin typeface="Cambria Math" panose="02040503050406030204" pitchFamily="18" charset="0"/>
                </a:rPr>
                <a:t>sum┬(𝑖=1..𝑆𝑛)⁡|〖𝑟𝑒𝑙_𝑒〗_𝑖 |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20</xdr:col>
      <xdr:colOff>44448</xdr:colOff>
      <xdr:row>18</xdr:row>
      <xdr:rowOff>107950</xdr:rowOff>
    </xdr:from>
    <xdr:ext cx="749776" cy="29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Metin kutusu 50">
              <a:extLst>
                <a:ext uri="{FF2B5EF4-FFF2-40B4-BE49-F238E27FC236}">
                  <a16:creationId xmlns:a16="http://schemas.microsoft.com/office/drawing/2014/main" id="{00000000-0008-0000-0300-000033000000}"/>
                </a:ext>
              </a:extLst>
            </xdr:cNvPr>
            <xdr:cNvSpPr txBox="1"/>
          </xdr:nvSpPr>
          <xdr:spPr>
            <a:xfrm>
              <a:off x="7600948" y="10928350"/>
              <a:ext cx="749776" cy="29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tr-TR" sz="1100" b="0" i="0">
                                <a:latin typeface="Cambria Math" panose="02040503050406030204" pitchFamily="18" charset="0"/>
                              </a:rPr>
                              <m:t>mean</m:t>
                            </m:r>
                          </m:e>
                          <m:lim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=1..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𝑆𝑛</m:t>
                            </m:r>
                          </m:lim>
                        </m:limLow>
                      </m:fName>
                      <m:e>
                        <m:d>
                          <m:dPr>
                            <m:begChr m:val="|"/>
                            <m:endChr m:val="|"/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𝑟𝑒𝑙</m:t>
                                </m:r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_</m:t>
                                </m:r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func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51" name="Metin kutusu 50">
              <a:extLst>
                <a:ext uri="{FF2B5EF4-FFF2-40B4-BE49-F238E27FC236}">
                  <a16:creationId xmlns:a16="http://schemas.microsoft.com/office/drawing/2014/main" id="{00000000-0008-0000-0300-000033000000}"/>
                </a:ext>
              </a:extLst>
            </xdr:cNvPr>
            <xdr:cNvSpPr txBox="1"/>
          </xdr:nvSpPr>
          <xdr:spPr>
            <a:xfrm>
              <a:off x="7600948" y="10928350"/>
              <a:ext cx="749776" cy="29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tr-TR" sz="1100" b="0" i="0">
                  <a:latin typeface="Cambria Math" panose="02040503050406030204" pitchFamily="18" charset="0"/>
                </a:rPr>
                <a:t>mean┬(𝑖=1..𝑆𝑛)⁡|〖𝑟𝑒𝑙_𝑒〗_𝑖 |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20</xdr:col>
      <xdr:colOff>44448</xdr:colOff>
      <xdr:row>19</xdr:row>
      <xdr:rowOff>107950</xdr:rowOff>
    </xdr:from>
    <xdr:ext cx="910167" cy="29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Metin kutusu 51">
              <a:extLst>
                <a:ext uri="{FF2B5EF4-FFF2-40B4-BE49-F238E27FC236}">
                  <a16:creationId xmlns:a16="http://schemas.microsoft.com/office/drawing/2014/main" id="{00000000-0008-0000-0300-000034000000}"/>
                </a:ext>
              </a:extLst>
            </xdr:cNvPr>
            <xdr:cNvSpPr txBox="1"/>
          </xdr:nvSpPr>
          <xdr:spPr>
            <a:xfrm>
              <a:off x="7600948" y="11296650"/>
              <a:ext cx="910167" cy="29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tr-TR" sz="1100" b="0" i="0">
                                <a:latin typeface="Cambria Math" panose="02040503050406030204" pitchFamily="18" charset="0"/>
                              </a:rPr>
                              <m:t>median</m:t>
                            </m:r>
                          </m:e>
                          <m:lim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=1..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𝑆𝑛</m:t>
                            </m:r>
                          </m:lim>
                        </m:limLow>
                      </m:fName>
                      <m:e>
                        <m:d>
                          <m:dPr>
                            <m:begChr m:val="|"/>
                            <m:endChr m:val="|"/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𝑟𝑒𝑙</m:t>
                                </m:r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_</m:t>
                                </m:r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func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52" name="Metin kutusu 51">
              <a:extLst>
                <a:ext uri="{FF2B5EF4-FFF2-40B4-BE49-F238E27FC236}">
                  <a16:creationId xmlns:a16="http://schemas.microsoft.com/office/drawing/2014/main" id="{00000000-0008-0000-0300-000034000000}"/>
                </a:ext>
              </a:extLst>
            </xdr:cNvPr>
            <xdr:cNvSpPr txBox="1"/>
          </xdr:nvSpPr>
          <xdr:spPr>
            <a:xfrm>
              <a:off x="7600948" y="11296650"/>
              <a:ext cx="910167" cy="29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tr-TR" sz="1100" b="0" i="0">
                  <a:latin typeface="Cambria Math" panose="02040503050406030204" pitchFamily="18" charset="0"/>
                </a:rPr>
                <a:t>median┬(𝑖=1..𝑆𝑛)⁡|〖𝑟𝑒𝑙_𝑒〗_𝑖 |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20</xdr:col>
      <xdr:colOff>44448</xdr:colOff>
      <xdr:row>22</xdr:row>
      <xdr:rowOff>76200</xdr:rowOff>
    </xdr:from>
    <xdr:ext cx="778483" cy="2307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Metin kutusu 57">
              <a:extLst>
                <a:ext uri="{FF2B5EF4-FFF2-40B4-BE49-F238E27FC236}">
                  <a16:creationId xmlns:a16="http://schemas.microsoft.com/office/drawing/2014/main" id="{00000000-0008-0000-0300-00003A000000}"/>
                </a:ext>
              </a:extLst>
            </xdr:cNvPr>
            <xdr:cNvSpPr txBox="1"/>
          </xdr:nvSpPr>
          <xdr:spPr>
            <a:xfrm>
              <a:off x="7600948" y="10528300"/>
              <a:ext cx="778483" cy="2307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tr-TR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tr-TR" sz="11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tr-TR" sz="1100" i="0">
                                <a:latin typeface="Cambria Math" panose="02040503050406030204" pitchFamily="18" charset="0"/>
                              </a:rPr>
                              <m:t>s</m:t>
                            </m:r>
                            <m:r>
                              <m:rPr>
                                <m:sty m:val="p"/>
                              </m:rPr>
                              <a:rPr lang="tr-TR" sz="1100" b="0" i="0">
                                <a:latin typeface="Cambria Math" panose="02040503050406030204" pitchFamily="18" charset="0"/>
                              </a:rPr>
                              <m:t>um</m:t>
                            </m:r>
                          </m:e>
                          <m:lim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=1..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𝑆𝑛</m:t>
                            </m:r>
                          </m:lim>
                        </m:limLow>
                      </m:fName>
                      <m:e>
                        <m:sSubSup>
                          <m:sSubSupPr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𝑟𝑒𝑙</m:t>
                            </m:r>
                            <m: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_</m:t>
                            </m:r>
                            <m: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b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  <m:sup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func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58" name="Metin kutusu 57">
              <a:extLst>
                <a:ext uri="{FF2B5EF4-FFF2-40B4-BE49-F238E27FC236}">
                  <a16:creationId xmlns:a16="http://schemas.microsoft.com/office/drawing/2014/main" id="{00000000-0008-0000-0300-00003A000000}"/>
                </a:ext>
              </a:extLst>
            </xdr:cNvPr>
            <xdr:cNvSpPr txBox="1"/>
          </xdr:nvSpPr>
          <xdr:spPr>
            <a:xfrm>
              <a:off x="7600948" y="10528300"/>
              <a:ext cx="778483" cy="2307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i="0">
                  <a:latin typeface="Cambria Math" panose="02040503050406030204" pitchFamily="18" charset="0"/>
                </a:rPr>
                <a:t>s</a:t>
              </a:r>
              <a:r>
                <a:rPr lang="tr-TR" sz="1100" b="0" i="0">
                  <a:latin typeface="Cambria Math" panose="02040503050406030204" pitchFamily="18" charset="0"/>
                </a:rPr>
                <a:t>um┬(𝑖=1..𝑆𝑛)⁡〖〖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𝑟𝑒𝑙_𝑒〗_</a:t>
              </a:r>
              <a:r>
                <a:rPr lang="tr-TR" sz="1100" b="0" i="0">
                  <a:latin typeface="Cambria Math" panose="02040503050406030204" pitchFamily="18" charset="0"/>
                </a:rPr>
                <a:t>𝑖^2 〗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20</xdr:col>
      <xdr:colOff>44448</xdr:colOff>
      <xdr:row>12</xdr:row>
      <xdr:rowOff>7407</xdr:rowOff>
    </xdr:from>
    <xdr:ext cx="1218410" cy="3935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Metin kutusu 58">
              <a:extLst>
                <a:ext uri="{FF2B5EF4-FFF2-40B4-BE49-F238E27FC236}">
                  <a16:creationId xmlns:a16="http://schemas.microsoft.com/office/drawing/2014/main" id="{00000000-0008-0000-0300-00003B000000}"/>
                </a:ext>
              </a:extLst>
            </xdr:cNvPr>
            <xdr:cNvSpPr txBox="1"/>
          </xdr:nvSpPr>
          <xdr:spPr>
            <a:xfrm>
              <a:off x="7600948" y="2356907"/>
              <a:ext cx="1218410" cy="393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tr-T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tr-TR" sz="110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limLow>
                              <m:limLowPr>
                                <m:ctrlPr>
                                  <a:rPr lang="tr-TR" sz="1100" i="1">
                                    <a:latin typeface="Cambria Math" panose="02040503050406030204" pitchFamily="18" charset="0"/>
                                  </a:rPr>
                                </m:ctrlPr>
                              </m:limLowPr>
                              <m:e>
                                <m:r>
                                  <m:rPr>
                                    <m:sty m:val="p"/>
                                  </m:rPr>
                                  <a:rPr lang="tr-TR" sz="1100" i="0">
                                    <a:latin typeface="Cambria Math" panose="02040503050406030204" pitchFamily="18" charset="0"/>
                                  </a:rPr>
                                  <m:t>m</m:t>
                                </m:r>
                                <m:r>
                                  <m:rPr>
                                    <m:sty m:val="p"/>
                                  </m:rPr>
                                  <a:rPr lang="tr-TR" sz="1100" b="0" i="0">
                                    <a:latin typeface="Cambria Math" panose="02040503050406030204" pitchFamily="18" charset="0"/>
                                  </a:rPr>
                                  <m:t>ea</m:t>
                                </m:r>
                                <m:r>
                                  <m:rPr>
                                    <m:sty m:val="p"/>
                                  </m:rPr>
                                  <a:rPr lang="tr-TR" sz="1100" i="0">
                                    <a:latin typeface="Cambria Math" panose="02040503050406030204" pitchFamily="18" charset="0"/>
                                  </a:rPr>
                                  <m:t>n</m:t>
                                </m:r>
                              </m:e>
                              <m:lim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=1..</m:t>
                                </m:r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𝑆𝑛</m:t>
                                </m:r>
                              </m:lim>
                            </m:limLow>
                          </m:fName>
                          <m:e>
                            <m:sSubSup>
                              <m:sSubSupPr>
                                <m:ctrlPr>
                                  <a:rPr lang="tr-TR" sz="110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func>
                      </m:num>
                      <m:den>
                        <m:r>
                          <m:rPr>
                            <m:sty m:val="p"/>
                          </m:rPr>
                          <a:rPr lang="tr-TR" sz="1100" b="0" i="0">
                            <a:latin typeface="Cambria Math" panose="02040503050406030204" pitchFamily="18" charset="0"/>
                          </a:rPr>
                          <m:t>mean</m:t>
                        </m:r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p>
                          <m:sSupPr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e>
                              <m:sub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  <m:sup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59" name="Metin kutusu 58">
              <a:extLst>
                <a:ext uri="{FF2B5EF4-FFF2-40B4-BE49-F238E27FC236}">
                  <a16:creationId xmlns:a16="http://schemas.microsoft.com/office/drawing/2014/main" id="{00000000-0008-0000-0300-00003B000000}"/>
                </a:ext>
              </a:extLst>
            </xdr:cNvPr>
            <xdr:cNvSpPr txBox="1"/>
          </xdr:nvSpPr>
          <xdr:spPr>
            <a:xfrm>
              <a:off x="7600948" y="2356907"/>
              <a:ext cx="1218410" cy="393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i="0">
                  <a:latin typeface="Cambria Math" panose="02040503050406030204" pitchFamily="18" charset="0"/>
                </a:rPr>
                <a:t>m</a:t>
              </a:r>
              <a:r>
                <a:rPr lang="tr-TR" sz="1100" b="0" i="0">
                  <a:latin typeface="Cambria Math" panose="02040503050406030204" pitchFamily="18" charset="0"/>
                </a:rPr>
                <a:t>ea</a:t>
              </a:r>
              <a:r>
                <a:rPr lang="tr-TR" sz="1100" i="0">
                  <a:latin typeface="Cambria Math" panose="02040503050406030204" pitchFamily="18" charset="0"/>
                </a:rPr>
                <a:t>n┬(</a:t>
              </a:r>
              <a:r>
                <a:rPr lang="tr-TR" sz="1100" b="0" i="0">
                  <a:latin typeface="Cambria Math" panose="02040503050406030204" pitchFamily="18" charset="0"/>
                </a:rPr>
                <a:t>𝑖=1..𝑆𝑛)⁡〖𝑒_𝑖^2 〗⁄(mean(〖𝑐_𝑖〗^2))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4</xdr:col>
      <xdr:colOff>83820</xdr:colOff>
      <xdr:row>1</xdr:row>
      <xdr:rowOff>52077</xdr:rowOff>
    </xdr:from>
    <xdr:ext cx="721608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Metin kutusu 59">
              <a:extLst>
                <a:ext uri="{FF2B5EF4-FFF2-40B4-BE49-F238E27FC236}">
                  <a16:creationId xmlns:a16="http://schemas.microsoft.com/office/drawing/2014/main" id="{00000000-0008-0000-0300-00003C000000}"/>
                </a:ext>
              </a:extLst>
            </xdr:cNvPr>
            <xdr:cNvSpPr txBox="1"/>
          </xdr:nvSpPr>
          <xdr:spPr>
            <a:xfrm>
              <a:off x="2534920" y="280677"/>
              <a:ext cx="721608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tr-T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tr-TR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60" name="Metin kutusu 59">
              <a:extLst>
                <a:ext uri="{FF2B5EF4-FFF2-40B4-BE49-F238E27FC236}">
                  <a16:creationId xmlns:a16="http://schemas.microsoft.com/office/drawing/2014/main" id="{00000000-0008-0000-0300-00003C000000}"/>
                </a:ext>
              </a:extLst>
            </xdr:cNvPr>
            <xdr:cNvSpPr txBox="1"/>
          </xdr:nvSpPr>
          <xdr:spPr>
            <a:xfrm>
              <a:off x="2534920" y="280677"/>
              <a:ext cx="721608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latin typeface="Cambria Math" panose="02040503050406030204" pitchFamily="18" charset="0"/>
                </a:rPr>
                <a:t>𝑒_𝑖=𝑐_𝑖−𝑝_𝑖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4</xdr:col>
      <xdr:colOff>1871980</xdr:colOff>
      <xdr:row>1</xdr:row>
      <xdr:rowOff>52013</xdr:rowOff>
    </xdr:from>
    <xdr:ext cx="7509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Metin kutusu 55">
              <a:extLst>
                <a:ext uri="{FF2B5EF4-FFF2-40B4-BE49-F238E27FC236}">
                  <a16:creationId xmlns:a16="http://schemas.microsoft.com/office/drawing/2014/main" id="{00000000-0008-0000-0300-000026000000}"/>
                </a:ext>
              </a:extLst>
            </xdr:cNvPr>
            <xdr:cNvSpPr txBox="1"/>
          </xdr:nvSpPr>
          <xdr:spPr>
            <a:xfrm>
              <a:off x="4323080" y="280613"/>
              <a:ext cx="7509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el-G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tr-T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tr-T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tr-T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tr-TR" sz="1100" b="0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</m:acc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38" name="Metin kutusu 55">
              <a:extLst>
                <a:ext uri="{FF2B5EF4-FFF2-40B4-BE49-F238E27FC236}">
                  <a16:creationId xmlns:a16="http://schemas.microsoft.com/office/drawing/2014/main" id="{00000000-0008-0000-0300-000026000000}"/>
                </a:ext>
              </a:extLst>
            </xdr:cNvPr>
            <xdr:cNvSpPr txBox="1"/>
          </xdr:nvSpPr>
          <xdr:spPr>
            <a:xfrm>
              <a:off x="4323080" y="280613"/>
              <a:ext cx="7509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tr-T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𝑐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tr-T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</a:t>
              </a:r>
              <a:r>
                <a:rPr lang="tr-TR" sz="1100" b="0" i="0">
                  <a:latin typeface="Cambria Math" panose="02040503050406030204" pitchFamily="18" charset="0"/>
                </a:rPr>
                <a:t>=𝑐_𝑖−𝑐 ̅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20</xdr:col>
      <xdr:colOff>44448</xdr:colOff>
      <xdr:row>10</xdr:row>
      <xdr:rowOff>12700</xdr:rowOff>
    </xdr:from>
    <xdr:ext cx="976934" cy="370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Metin kutusu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 txBox="1"/>
          </xdr:nvSpPr>
          <xdr:spPr>
            <a:xfrm>
              <a:off x="7600948" y="2730500"/>
              <a:ext cx="976934" cy="370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tr-T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tr-TR" sz="110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limLow>
                              <m:limLowPr>
                                <m:ctrlPr>
                                  <a:rPr lang="tr-TR" sz="1100" i="1">
                                    <a:latin typeface="Cambria Math" panose="02040503050406030204" pitchFamily="18" charset="0"/>
                                  </a:rPr>
                                </m:ctrlPr>
                              </m:limLowPr>
                              <m:e>
                                <m:r>
                                  <m:rPr>
                                    <m:sty m:val="p"/>
                                  </m:rPr>
                                  <a:rPr lang="tr-TR" sz="1100" i="0">
                                    <a:latin typeface="Cambria Math" panose="02040503050406030204" pitchFamily="18" charset="0"/>
                                  </a:rPr>
                                  <m:t>m</m:t>
                                </m:r>
                                <m:r>
                                  <m:rPr>
                                    <m:sty m:val="p"/>
                                  </m:rPr>
                                  <a:rPr lang="tr-TR" sz="1100" b="0" i="0">
                                    <a:latin typeface="Cambria Math" panose="02040503050406030204" pitchFamily="18" charset="0"/>
                                  </a:rPr>
                                  <m:t>ea</m:t>
                                </m:r>
                                <m:r>
                                  <m:rPr>
                                    <m:sty m:val="p"/>
                                  </m:rPr>
                                  <a:rPr lang="tr-TR" sz="1100" i="0">
                                    <a:latin typeface="Cambria Math" panose="02040503050406030204" pitchFamily="18" charset="0"/>
                                  </a:rPr>
                                  <m:t>n</m:t>
                                </m:r>
                              </m:e>
                              <m:lim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=1..</m:t>
                                </m:r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𝑆𝑛</m:t>
                                </m:r>
                              </m:lim>
                            </m:limLow>
                          </m:fName>
                          <m:e>
                            <m:sSubSup>
                              <m:sSubSupPr>
                                <m:ctrlPr>
                                  <a:rPr lang="tr-TR" sz="110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func>
                      </m:num>
                      <m:den>
                        <m:r>
                          <m:rPr>
                            <m:sty m:val="p"/>
                          </m:rPr>
                          <a:rPr lang="tr-TR" sz="1100" b="0" i="0">
                            <a:latin typeface="Cambria Math" panose="02040503050406030204" pitchFamily="18" charset="0"/>
                          </a:rPr>
                          <m:t>var</m:t>
                        </m:r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46" name="Metin kutusu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 txBox="1"/>
          </xdr:nvSpPr>
          <xdr:spPr>
            <a:xfrm>
              <a:off x="7600948" y="2730500"/>
              <a:ext cx="976934" cy="370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i="0">
                  <a:latin typeface="Cambria Math" panose="02040503050406030204" pitchFamily="18" charset="0"/>
                </a:rPr>
                <a:t>m</a:t>
              </a:r>
              <a:r>
                <a:rPr lang="tr-TR" sz="1100" b="0" i="0">
                  <a:latin typeface="Cambria Math" panose="02040503050406030204" pitchFamily="18" charset="0"/>
                </a:rPr>
                <a:t>ea</a:t>
              </a:r>
              <a:r>
                <a:rPr lang="tr-TR" sz="1100" i="0">
                  <a:latin typeface="Cambria Math" panose="02040503050406030204" pitchFamily="18" charset="0"/>
                </a:rPr>
                <a:t>n┬(</a:t>
              </a:r>
              <a:r>
                <a:rPr lang="tr-TR" sz="1100" b="0" i="0">
                  <a:latin typeface="Cambria Math" panose="02040503050406030204" pitchFamily="18" charset="0"/>
                </a:rPr>
                <a:t>𝑖=1..𝑆𝑛)⁡〖𝑒_𝑖^2 〗⁄(var(𝑐))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20</xdr:col>
      <xdr:colOff>44448</xdr:colOff>
      <xdr:row>11</xdr:row>
      <xdr:rowOff>31750</xdr:rowOff>
    </xdr:from>
    <xdr:ext cx="1582613" cy="4103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Metin kutusu 47">
              <a:extLst>
                <a:ext uri="{FF2B5EF4-FFF2-40B4-BE49-F238E27FC236}">
                  <a16:creationId xmlns:a16="http://schemas.microsoft.com/office/drawing/2014/main" id="{00000000-0008-0000-0300-000030000000}"/>
                </a:ext>
              </a:extLst>
            </xdr:cNvPr>
            <xdr:cNvSpPr txBox="1"/>
          </xdr:nvSpPr>
          <xdr:spPr>
            <a:xfrm>
              <a:off x="7597773" y="3527425"/>
              <a:ext cx="1582613" cy="4103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tr-T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tr-TR" sz="110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limLow>
                              <m:limLowPr>
                                <m:ctrlPr>
                                  <a:rPr lang="tr-TR" sz="1100" i="1">
                                    <a:latin typeface="Cambria Math" panose="02040503050406030204" pitchFamily="18" charset="0"/>
                                  </a:rPr>
                                </m:ctrlPr>
                              </m:limLowPr>
                              <m:e>
                                <m:r>
                                  <m:rPr>
                                    <m:sty m:val="p"/>
                                  </m:rPr>
                                  <a:rPr lang="tr-TR" sz="1100" i="0">
                                    <a:latin typeface="Cambria Math" panose="02040503050406030204" pitchFamily="18" charset="0"/>
                                  </a:rPr>
                                  <m:t>m</m:t>
                                </m:r>
                                <m:r>
                                  <m:rPr>
                                    <m:sty m:val="p"/>
                                  </m:rPr>
                                  <a:rPr lang="tr-TR" sz="1100" b="0" i="0">
                                    <a:latin typeface="Cambria Math" panose="02040503050406030204" pitchFamily="18" charset="0"/>
                                  </a:rPr>
                                  <m:t>ea</m:t>
                                </m:r>
                                <m:r>
                                  <m:rPr>
                                    <m:sty m:val="p"/>
                                  </m:rPr>
                                  <a:rPr lang="tr-TR" sz="1100" i="0">
                                    <a:latin typeface="Cambria Math" panose="02040503050406030204" pitchFamily="18" charset="0"/>
                                  </a:rPr>
                                  <m:t>n</m:t>
                                </m:r>
                              </m:e>
                              <m:lim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=1..</m:t>
                                </m:r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𝑆𝑛</m:t>
                                </m:r>
                              </m:lim>
                            </m:limLow>
                          </m:fName>
                          <m:e>
                            <m:sSubSup>
                              <m:sSubSupPr>
                                <m:ctrlPr>
                                  <a:rPr lang="tr-TR" sz="110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func>
                      </m:num>
                      <m:den>
                        <m:r>
                          <m:rPr>
                            <m:sty m:val="p"/>
                          </m:rPr>
                          <a:rPr lang="tr-TR" sz="1100" b="0" i="0">
                            <a:latin typeface="Cambria Math" panose="02040503050406030204" pitchFamily="18" charset="0"/>
                          </a:rPr>
                          <m:t>mean</m:t>
                        </m:r>
                        <m:d>
                          <m:dPr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tr-TR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tr-T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tr-TR" sz="1100" b="0" i="1">
                                            <a:latin typeface="Cambria Math" panose="02040503050406030204" pitchFamily="18" charset="0"/>
                                          </a:rPr>
                                          <m:t>𝑐</m:t>
                                        </m:r>
                                      </m:e>
                                      <m:sub>
                                        <m:r>
                                          <a:rPr lang="tr-TR" sz="1100" b="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tr-TR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tr-TR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tr-TR" sz="1100" b="0" i="1">
                                            <a:latin typeface="Cambria Math" panose="02040503050406030204" pitchFamily="18" charset="0"/>
                                          </a:rPr>
                                          <m:t>𝑐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48" name="Metin kutusu 47">
              <a:extLst>
                <a:ext uri="{FF2B5EF4-FFF2-40B4-BE49-F238E27FC236}">
                  <a16:creationId xmlns:a16="http://schemas.microsoft.com/office/drawing/2014/main" id="{00000000-0008-0000-0300-000030000000}"/>
                </a:ext>
              </a:extLst>
            </xdr:cNvPr>
            <xdr:cNvSpPr txBox="1"/>
          </xdr:nvSpPr>
          <xdr:spPr>
            <a:xfrm>
              <a:off x="7597773" y="3527425"/>
              <a:ext cx="1582613" cy="4103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i="0">
                  <a:latin typeface="Cambria Math" panose="02040503050406030204" pitchFamily="18" charset="0"/>
                </a:rPr>
                <a:t>m</a:t>
              </a:r>
              <a:r>
                <a:rPr lang="tr-TR" sz="1100" b="0" i="0">
                  <a:latin typeface="Cambria Math" panose="02040503050406030204" pitchFamily="18" charset="0"/>
                </a:rPr>
                <a:t>ea</a:t>
              </a:r>
              <a:r>
                <a:rPr lang="tr-TR" sz="1100" i="0">
                  <a:latin typeface="Cambria Math" panose="02040503050406030204" pitchFamily="18" charset="0"/>
                </a:rPr>
                <a:t>n┬(</a:t>
              </a:r>
              <a:r>
                <a:rPr lang="tr-TR" sz="1100" b="0" i="0">
                  <a:latin typeface="Cambria Math" panose="02040503050406030204" pitchFamily="18" charset="0"/>
                </a:rPr>
                <a:t>𝑖=1..𝑆𝑛)⁡〖𝑒_𝑖^2 〗⁄mean((𝑐_𝑖−𝑐 ̅ )^2 ) 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20</xdr:col>
      <xdr:colOff>44448</xdr:colOff>
      <xdr:row>9</xdr:row>
      <xdr:rowOff>50800</xdr:rowOff>
    </xdr:from>
    <xdr:ext cx="1749325" cy="370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Metin kutusu 49">
              <a:extLst>
                <a:ext uri="{FF2B5EF4-FFF2-40B4-BE49-F238E27FC236}">
                  <a16:creationId xmlns:a16="http://schemas.microsoft.com/office/drawing/2014/main" id="{00000000-0008-0000-0300-000032000000}"/>
                </a:ext>
              </a:extLst>
            </xdr:cNvPr>
            <xdr:cNvSpPr txBox="1"/>
          </xdr:nvSpPr>
          <xdr:spPr>
            <a:xfrm>
              <a:off x="7597773" y="3994150"/>
              <a:ext cx="1749325" cy="370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tr-T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tr-TR" sz="110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limLow>
                              <m:limLowPr>
                                <m:ctrlPr>
                                  <a:rPr lang="tr-TR" sz="1100" i="1">
                                    <a:latin typeface="Cambria Math" panose="02040503050406030204" pitchFamily="18" charset="0"/>
                                  </a:rPr>
                                </m:ctrlPr>
                              </m:limLowPr>
                              <m:e>
                                <m:r>
                                  <m:rPr>
                                    <m:sty m:val="p"/>
                                  </m:rPr>
                                  <a:rPr lang="tr-TR" sz="1100" i="0">
                                    <a:latin typeface="Cambria Math" panose="02040503050406030204" pitchFamily="18" charset="0"/>
                                  </a:rPr>
                                  <m:t>m</m:t>
                                </m:r>
                                <m:r>
                                  <m:rPr>
                                    <m:sty m:val="p"/>
                                  </m:rPr>
                                  <a:rPr lang="tr-TR" sz="1100" b="0" i="0">
                                    <a:latin typeface="Cambria Math" panose="02040503050406030204" pitchFamily="18" charset="0"/>
                                  </a:rPr>
                                  <m:t>ea</m:t>
                                </m:r>
                                <m:r>
                                  <m:rPr>
                                    <m:sty m:val="p"/>
                                  </m:rPr>
                                  <a:rPr lang="tr-TR" sz="1100" i="0">
                                    <a:latin typeface="Cambria Math" panose="02040503050406030204" pitchFamily="18" charset="0"/>
                                  </a:rPr>
                                  <m:t>n</m:t>
                                </m:r>
                              </m:e>
                              <m:lim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=1..</m:t>
                                </m:r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𝑆𝑛</m:t>
                                </m:r>
                              </m:lim>
                            </m:limLow>
                          </m:fName>
                          <m:e>
                            <m:sSubSup>
                              <m:sSubSupPr>
                                <m:ctrlPr>
                                  <a:rPr lang="tr-TR" sz="110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func>
                      </m:num>
                      <m:den>
                        <m:r>
                          <m:rPr>
                            <m:sty m:val="p"/>
                          </m:rPr>
                          <a:rPr lang="tr-TR" sz="1100" b="0" i="0">
                            <a:latin typeface="Cambria Math" panose="02040503050406030204" pitchFamily="18" charset="0"/>
                          </a:rPr>
                          <m:t>mean</m:t>
                        </m:r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)⋅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latin typeface="Cambria Math" panose="02040503050406030204" pitchFamily="18" charset="0"/>
                          </a:rPr>
                          <m:t>mean</m:t>
                        </m:r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50" name="Metin kutusu 49">
              <a:extLst>
                <a:ext uri="{FF2B5EF4-FFF2-40B4-BE49-F238E27FC236}">
                  <a16:creationId xmlns:a16="http://schemas.microsoft.com/office/drawing/2014/main" id="{00000000-0008-0000-0300-000032000000}"/>
                </a:ext>
              </a:extLst>
            </xdr:cNvPr>
            <xdr:cNvSpPr txBox="1"/>
          </xdr:nvSpPr>
          <xdr:spPr>
            <a:xfrm>
              <a:off x="7597773" y="3994150"/>
              <a:ext cx="1749325" cy="370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i="0">
                  <a:latin typeface="Cambria Math" panose="02040503050406030204" pitchFamily="18" charset="0"/>
                </a:rPr>
                <a:t>m</a:t>
              </a:r>
              <a:r>
                <a:rPr lang="tr-TR" sz="1100" b="0" i="0">
                  <a:latin typeface="Cambria Math" panose="02040503050406030204" pitchFamily="18" charset="0"/>
                </a:rPr>
                <a:t>ea</a:t>
              </a:r>
              <a:r>
                <a:rPr lang="tr-TR" sz="1100" i="0">
                  <a:latin typeface="Cambria Math" panose="02040503050406030204" pitchFamily="18" charset="0"/>
                </a:rPr>
                <a:t>n┬(</a:t>
              </a:r>
              <a:r>
                <a:rPr lang="tr-TR" sz="1100" b="0" i="0">
                  <a:latin typeface="Cambria Math" panose="02040503050406030204" pitchFamily="18" charset="0"/>
                </a:rPr>
                <a:t>𝑖=1..𝑆𝑛)⁡〖𝑒_𝑖^2 〗⁄(mean(𝑐)⋅mean(𝑝))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20</xdr:col>
      <xdr:colOff>44448</xdr:colOff>
      <xdr:row>13</xdr:row>
      <xdr:rowOff>60325</xdr:rowOff>
    </xdr:from>
    <xdr:ext cx="924292" cy="3365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Metin kutusu 53">
              <a:extLst>
                <a:ext uri="{FF2B5EF4-FFF2-40B4-BE49-F238E27FC236}">
                  <a16:creationId xmlns:a16="http://schemas.microsoft.com/office/drawing/2014/main" id="{00000000-0008-0000-0300-000036000000}"/>
                </a:ext>
              </a:extLst>
            </xdr:cNvPr>
            <xdr:cNvSpPr txBox="1"/>
          </xdr:nvSpPr>
          <xdr:spPr>
            <a:xfrm>
              <a:off x="7597773" y="4451350"/>
              <a:ext cx="924292" cy="3365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tr-T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tr-TR" sz="110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limLow>
                              <m:limLowPr>
                                <m:ctrlPr>
                                  <a:rPr lang="tr-TR" sz="1100" i="1">
                                    <a:latin typeface="Cambria Math" panose="02040503050406030204" pitchFamily="18" charset="0"/>
                                  </a:rPr>
                                </m:ctrlPr>
                              </m:limLowPr>
                              <m:e>
                                <m:r>
                                  <m:rPr>
                                    <m:sty m:val="p"/>
                                  </m:rPr>
                                  <a:rPr lang="tr-TR" sz="1100" i="0">
                                    <a:latin typeface="Cambria Math" panose="02040503050406030204" pitchFamily="18" charset="0"/>
                                  </a:rPr>
                                  <m:t>m</m:t>
                                </m:r>
                                <m:r>
                                  <m:rPr>
                                    <m:sty m:val="p"/>
                                  </m:rPr>
                                  <a:rPr lang="tr-TR" sz="1100" b="0" i="0">
                                    <a:latin typeface="Cambria Math" panose="02040503050406030204" pitchFamily="18" charset="0"/>
                                  </a:rPr>
                                  <m:t>ea</m:t>
                                </m:r>
                                <m:r>
                                  <m:rPr>
                                    <m:sty m:val="p"/>
                                  </m:rPr>
                                  <a:rPr lang="tr-TR" sz="1100" i="0">
                                    <a:latin typeface="Cambria Math" panose="02040503050406030204" pitchFamily="18" charset="0"/>
                                  </a:rPr>
                                  <m:t>n</m:t>
                                </m:r>
                              </m:e>
                              <m:lim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=1..</m:t>
                                </m:r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𝑆𝑛</m:t>
                                </m:r>
                              </m:lim>
                            </m:limLow>
                          </m:fName>
                          <m:e>
                            <m:sSubSup>
                              <m:sSubSupPr>
                                <m:ctrlPr>
                                  <a:rPr lang="tr-TR" sz="110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func>
                      </m:num>
                      <m:den>
                        <m:sSub>
                          <m:sSubPr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tr-T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⋅</m:t>
                        </m:r>
                        <m:sSub>
                          <m:sSubPr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54" name="Metin kutusu 53">
              <a:extLst>
                <a:ext uri="{FF2B5EF4-FFF2-40B4-BE49-F238E27FC236}">
                  <a16:creationId xmlns:a16="http://schemas.microsoft.com/office/drawing/2014/main" id="{00000000-0008-0000-0300-000036000000}"/>
                </a:ext>
              </a:extLst>
            </xdr:cNvPr>
            <xdr:cNvSpPr txBox="1"/>
          </xdr:nvSpPr>
          <xdr:spPr>
            <a:xfrm>
              <a:off x="7597773" y="4451350"/>
              <a:ext cx="924292" cy="3365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i="0">
                  <a:latin typeface="Cambria Math" panose="02040503050406030204" pitchFamily="18" charset="0"/>
                </a:rPr>
                <a:t>m</a:t>
              </a:r>
              <a:r>
                <a:rPr lang="tr-TR" sz="1100" b="0" i="0">
                  <a:latin typeface="Cambria Math" panose="02040503050406030204" pitchFamily="18" charset="0"/>
                </a:rPr>
                <a:t>ea</a:t>
              </a:r>
              <a:r>
                <a:rPr lang="tr-TR" sz="1100" i="0">
                  <a:latin typeface="Cambria Math" panose="02040503050406030204" pitchFamily="18" charset="0"/>
                </a:rPr>
                <a:t>n┬(</a:t>
              </a:r>
              <a:r>
                <a:rPr lang="tr-TR" sz="1100" b="0" i="0">
                  <a:latin typeface="Cambria Math" panose="02040503050406030204" pitchFamily="18" charset="0"/>
                </a:rPr>
                <a:t>𝑖=1..𝑆𝑛)⁡〖𝑒_𝑖^2 〗⁄(𝑐_𝑖</a:t>
              </a:r>
              <a:r>
                <a:rPr lang="tr-T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⋅</a:t>
              </a:r>
              <a:r>
                <a:rPr lang="tr-TR" sz="1100" b="0" i="0">
                  <a:latin typeface="Cambria Math" panose="02040503050406030204" pitchFamily="18" charset="0"/>
                </a:rPr>
                <a:t>𝑝_𝑖 )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20</xdr:col>
      <xdr:colOff>44448</xdr:colOff>
      <xdr:row>28</xdr:row>
      <xdr:rowOff>44451</xdr:rowOff>
    </xdr:from>
    <xdr:ext cx="993193" cy="29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Metin kutusu 35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 txBox="1"/>
          </xdr:nvSpPr>
          <xdr:spPr>
            <a:xfrm>
              <a:off x="7597773" y="10255251"/>
              <a:ext cx="993193" cy="29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tr-TR" sz="1100" b="0" i="0">
                                <a:latin typeface="Cambria Math" panose="02040503050406030204" pitchFamily="18" charset="0"/>
                              </a:rPr>
                              <m:t>mean</m:t>
                            </m:r>
                          </m:e>
                          <m:lim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=1..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𝑆𝑛</m:t>
                            </m:r>
                          </m:lim>
                        </m:limLow>
                      </m:fName>
                      <m:e>
                        <m:d>
                          <m:dPr>
                            <m:begChr m:val="|"/>
                            <m:endChr m:val="|"/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𝑠𝑦𝑚</m:t>
                                </m:r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_%</m:t>
                                </m:r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func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44" name="Metin kutusu 35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 txBox="1"/>
          </xdr:nvSpPr>
          <xdr:spPr>
            <a:xfrm>
              <a:off x="7597773" y="10255251"/>
              <a:ext cx="993193" cy="29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tr-TR" sz="1100" b="0" i="0">
                  <a:latin typeface="Cambria Math" panose="02040503050406030204" pitchFamily="18" charset="0"/>
                </a:rPr>
                <a:t>mean┬(𝑖=1..𝑆𝑛)⁡|〖𝑠𝑦𝑚_%𝑒〗_𝑖 |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20</xdr:col>
      <xdr:colOff>50800</xdr:colOff>
      <xdr:row>30</xdr:row>
      <xdr:rowOff>38100</xdr:rowOff>
    </xdr:from>
    <xdr:ext cx="1193800" cy="3746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Metin kutusu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 txBox="1"/>
          </xdr:nvSpPr>
          <xdr:spPr>
            <a:xfrm>
              <a:off x="4775200" y="10617200"/>
              <a:ext cx="1193800" cy="3746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tr-TR" sz="1100" b="0" i="0">
                                <a:latin typeface="Cambria Math" panose="02040503050406030204" pitchFamily="18" charset="0"/>
                              </a:rPr>
                              <m:t>median</m:t>
                            </m:r>
                          </m:e>
                          <m:lim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=1..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𝑆𝑛</m:t>
                            </m:r>
                          </m:lim>
                        </m:limLow>
                      </m:fName>
                      <m:e>
                        <m:d>
                          <m:dPr>
                            <m:begChr m:val="|"/>
                            <m:endChr m:val="|"/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tr-T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tr-T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𝑠𝑦𝑚</m:t>
                                    </m:r>
                                    <m:r>
                                      <a:rPr lang="tr-T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_%</m:t>
                                    </m:r>
                                    <m:r>
                                      <a:rPr lang="tr-T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</m:e>
                                  <m:sub>
                                    <m:r>
                                      <a:rPr lang="tr-T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</m:e>
                        </m:d>
                      </m:e>
                    </m:func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47" name="Metin kutusu 46">
              <a:extLst>
                <a:ext uri="{FF2B5EF4-FFF2-40B4-BE49-F238E27FC236}">
                  <a16:creationId xmlns:a16="http://schemas.microsoft.com/office/drawing/2014/main" id="{03046AFA-74C3-DC41-B92D-6B589861BECE}"/>
                </a:ext>
              </a:extLst>
            </xdr:cNvPr>
            <xdr:cNvSpPr txBox="1"/>
          </xdr:nvSpPr>
          <xdr:spPr>
            <a:xfrm>
              <a:off x="4775200" y="10617200"/>
              <a:ext cx="1193800" cy="37464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tr-TR" sz="1100" b="0" i="0">
                  <a:latin typeface="Cambria Math" panose="02040503050406030204" pitchFamily="18" charset="0"/>
                </a:rPr>
                <a:t>median┬(𝑖=1..𝑆𝑛)⁡|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〖𝑠𝑦𝑚_%𝑒〗_𝑖/2|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20</xdr:col>
      <xdr:colOff>63500</xdr:colOff>
      <xdr:row>20</xdr:row>
      <xdr:rowOff>63500</xdr:rowOff>
    </xdr:from>
    <xdr:ext cx="994833" cy="2963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Metin kutusu 48">
              <a:extLst>
                <a:ext uri="{FF2B5EF4-FFF2-40B4-BE49-F238E27FC236}">
                  <a16:creationId xmlns:a16="http://schemas.microsoft.com/office/drawing/2014/main" id="{00000000-0008-0000-0300-000031000000}"/>
                </a:ext>
              </a:extLst>
            </xdr:cNvPr>
            <xdr:cNvSpPr txBox="1"/>
          </xdr:nvSpPr>
          <xdr:spPr>
            <a:xfrm>
              <a:off x="5943600" y="8420100"/>
              <a:ext cx="994833" cy="29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tr-TR" sz="1100" b="0" i="0">
                                <a:latin typeface="Cambria Math" panose="02040503050406030204" pitchFamily="18" charset="0"/>
                              </a:rPr>
                              <m:t>geomean</m:t>
                            </m:r>
                          </m:e>
                          <m:lim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=1..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𝑆𝑛</m:t>
                            </m:r>
                          </m:lim>
                        </m:limLow>
                      </m:fName>
                      <m:e>
                        <m:d>
                          <m:dPr>
                            <m:begChr m:val="|"/>
                            <m:endChr m:val="|"/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𝑟𝑒𝑙</m:t>
                                </m:r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_</m:t>
                                </m:r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func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49" name="Metin kutusu 48">
              <a:extLst>
                <a:ext uri="{FF2B5EF4-FFF2-40B4-BE49-F238E27FC236}">
                  <a16:creationId xmlns:a16="http://schemas.microsoft.com/office/drawing/2014/main" id="{4CA4253C-AA6F-AC4A-A65B-BE5F6594344E}"/>
                </a:ext>
              </a:extLst>
            </xdr:cNvPr>
            <xdr:cNvSpPr txBox="1"/>
          </xdr:nvSpPr>
          <xdr:spPr>
            <a:xfrm>
              <a:off x="5943600" y="8420100"/>
              <a:ext cx="994833" cy="2963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tr-TR" sz="1100" b="0" i="0">
                  <a:latin typeface="Cambria Math" panose="02040503050406030204" pitchFamily="18" charset="0"/>
                </a:rPr>
                <a:t>geomean┬(𝑖=1..𝑆𝑛)⁡|〖𝑟𝑒𝑙_𝑒〗_𝑖 |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20</xdr:col>
      <xdr:colOff>47625</xdr:colOff>
      <xdr:row>35</xdr:row>
      <xdr:rowOff>104775</xdr:rowOff>
    </xdr:from>
    <xdr:ext cx="86696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4895850" y="15230475"/>
              <a:ext cx="8669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tr-T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tr-TR" sz="1100" b="0" i="1">
                        <a:latin typeface="Cambria Math" panose="02040503050406030204" pitchFamily="18" charset="0"/>
                      </a:rPr>
                      <m:t>−</m:t>
                    </m:r>
                    <m:func>
                      <m:func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𝑀𝑆𝐸</m:t>
                        </m:r>
                      </m:e>
                    </m:func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895850" y="15230475"/>
              <a:ext cx="8669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tr-TR" sz="1100" b="0" i="0">
                  <a:latin typeface="Cambria Math" panose="02040503050406030204" pitchFamily="18" charset="0"/>
                </a:rPr>
                <a:t>2𝑘−2ln⁡𝑀𝑆𝐸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20</xdr:col>
      <xdr:colOff>57150</xdr:colOff>
      <xdr:row>36</xdr:row>
      <xdr:rowOff>152400</xdr:rowOff>
    </xdr:from>
    <xdr:ext cx="108356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00000000-0008-0000-0300-000037000000}"/>
                </a:ext>
              </a:extLst>
            </xdr:cNvPr>
            <xdr:cNvSpPr txBox="1"/>
          </xdr:nvSpPr>
          <xdr:spPr>
            <a:xfrm>
              <a:off x="4905375" y="15725775"/>
              <a:ext cx="10835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ln</m:t>
                        </m:r>
                      </m:fName>
                      <m:e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𝑆𝑛</m:t>
                        </m:r>
                      </m:e>
                    </m:func>
                    <m:r>
                      <a:rPr lang="tr-TR" sz="1100" b="0" i="1">
                        <a:latin typeface="Cambria Math" panose="02040503050406030204" pitchFamily="18" charset="0"/>
                      </a:rPr>
                      <m:t>−</m:t>
                    </m:r>
                    <m:func>
                      <m:func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m:rPr>
                            <m:sty m:val="p"/>
                          </m:rPr>
                          <a:rPr lang="tr-TR" sz="1100" b="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𝑀𝑆𝐸</m:t>
                        </m:r>
                      </m:e>
                    </m:func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55" name="TextBox 54"/>
            <xdr:cNvSpPr txBox="1"/>
          </xdr:nvSpPr>
          <xdr:spPr>
            <a:xfrm>
              <a:off x="4905375" y="15725775"/>
              <a:ext cx="10835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ln⁡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𝑆𝑛</a:t>
              </a:r>
              <a:r>
                <a:rPr lang="tr-TR" sz="1100" b="0" i="0">
                  <a:latin typeface="Cambria Math" panose="02040503050406030204" pitchFamily="18" charset="0"/>
                </a:rPr>
                <a:t>−2ln⁡𝑀𝑆𝐸</a:t>
              </a:r>
              <a:endParaRPr lang="tr-TR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165100</xdr:colOff>
      <xdr:row>19</xdr:row>
      <xdr:rowOff>106315</xdr:rowOff>
    </xdr:from>
    <xdr:ext cx="515782" cy="3374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Metin kutusu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7404100" y="4881515"/>
              <a:ext cx="515782" cy="3374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b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tr-T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tr-TR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  <m:sub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2" name="Metin kutusu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7404100" y="4881515"/>
              <a:ext cx="515782" cy="3374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latin typeface="Cambria Math" panose="02040503050406030204" pitchFamily="18" charset="0"/>
                </a:rPr>
                <a:t>|𝑒_𝑖 |=</a:t>
              </a:r>
              <a:endParaRPr lang="tr-TR" sz="1100" b="0" i="1">
                <a:latin typeface="Cambria Math" panose="02040503050406030204" pitchFamily="18" charset="0"/>
              </a:endParaRPr>
            </a:p>
            <a:p>
              <a:pPr/>
              <a:r>
                <a:rPr lang="tr-TR" sz="1100" b="0" i="0">
                  <a:latin typeface="Cambria Math" panose="02040503050406030204" pitchFamily="18" charset="0"/>
                </a:rPr>
                <a:t>|𝑐_𝑖−𝑝_𝑖 |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20</xdr:col>
      <xdr:colOff>711200</xdr:colOff>
      <xdr:row>19</xdr:row>
      <xdr:rowOff>268476</xdr:rowOff>
    </xdr:from>
    <xdr:ext cx="208583" cy="1753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Metin kutusu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8775700" y="5043676"/>
              <a:ext cx="208583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b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  <m:sup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3" name="Metin kutusu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8775700" y="5043676"/>
              <a:ext cx="208583" cy="1753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latin typeface="Cambria Math" panose="02040503050406030204" pitchFamily="18" charset="0"/>
                </a:rPr>
                <a:t>〖𝑒_𝑖〗^2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26</xdr:col>
      <xdr:colOff>38100</xdr:colOff>
      <xdr:row>19</xdr:row>
      <xdr:rowOff>271682</xdr:rowOff>
    </xdr:from>
    <xdr:ext cx="696024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Metin kutusu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13296900" y="5046882"/>
              <a:ext cx="696024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func>
                      <m:func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tr-TR" sz="1100" b="0" i="0">
                                <a:latin typeface="Cambria Math" panose="02040503050406030204" pitchFamily="18" charset="0"/>
                              </a:rPr>
                              <m:t>log</m:t>
                            </m:r>
                          </m:e>
                          <m:sub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fName>
                      <m:e>
                        <m:sSub>
                          <m:sSubPr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  <m:sub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func>
                    <m:r>
                      <a:rPr lang="tr-TR" sz="1100" b="0" i="1">
                        <a:latin typeface="Cambria Math" panose="02040503050406030204" pitchFamily="18" charset="0"/>
                      </a:rPr>
                      <m:t>+</m:t>
                    </m:r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4" name="Metin kutusu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13296900" y="5046882"/>
              <a:ext cx="696024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latin typeface="Cambria Math" panose="02040503050406030204" pitchFamily="18" charset="0"/>
                </a:rPr>
                <a:t>𝑐_𝑖  log_2⁡〖𝑝_𝑖 〗+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27</xdr:col>
      <xdr:colOff>25400</xdr:colOff>
      <xdr:row>19</xdr:row>
      <xdr:rowOff>271682</xdr:rowOff>
    </xdr:from>
    <xdr:ext cx="1262332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Metin kutusu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14084300" y="5046882"/>
              <a:ext cx="126233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tr-TR" sz="1100" b="0" i="1">
                        <a:latin typeface="Cambria Math" panose="02040503050406030204" pitchFamily="18" charset="0"/>
                      </a:rPr>
                      <m:t>(1−</m:t>
                    </m:r>
                    <m:sSub>
                      <m:sSub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tr-TR" sz="1100" b="0" i="1">
                        <a:latin typeface="Cambria Math" panose="02040503050406030204" pitchFamily="18" charset="0"/>
                      </a:rPr>
                      <m:t>)</m:t>
                    </m:r>
                    <m:func>
                      <m:func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sSub>
                          <m:sSubPr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tr-TR" sz="1100" b="0" i="0">
                                <a:latin typeface="Cambria Math" panose="02040503050406030204" pitchFamily="18" charset="0"/>
                              </a:rPr>
                              <m:t>log</m:t>
                            </m:r>
                          </m:e>
                          <m:sub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fName>
                      <m:e>
                        <m:d>
                          <m:dPr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func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5" name="Metin kutusu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14084300" y="5046882"/>
              <a:ext cx="1262332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latin typeface="Cambria Math" panose="02040503050406030204" pitchFamily="18" charset="0"/>
                </a:rPr>
                <a:t>(1−𝑐_𝑖)log_2⁡(1−𝑝_𝑖 )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24</xdr:col>
      <xdr:colOff>114300</xdr:colOff>
      <xdr:row>19</xdr:row>
      <xdr:rowOff>145942</xdr:rowOff>
    </xdr:from>
    <xdr:ext cx="779764" cy="2978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Metin kutusu 7">
              <a:extLst>
                <a:ext uri="{FF2B5EF4-FFF2-40B4-BE49-F238E27FC236}">
                  <a16:creationId xmlns:a16="http://schemas.microsoft.com/office/drawing/2014/main" id="{00000000-0008-0000-0400-000008000000}"/>
                </a:ext>
              </a:extLst>
            </xdr:cNvPr>
            <xdr:cNvSpPr txBox="1"/>
          </xdr:nvSpPr>
          <xdr:spPr>
            <a:xfrm>
              <a:off x="11214100" y="4921142"/>
              <a:ext cx="779764" cy="2978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e>
                              <m:sub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den>
                    </m:f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8" name="Metin kutusu 7">
              <a:extLst>
                <a:ext uri="{FF2B5EF4-FFF2-40B4-BE49-F238E27FC236}">
                  <a16:creationId xmlns:a16="http://schemas.microsoft.com/office/drawing/2014/main" id="{00000000-0008-0000-0400-000008000000}"/>
                </a:ext>
              </a:extLst>
            </xdr:cNvPr>
            <xdr:cNvSpPr txBox="1"/>
          </xdr:nvSpPr>
          <xdr:spPr>
            <a:xfrm>
              <a:off x="11214100" y="4921142"/>
              <a:ext cx="779764" cy="2978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latin typeface="Cambria Math" panose="02040503050406030204" pitchFamily="18" charset="0"/>
                </a:rPr>
                <a:t>|𝑝_𝑖−𝑐_𝑖 |⁄|𝑝_𝑖 | 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25</xdr:col>
      <xdr:colOff>38655</xdr:colOff>
      <xdr:row>19</xdr:row>
      <xdr:rowOff>145942</xdr:rowOff>
    </xdr:from>
    <xdr:ext cx="1156792" cy="2978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Metin kutusu 8">
              <a:extLst>
                <a:ext uri="{FF2B5EF4-FFF2-40B4-BE49-F238E27FC236}">
                  <a16:creationId xmlns:a16="http://schemas.microsoft.com/office/drawing/2014/main" id="{00000000-0008-0000-0400-000009000000}"/>
                </a:ext>
              </a:extLst>
            </xdr:cNvPr>
            <xdr:cNvSpPr txBox="1"/>
          </xdr:nvSpPr>
          <xdr:spPr>
            <a:xfrm>
              <a:off x="13437155" y="5111642"/>
              <a:ext cx="1156792" cy="2978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e>
                              <m:sub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e>
                              <m:sub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den>
                    </m:f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9" name="Metin kutusu 8">
              <a:extLst>
                <a:ext uri="{FF2B5EF4-FFF2-40B4-BE49-F238E27FC236}">
                  <a16:creationId xmlns:a16="http://schemas.microsoft.com/office/drawing/2014/main" id="{00000000-0008-0000-0400-000009000000}"/>
                </a:ext>
              </a:extLst>
            </xdr:cNvPr>
            <xdr:cNvSpPr txBox="1"/>
          </xdr:nvSpPr>
          <xdr:spPr>
            <a:xfrm>
              <a:off x="13437155" y="5111642"/>
              <a:ext cx="1156792" cy="2978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latin typeface="Cambria Math" panose="02040503050406030204" pitchFamily="18" charset="0"/>
                </a:rPr>
                <a:t>|𝑐_𝑖−𝑝_𝑖 |⁄(|𝑐_𝑖 |+|𝑝_𝑖 | )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18</xdr:col>
      <xdr:colOff>469900</xdr:colOff>
      <xdr:row>19</xdr:row>
      <xdr:rowOff>271682</xdr:rowOff>
    </xdr:from>
    <xdr:ext cx="721608" cy="1720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Metin kutusu 9">
              <a:extLst>
                <a:ext uri="{FF2B5EF4-FFF2-40B4-BE49-F238E27FC236}">
                  <a16:creationId xmlns:a16="http://schemas.microsoft.com/office/drawing/2014/main" id="{00000000-0008-0000-0400-00000A000000}"/>
                </a:ext>
              </a:extLst>
            </xdr:cNvPr>
            <xdr:cNvSpPr txBox="1"/>
          </xdr:nvSpPr>
          <xdr:spPr>
            <a:xfrm>
              <a:off x="6489700" y="5046882"/>
              <a:ext cx="721608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tr-T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tr-TR" sz="11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tr-T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10" name="Metin kutusu 9">
              <a:extLst>
                <a:ext uri="{FF2B5EF4-FFF2-40B4-BE49-F238E27FC236}">
                  <a16:creationId xmlns:a16="http://schemas.microsoft.com/office/drawing/2014/main" id="{00000000-0008-0000-0400-00000A000000}"/>
                </a:ext>
              </a:extLst>
            </xdr:cNvPr>
            <xdr:cNvSpPr txBox="1"/>
          </xdr:nvSpPr>
          <xdr:spPr>
            <a:xfrm>
              <a:off x="6489700" y="5046882"/>
              <a:ext cx="721608" cy="1720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latin typeface="Cambria Math" panose="02040503050406030204" pitchFamily="18" charset="0"/>
                </a:rPr>
                <a:t>𝑒_𝑖=𝑐_𝑖−𝑝_𝑖</a:t>
              </a:r>
              <a:endParaRPr lang="tr-TR" sz="1100"/>
            </a:p>
          </xdr:txBody>
        </xdr:sp>
      </mc:Fallback>
    </mc:AlternateContent>
    <xdr:clientData/>
  </xdr:oneCellAnchor>
  <xdr:twoCellAnchor editAs="oneCell">
    <xdr:from>
      <xdr:col>7</xdr:col>
      <xdr:colOff>51707</xdr:colOff>
      <xdr:row>4</xdr:row>
      <xdr:rowOff>59871</xdr:rowOff>
    </xdr:from>
    <xdr:to>
      <xdr:col>7</xdr:col>
      <xdr:colOff>195707</xdr:colOff>
      <xdr:row>4</xdr:row>
      <xdr:rowOff>203871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2793" y="968828"/>
          <a:ext cx="144000" cy="144000"/>
        </a:xfrm>
        <a:prstGeom prst="rect">
          <a:avLst/>
        </a:prstGeom>
      </xdr:spPr>
    </xdr:pic>
    <xdr:clientData/>
  </xdr:twoCellAnchor>
  <xdr:twoCellAnchor editAs="oneCell">
    <xdr:from>
      <xdr:col>7</xdr:col>
      <xdr:colOff>244796</xdr:colOff>
      <xdr:row>4</xdr:row>
      <xdr:rowOff>59871</xdr:rowOff>
    </xdr:from>
    <xdr:to>
      <xdr:col>7</xdr:col>
      <xdr:colOff>388796</xdr:colOff>
      <xdr:row>4</xdr:row>
      <xdr:rowOff>203871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5882" y="968828"/>
          <a:ext cx="144000" cy="144000"/>
        </a:xfrm>
        <a:prstGeom prst="rect">
          <a:avLst/>
        </a:prstGeom>
      </xdr:spPr>
    </xdr:pic>
    <xdr:clientData/>
  </xdr:twoCellAnchor>
  <xdr:twoCellAnchor editAs="oneCell">
    <xdr:from>
      <xdr:col>7</xdr:col>
      <xdr:colOff>437885</xdr:colOff>
      <xdr:row>4</xdr:row>
      <xdr:rowOff>59871</xdr:rowOff>
    </xdr:from>
    <xdr:to>
      <xdr:col>7</xdr:col>
      <xdr:colOff>583246</xdr:colOff>
      <xdr:row>4</xdr:row>
      <xdr:rowOff>203871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8971" y="968828"/>
          <a:ext cx="145361" cy="144000"/>
        </a:xfrm>
        <a:prstGeom prst="rect">
          <a:avLst/>
        </a:prstGeom>
      </xdr:spPr>
    </xdr:pic>
    <xdr:clientData/>
  </xdr:twoCellAnchor>
  <xdr:twoCellAnchor editAs="oneCell">
    <xdr:from>
      <xdr:col>7</xdr:col>
      <xdr:colOff>632336</xdr:colOff>
      <xdr:row>4</xdr:row>
      <xdr:rowOff>59871</xdr:rowOff>
    </xdr:from>
    <xdr:to>
      <xdr:col>7</xdr:col>
      <xdr:colOff>776336</xdr:colOff>
      <xdr:row>4</xdr:row>
      <xdr:rowOff>203871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3422" y="968828"/>
          <a:ext cx="144000" cy="144000"/>
        </a:xfrm>
        <a:prstGeom prst="rect">
          <a:avLst/>
        </a:prstGeom>
      </xdr:spPr>
    </xdr:pic>
    <xdr:clientData/>
  </xdr:twoCellAnchor>
  <xdr:oneCellAnchor>
    <xdr:from>
      <xdr:col>21</xdr:col>
      <xdr:colOff>63500</xdr:colOff>
      <xdr:row>19</xdr:row>
      <xdr:rowOff>12700</xdr:rowOff>
    </xdr:from>
    <xdr:ext cx="614592" cy="4310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Metin kutusu 15">
              <a:extLst>
                <a:ext uri="{FF2B5EF4-FFF2-40B4-BE49-F238E27FC236}">
                  <a16:creationId xmlns:a16="http://schemas.microsoft.com/office/drawing/2014/main" id="{00000000-0008-0000-0400-000010000000}"/>
                </a:ext>
              </a:extLst>
            </xdr:cNvPr>
            <xdr:cNvSpPr txBox="1"/>
          </xdr:nvSpPr>
          <xdr:spPr>
            <a:xfrm>
              <a:off x="9118600" y="4787900"/>
              <a:ext cx="614592" cy="431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𝑟𝑒𝑙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_</m:t>
                            </m:r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b>
                            <m:r>
                              <a:rPr lang="tr-T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tr-T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tr-TR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tr-T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skw"/>
                            <m:ctrlPr>
                              <a:rPr lang="tr-T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tr-T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num>
                          <m:den>
                            <m:r>
                              <a:rPr lang="el-G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∆</m:t>
                            </m:r>
                            <m:sSub>
                              <m:sSubPr>
                                <m:ctrlPr>
                                  <a:rPr lang="el-G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e>
                              <m:sub>
                                <m: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16" name="Metin kutusu 15">
              <a:extLst>
                <a:ext uri="{FF2B5EF4-FFF2-40B4-BE49-F238E27FC236}">
                  <a16:creationId xmlns:a16="http://schemas.microsoft.com/office/drawing/2014/main" id="{8667D095-0F54-014F-8F32-C680EA8BDB3C}"/>
                </a:ext>
              </a:extLst>
            </xdr:cNvPr>
            <xdr:cNvSpPr txBox="1"/>
          </xdr:nvSpPr>
          <xdr:spPr>
            <a:xfrm>
              <a:off x="9118600" y="4787900"/>
              <a:ext cx="614592" cy="431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latin typeface="Cambria Math" panose="02040503050406030204" pitchFamily="18" charset="0"/>
                </a:rPr>
                <a:t>|〖𝑟𝑒𝑙_𝑒〗_𝑖 |=</a:t>
              </a:r>
              <a:endParaRPr lang="tr-TR" sz="1100" b="0" i="1">
                <a:latin typeface="Cambria Math" panose="02040503050406030204" pitchFamily="18" charset="0"/>
              </a:endParaRPr>
            </a:p>
            <a:p>
              <a:pPr/>
              <a:r>
                <a:rPr lang="tr-TR" sz="1100" b="0" i="0">
                  <a:latin typeface="Cambria Math" panose="02040503050406030204" pitchFamily="18" charset="0"/>
                </a:rPr>
                <a:t>|𝑒_𝑖⁄(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)|</a:t>
              </a:r>
              <a:endParaRPr lang="tr-TR" sz="1100"/>
            </a:p>
          </xdr:txBody>
        </xdr:sp>
      </mc:Fallback>
    </mc:AlternateContent>
    <xdr:clientData/>
  </xdr:oneCellAnchor>
  <xdr:twoCellAnchor>
    <xdr:from>
      <xdr:col>19</xdr:col>
      <xdr:colOff>3164</xdr:colOff>
      <xdr:row>17</xdr:row>
      <xdr:rowOff>0</xdr:rowOff>
    </xdr:from>
    <xdr:to>
      <xdr:col>19</xdr:col>
      <xdr:colOff>131180</xdr:colOff>
      <xdr:row>19</xdr:row>
      <xdr:rowOff>2165</xdr:rowOff>
    </xdr:to>
    <xdr:sp macro="" textlink="">
      <xdr:nvSpPr>
        <xdr:cNvPr id="7" name="Dikdörtgen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 rot="16200000">
          <a:off x="7134909" y="4552255"/>
          <a:ext cx="667645" cy="12801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tr-TR" sz="1100"/>
            <a:t>Absolute</a:t>
          </a:r>
        </a:p>
      </xdr:txBody>
    </xdr:sp>
    <xdr:clientData/>
  </xdr:twoCellAnchor>
  <xdr:twoCellAnchor>
    <xdr:from>
      <xdr:col>20</xdr:col>
      <xdr:colOff>4971</xdr:colOff>
      <xdr:row>15</xdr:row>
      <xdr:rowOff>0</xdr:rowOff>
    </xdr:from>
    <xdr:to>
      <xdr:col>20</xdr:col>
      <xdr:colOff>132987</xdr:colOff>
      <xdr:row>19</xdr:row>
      <xdr:rowOff>2166</xdr:rowOff>
    </xdr:to>
    <xdr:sp macro="" textlink="">
      <xdr:nvSpPr>
        <xdr:cNvPr id="17" name="Dikdörtgen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 rot="16200000">
          <a:off x="7632016" y="4219515"/>
          <a:ext cx="1333126" cy="12801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tr-TR" sz="1100"/>
            <a:t>Sqared</a:t>
          </a:r>
        </a:p>
      </xdr:txBody>
    </xdr:sp>
    <xdr:clientData/>
  </xdr:twoCellAnchor>
  <xdr:twoCellAnchor>
    <xdr:from>
      <xdr:col>21</xdr:col>
      <xdr:colOff>6777</xdr:colOff>
      <xdr:row>13</xdr:row>
      <xdr:rowOff>5080</xdr:rowOff>
    </xdr:from>
    <xdr:to>
      <xdr:col>21</xdr:col>
      <xdr:colOff>134793</xdr:colOff>
      <xdr:row>19</xdr:row>
      <xdr:rowOff>2166</xdr:rowOff>
    </xdr:to>
    <xdr:sp macro="" textlink="">
      <xdr:nvSpPr>
        <xdr:cNvPr id="18" name="Dikdörtgen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 rot="16200000">
          <a:off x="8314542" y="3909635"/>
          <a:ext cx="1952886" cy="12801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tr-TR" sz="1100"/>
            <a:t>Relative</a:t>
          </a:r>
          <a:r>
            <a:rPr lang="tr-TR" sz="1100" baseline="0"/>
            <a:t> (Absolute)</a:t>
          </a:r>
          <a:endParaRPr lang="tr-TR" sz="1100"/>
        </a:p>
      </xdr:txBody>
    </xdr:sp>
    <xdr:clientData/>
  </xdr:twoCellAnchor>
  <xdr:oneCellAnchor>
    <xdr:from>
      <xdr:col>20</xdr:col>
      <xdr:colOff>174077</xdr:colOff>
      <xdr:row>17</xdr:row>
      <xdr:rowOff>7554</xdr:rowOff>
    </xdr:from>
    <xdr:ext cx="266043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8391853" y="4297088"/>
          <a:ext cx="26604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/>
            <a:t>p1</a:t>
          </a:r>
        </a:p>
      </xdr:txBody>
    </xdr:sp>
    <xdr:clientData/>
  </xdr:oneCellAnchor>
  <xdr:oneCellAnchor>
    <xdr:from>
      <xdr:col>20</xdr:col>
      <xdr:colOff>168822</xdr:colOff>
      <xdr:row>15</xdr:row>
      <xdr:rowOff>8867</xdr:rowOff>
    </xdr:from>
    <xdr:ext cx="266043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/>
      </xdr:nvSpPr>
      <xdr:spPr>
        <a:xfrm>
          <a:off x="8386598" y="3621798"/>
          <a:ext cx="26604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/>
            <a:t>p1.1</a:t>
          </a:r>
        </a:p>
      </xdr:txBody>
    </xdr:sp>
    <xdr:clientData/>
  </xdr:oneCellAnchor>
  <xdr:oneCellAnchor>
    <xdr:from>
      <xdr:col>19</xdr:col>
      <xdr:colOff>177363</xdr:colOff>
      <xdr:row>16</xdr:row>
      <xdr:rowOff>275896</xdr:rowOff>
    </xdr:from>
    <xdr:ext cx="266043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7567449" y="4289534"/>
          <a:ext cx="26604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p2.</a:t>
          </a:r>
          <a:r>
            <a:rPr lang="tr-TR" sz="900" i="0"/>
            <a:t>1</a:t>
          </a:r>
        </a:p>
      </xdr:txBody>
    </xdr:sp>
    <xdr:clientData/>
  </xdr:oneCellAnchor>
  <xdr:oneCellAnchor>
    <xdr:from>
      <xdr:col>19</xdr:col>
      <xdr:colOff>39414</xdr:colOff>
      <xdr:row>15</xdr:row>
      <xdr:rowOff>0</xdr:rowOff>
    </xdr:from>
    <xdr:ext cx="266043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7429500" y="3612931"/>
          <a:ext cx="26604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p2.</a:t>
          </a:r>
          <a:r>
            <a:rPr lang="tr-TR" sz="900" i="0"/>
            <a:t>2</a:t>
          </a:r>
        </a:p>
      </xdr:txBody>
    </xdr:sp>
    <xdr:clientData/>
  </xdr:oneCellAnchor>
  <xdr:oneCellAnchor>
    <xdr:from>
      <xdr:col>18</xdr:col>
      <xdr:colOff>45983</xdr:colOff>
      <xdr:row>15</xdr:row>
      <xdr:rowOff>0</xdr:rowOff>
    </xdr:from>
    <xdr:ext cx="266043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6214242" y="3612931"/>
          <a:ext cx="26604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p2.</a:t>
          </a:r>
          <a:r>
            <a:rPr lang="tr-TR" sz="900" i="0"/>
            <a:t>3</a:t>
          </a:r>
        </a:p>
      </xdr:txBody>
    </xdr:sp>
    <xdr:clientData/>
  </xdr:oneCellAnchor>
  <xdr:oneCellAnchor>
    <xdr:from>
      <xdr:col>21</xdr:col>
      <xdr:colOff>183932</xdr:colOff>
      <xdr:row>16</xdr:row>
      <xdr:rowOff>275896</xdr:rowOff>
    </xdr:from>
    <xdr:ext cx="266043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/>
      </xdr:nvSpPr>
      <xdr:spPr>
        <a:xfrm>
          <a:off x="9393622" y="4289534"/>
          <a:ext cx="26604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/>
            <a:t>p</a:t>
          </a:r>
          <a:r>
            <a:rPr lang="tr-TR" sz="900" i="0" u="sng"/>
            <a:t>2</a:t>
          </a:r>
          <a:endParaRPr lang="tr-TR" sz="900" i="0"/>
        </a:p>
      </xdr:txBody>
    </xdr:sp>
    <xdr:clientData/>
  </xdr:oneCellAnchor>
  <xdr:oneCellAnchor>
    <xdr:from>
      <xdr:col>25</xdr:col>
      <xdr:colOff>174302</xdr:colOff>
      <xdr:row>16</xdr:row>
      <xdr:rowOff>263196</xdr:rowOff>
    </xdr:from>
    <xdr:ext cx="266043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/>
      </xdr:nvSpPr>
      <xdr:spPr>
        <a:xfrm>
          <a:off x="12269782" y="4276396"/>
          <a:ext cx="26604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/>
            <a:t>p3.1</a:t>
          </a:r>
        </a:p>
      </xdr:txBody>
    </xdr:sp>
    <xdr:clientData/>
  </xdr:oneCellAnchor>
  <xdr:oneCellAnchor>
    <xdr:from>
      <xdr:col>21</xdr:col>
      <xdr:colOff>183932</xdr:colOff>
      <xdr:row>15</xdr:row>
      <xdr:rowOff>0</xdr:rowOff>
    </xdr:from>
    <xdr:ext cx="266043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9393622" y="3612931"/>
          <a:ext cx="26604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/>
            <a:t>p</a:t>
          </a:r>
          <a:r>
            <a:rPr lang="tr-TR" sz="900" i="0" u="sng"/>
            <a:t>2</a:t>
          </a:r>
          <a:r>
            <a:rPr lang="tr-TR" sz="900" i="0"/>
            <a:t>.1</a:t>
          </a:r>
        </a:p>
      </xdr:txBody>
    </xdr:sp>
    <xdr:clientData/>
  </xdr:oneCellAnchor>
  <xdr:oneCellAnchor>
    <xdr:from>
      <xdr:col>21</xdr:col>
      <xdr:colOff>183932</xdr:colOff>
      <xdr:row>13</xdr:row>
      <xdr:rowOff>0</xdr:rowOff>
    </xdr:from>
    <xdr:ext cx="266043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/>
      </xdr:nvSpPr>
      <xdr:spPr>
        <a:xfrm>
          <a:off x="9393622" y="2982310"/>
          <a:ext cx="26604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/>
            <a:t>p</a:t>
          </a:r>
          <a:r>
            <a:rPr lang="tr-TR" sz="900" i="0" u="sng"/>
            <a:t>2</a:t>
          </a:r>
          <a:r>
            <a:rPr lang="tr-TR" sz="900" i="0"/>
            <a:t>.2</a:t>
          </a:r>
        </a:p>
      </xdr:txBody>
    </xdr:sp>
    <xdr:clientData/>
  </xdr:oneCellAnchor>
  <xdr:oneCellAnchor>
    <xdr:from>
      <xdr:col>18</xdr:col>
      <xdr:colOff>45983</xdr:colOff>
      <xdr:row>16</xdr:row>
      <xdr:rowOff>275896</xdr:rowOff>
    </xdr:from>
    <xdr:ext cx="266043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6214242" y="4289534"/>
          <a:ext cx="26604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p0x</a:t>
          </a:r>
          <a:endParaRPr lang="tr-TR" sz="900" i="0"/>
        </a:p>
      </xdr:txBody>
    </xdr:sp>
    <xdr:clientData/>
  </xdr:oneCellAnchor>
  <xdr:oneCellAnchor>
    <xdr:from>
      <xdr:col>17</xdr:col>
      <xdr:colOff>45983</xdr:colOff>
      <xdr:row>15</xdr:row>
      <xdr:rowOff>9196</xdr:rowOff>
    </xdr:from>
    <xdr:ext cx="266043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5405383" y="3603296"/>
          <a:ext cx="26604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p2.4x</a:t>
          </a:r>
          <a:endParaRPr lang="tr-TR" sz="900" i="0"/>
        </a:p>
      </xdr:txBody>
    </xdr:sp>
    <xdr:clientData/>
  </xdr:oneCellAnchor>
  <xdr:oneCellAnchor>
    <xdr:from>
      <xdr:col>17</xdr:col>
      <xdr:colOff>45983</xdr:colOff>
      <xdr:row>16</xdr:row>
      <xdr:rowOff>275896</xdr:rowOff>
    </xdr:from>
    <xdr:ext cx="266043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/>
      </xdr:nvSpPr>
      <xdr:spPr>
        <a:xfrm>
          <a:off x="5181200" y="3599293"/>
          <a:ext cx="26604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p4.1x</a:t>
          </a:r>
          <a:endParaRPr lang="tr-TR" sz="900" i="0"/>
        </a:p>
      </xdr:txBody>
    </xdr:sp>
    <xdr:clientData/>
  </xdr:oneCellAnchor>
  <xdr:oneCellAnchor>
    <xdr:from>
      <xdr:col>16</xdr:col>
      <xdr:colOff>45983</xdr:colOff>
      <xdr:row>14</xdr:row>
      <xdr:rowOff>275896</xdr:rowOff>
    </xdr:from>
    <xdr:ext cx="266043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5181200" y="3599293"/>
          <a:ext cx="26604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p4.4x</a:t>
          </a:r>
          <a:endParaRPr lang="tr-TR" sz="900" i="0"/>
        </a:p>
      </xdr:txBody>
    </xdr:sp>
    <xdr:clientData/>
  </xdr:oneCellAnchor>
  <xdr:oneCellAnchor>
    <xdr:from>
      <xdr:col>16</xdr:col>
      <xdr:colOff>45983</xdr:colOff>
      <xdr:row>16</xdr:row>
      <xdr:rowOff>275896</xdr:rowOff>
    </xdr:from>
    <xdr:ext cx="266043" cy="172227"/>
    <xdr:sp macro="" textlink="">
      <xdr:nvSpPr>
        <xdr:cNvPr id="31" name="TextBox 28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 txBox="1"/>
      </xdr:nvSpPr>
      <xdr:spPr>
        <a:xfrm>
          <a:off x="5181200" y="4260935"/>
          <a:ext cx="26604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p4.3x</a:t>
          </a:r>
          <a:endParaRPr lang="tr-TR" sz="900" i="0"/>
        </a:p>
      </xdr:txBody>
    </xdr:sp>
    <xdr:clientData/>
  </xdr:oneCellAnchor>
  <xdr:oneCellAnchor>
    <xdr:from>
      <xdr:col>15</xdr:col>
      <xdr:colOff>165173</xdr:colOff>
      <xdr:row>16</xdr:row>
      <xdr:rowOff>263196</xdr:rowOff>
    </xdr:from>
    <xdr:ext cx="266043" cy="172227"/>
    <xdr:sp macro="" textlink="">
      <xdr:nvSpPr>
        <xdr:cNvPr id="32" name="TextBox 28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 txBox="1"/>
      </xdr:nvSpPr>
      <xdr:spPr>
        <a:xfrm>
          <a:off x="3403879" y="4266368"/>
          <a:ext cx="26604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p4.5x</a:t>
          </a:r>
          <a:endParaRPr lang="tr-TR" sz="900" i="0"/>
        </a:p>
      </xdr:txBody>
    </xdr:sp>
    <xdr:clientData/>
  </xdr:oneCellAnchor>
  <xdr:oneCellAnchor>
    <xdr:from>
      <xdr:col>15</xdr:col>
      <xdr:colOff>45983</xdr:colOff>
      <xdr:row>14</xdr:row>
      <xdr:rowOff>275896</xdr:rowOff>
    </xdr:from>
    <xdr:ext cx="266043" cy="172227"/>
    <xdr:sp macro="" textlink="">
      <xdr:nvSpPr>
        <xdr:cNvPr id="33" name="TextBox 28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/>
      </xdr:nvSpPr>
      <xdr:spPr>
        <a:xfrm>
          <a:off x="4198331" y="4260935"/>
          <a:ext cx="26604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p1.</a:t>
          </a:r>
          <a:r>
            <a:rPr lang="tr-TR" sz="900" i="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3x</a:t>
          </a:r>
          <a:endParaRPr lang="tr-TR" sz="900" i="0" u="sng"/>
        </a:p>
      </xdr:txBody>
    </xdr:sp>
    <xdr:clientData/>
  </xdr:oneCellAnchor>
  <xdr:oneCellAnchor>
    <xdr:from>
      <xdr:col>15</xdr:col>
      <xdr:colOff>45983</xdr:colOff>
      <xdr:row>12</xdr:row>
      <xdr:rowOff>275896</xdr:rowOff>
    </xdr:from>
    <xdr:ext cx="266043" cy="172227"/>
    <xdr:sp macro="" textlink="">
      <xdr:nvSpPr>
        <xdr:cNvPr id="34" name="TextBox 28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 txBox="1"/>
      </xdr:nvSpPr>
      <xdr:spPr>
        <a:xfrm>
          <a:off x="5181200" y="4260935"/>
          <a:ext cx="26604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p1.2x</a:t>
          </a:r>
          <a:endParaRPr lang="tr-TR" sz="900" i="0"/>
        </a:p>
      </xdr:txBody>
    </xdr:sp>
    <xdr:clientData/>
  </xdr:oneCellAnchor>
  <xdr:oneCellAnchor>
    <xdr:from>
      <xdr:col>22</xdr:col>
      <xdr:colOff>44172</xdr:colOff>
      <xdr:row>17</xdr:row>
      <xdr:rowOff>0</xdr:rowOff>
    </xdr:from>
    <xdr:ext cx="266043" cy="172227"/>
    <xdr:sp macro="" textlink="">
      <xdr:nvSpPr>
        <xdr:cNvPr id="35" name="TextBox 28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10027476" y="4262783"/>
          <a:ext cx="26604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p4.2x</a:t>
          </a:r>
          <a:endParaRPr lang="tr-TR" sz="900" i="0"/>
        </a:p>
      </xdr:txBody>
    </xdr:sp>
    <xdr:clientData/>
  </xdr:oneCellAnchor>
  <xdr:oneCellAnchor>
    <xdr:from>
      <xdr:col>24</xdr:col>
      <xdr:colOff>53007</xdr:colOff>
      <xdr:row>17</xdr:row>
      <xdr:rowOff>8834</xdr:rowOff>
    </xdr:from>
    <xdr:ext cx="266043" cy="172227"/>
    <xdr:sp macro="" textlink="">
      <xdr:nvSpPr>
        <xdr:cNvPr id="36" name="TextBox 28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10963964" y="4271617"/>
          <a:ext cx="26604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p4.2x</a:t>
          </a:r>
          <a:r>
            <a:rPr lang="tr-TR" sz="900" i="0"/>
            <a:t>'</a:t>
          </a:r>
        </a:p>
      </xdr:txBody>
    </xdr:sp>
    <xdr:clientData/>
  </xdr:oneCellAnchor>
  <xdr:oneCellAnchor>
    <xdr:from>
      <xdr:col>22</xdr:col>
      <xdr:colOff>44172</xdr:colOff>
      <xdr:row>13</xdr:row>
      <xdr:rowOff>0</xdr:rowOff>
    </xdr:from>
    <xdr:ext cx="266043" cy="172227"/>
    <xdr:sp macro="" textlink="">
      <xdr:nvSpPr>
        <xdr:cNvPr id="37" name="TextBox 28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 txBox="1"/>
      </xdr:nvSpPr>
      <xdr:spPr>
        <a:xfrm>
          <a:off x="10115824" y="4262783"/>
          <a:ext cx="26604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p2.4</a:t>
          </a:r>
          <a:r>
            <a:rPr lang="tr-TR" sz="900" i="0"/>
            <a:t>x</a:t>
          </a:r>
        </a:p>
      </xdr:txBody>
    </xdr:sp>
    <xdr:clientData/>
  </xdr:oneCellAnchor>
  <xdr:oneCellAnchor>
    <xdr:from>
      <xdr:col>22</xdr:col>
      <xdr:colOff>44172</xdr:colOff>
      <xdr:row>15</xdr:row>
      <xdr:rowOff>0</xdr:rowOff>
    </xdr:from>
    <xdr:ext cx="266043" cy="172227"/>
    <xdr:sp macro="" textlink="">
      <xdr:nvSpPr>
        <xdr:cNvPr id="38" name="TextBox 28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 txBox="1"/>
      </xdr:nvSpPr>
      <xdr:spPr>
        <a:xfrm>
          <a:off x="10115824" y="4262783"/>
          <a:ext cx="26604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tr-TR" sz="900" i="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tr-TR" sz="9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.3</a:t>
          </a:r>
          <a:r>
            <a:rPr lang="tr-TR" sz="900" i="0"/>
            <a:t>x</a:t>
          </a:r>
        </a:p>
      </xdr:txBody>
    </xdr:sp>
    <xdr:clientData/>
  </xdr:oneCellAnchor>
  <xdr:oneCellAnchor>
    <xdr:from>
      <xdr:col>25</xdr:col>
      <xdr:colOff>174302</xdr:colOff>
      <xdr:row>14</xdr:row>
      <xdr:rowOff>225096</xdr:rowOff>
    </xdr:from>
    <xdr:ext cx="266043" cy="172227"/>
    <xdr:sp macro="" textlink="">
      <xdr:nvSpPr>
        <xdr:cNvPr id="39" name="TextBox 23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 txBox="1"/>
      </xdr:nvSpPr>
      <xdr:spPr>
        <a:xfrm>
          <a:off x="12269782" y="3613456"/>
          <a:ext cx="26604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/>
            <a:t>p3.1x</a:t>
          </a:r>
        </a:p>
      </xdr:txBody>
    </xdr:sp>
    <xdr:clientData/>
  </xdr:oneCellAnchor>
  <xdr:twoCellAnchor>
    <xdr:from>
      <xdr:col>25</xdr:col>
      <xdr:colOff>2652</xdr:colOff>
      <xdr:row>15</xdr:row>
      <xdr:rowOff>5080</xdr:rowOff>
    </xdr:from>
    <xdr:to>
      <xdr:col>25</xdr:col>
      <xdr:colOff>130668</xdr:colOff>
      <xdr:row>19</xdr:row>
      <xdr:rowOff>2166</xdr:rowOff>
    </xdr:to>
    <xdr:sp macro="" textlink="">
      <xdr:nvSpPr>
        <xdr:cNvPr id="40" name="Dikdörtgen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 rot="16200000">
          <a:off x="11498117" y="4222055"/>
          <a:ext cx="1328046" cy="12801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tr-TR" sz="1100"/>
            <a:t>% (Symmetric)</a:t>
          </a:r>
        </a:p>
      </xdr:txBody>
    </xdr:sp>
    <xdr:clientData/>
  </xdr:twoCellAnchor>
  <xdr:twoCellAnchor>
    <xdr:from>
      <xdr:col>15</xdr:col>
      <xdr:colOff>9215</xdr:colOff>
      <xdr:row>17</xdr:row>
      <xdr:rowOff>0</xdr:rowOff>
    </xdr:from>
    <xdr:to>
      <xdr:col>15</xdr:col>
      <xdr:colOff>137231</xdr:colOff>
      <xdr:row>18</xdr:row>
      <xdr:rowOff>263043</xdr:rowOff>
    </xdr:to>
    <xdr:sp macro="" textlink="">
      <xdr:nvSpPr>
        <xdr:cNvPr id="41" name="Dikdörtgen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 rot="16200000">
          <a:off x="2983126" y="4535119"/>
          <a:ext cx="657606" cy="128016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tr-TR" sz="1100"/>
            <a:t>Percentage</a:t>
          </a:r>
        </a:p>
      </xdr:txBody>
    </xdr:sp>
    <xdr:clientData/>
  </xdr:twoCellAnchor>
  <xdr:twoCellAnchor>
    <xdr:from>
      <xdr:col>9</xdr:col>
      <xdr:colOff>1</xdr:colOff>
      <xdr:row>19</xdr:row>
      <xdr:rowOff>64675</xdr:rowOff>
    </xdr:from>
    <xdr:to>
      <xdr:col>17</xdr:col>
      <xdr:colOff>1346203</xdr:colOff>
      <xdr:row>19</xdr:row>
      <xdr:rowOff>279398</xdr:rowOff>
    </xdr:to>
    <xdr:sp macro="" textlink="">
      <xdr:nvSpPr>
        <xdr:cNvPr id="42" name="Sağ Köşeli Ayraç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 rot="16200000">
          <a:off x="4864690" y="3353386"/>
          <a:ext cx="214723" cy="3467102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vert="vert" lIns="0" tIns="0" rIns="0" bIns="0" rtlCol="0" anchor="ctr"/>
        <a:lstStyle/>
        <a:p>
          <a:pPr algn="ctr"/>
          <a:r>
            <a:rPr lang="tr-TR" sz="1100" b="1" i="1">
              <a:latin typeface="Times New Roman" panose="02020603050405020304" pitchFamily="18" charset="0"/>
              <a:cs typeface="Times New Roman" panose="02020603050405020304" pitchFamily="18" charset="0"/>
            </a:rPr>
            <a:t>Classification Examples/Outputs</a:t>
          </a:r>
        </a:p>
      </xdr:txBody>
    </xdr:sp>
    <xdr:clientData/>
  </xdr:twoCellAnchor>
  <xdr:oneCellAnchor>
    <xdr:from>
      <xdr:col>22</xdr:col>
      <xdr:colOff>12700</xdr:colOff>
      <xdr:row>19</xdr:row>
      <xdr:rowOff>39640</xdr:rowOff>
    </xdr:from>
    <xdr:ext cx="1018164" cy="3557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Metin kutusu 1">
              <a:extLst>
                <a:ext uri="{FF2B5EF4-FFF2-40B4-BE49-F238E27FC236}">
                  <a16:creationId xmlns:a16="http://schemas.microsoft.com/office/drawing/2014/main" id="{00000000-0008-0000-0400-00002B000000}"/>
                </a:ext>
              </a:extLst>
            </xdr:cNvPr>
            <xdr:cNvSpPr txBox="1"/>
          </xdr:nvSpPr>
          <xdr:spPr>
            <a:xfrm>
              <a:off x="15671800" y="4983115"/>
              <a:ext cx="1018164" cy="3557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%</m:t>
                        </m:r>
                        <m:sSub>
                          <m:sSubPr>
                            <m:ctrlP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b>
                            <m: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tr-T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tr-T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e>
                              <m:sub>
                                <m: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tr-T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e>
                              <m:sub>
                                <m:r>
                                  <a:rPr lang="tr-T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den>
                    </m:f>
                  </m:oMath>
                </m:oMathPara>
              </a14:m>
              <a:endParaRPr lang="tr-TR" sz="1100"/>
            </a:p>
          </xdr:txBody>
        </xdr:sp>
      </mc:Choice>
      <mc:Fallback xmlns="">
        <xdr:sp macro="" textlink="">
          <xdr:nvSpPr>
            <xdr:cNvPr id="43" name="Metin kutusu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15671800" y="4983115"/>
              <a:ext cx="1018164" cy="3557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%𝑒_𝑖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|</a:t>
              </a:r>
              <a:r>
                <a:rPr lang="tr-T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=|𝑐_𝑖−𝑝_𝑖 |/|𝑐_𝑖 | </a:t>
              </a:r>
              <a:endParaRPr lang="tr-TR" sz="1100"/>
            </a:p>
          </xdr:txBody>
        </xdr:sp>
      </mc:Fallback>
    </mc:AlternateContent>
    <xdr:clientData/>
  </xdr:oneCellAnchor>
  <xdr:oneCellAnchor>
    <xdr:from>
      <xdr:col>15</xdr:col>
      <xdr:colOff>918306</xdr:colOff>
      <xdr:row>13</xdr:row>
      <xdr:rowOff>0</xdr:rowOff>
    </xdr:from>
    <xdr:ext cx="365760" cy="172227"/>
    <xdr:sp macro="" textlink="">
      <xdr:nvSpPr>
        <xdr:cNvPr id="44" name="TextBox 28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/>
      </xdr:nvSpPr>
      <xdr:spPr>
        <a:xfrm>
          <a:off x="4161691" y="2969846"/>
          <a:ext cx="36576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p1.</a:t>
          </a:r>
          <a:r>
            <a:rPr lang="tr-TR" sz="900" i="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4x.5</a:t>
          </a:r>
          <a:endParaRPr lang="tr-TR" sz="900" i="0" u="sng"/>
        </a:p>
      </xdr:txBody>
    </xdr:sp>
    <xdr:clientData/>
  </xdr:oneCellAnchor>
  <xdr:oneCellAnchor>
    <xdr:from>
      <xdr:col>20</xdr:col>
      <xdr:colOff>17584</xdr:colOff>
      <xdr:row>13</xdr:row>
      <xdr:rowOff>0</xdr:rowOff>
    </xdr:from>
    <xdr:ext cx="365760" cy="172227"/>
    <xdr:sp macro="" textlink="">
      <xdr:nvSpPr>
        <xdr:cNvPr id="45" name="TextBox 28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 txBox="1"/>
      </xdr:nvSpPr>
      <xdr:spPr>
        <a:xfrm>
          <a:off x="5376984" y="2971800"/>
          <a:ext cx="36576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p1.</a:t>
          </a:r>
          <a:r>
            <a:rPr lang="tr-TR" sz="900" i="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4x.1</a:t>
          </a:r>
          <a:endParaRPr lang="tr-TR" sz="900" i="0" u="sng"/>
        </a:p>
      </xdr:txBody>
    </xdr:sp>
    <xdr:clientData/>
  </xdr:oneCellAnchor>
  <xdr:oneCellAnchor>
    <xdr:from>
      <xdr:col>18</xdr:col>
      <xdr:colOff>37122</xdr:colOff>
      <xdr:row>13</xdr:row>
      <xdr:rowOff>0</xdr:rowOff>
    </xdr:from>
    <xdr:ext cx="365760" cy="172227"/>
    <xdr:sp macro="" textlink="">
      <xdr:nvSpPr>
        <xdr:cNvPr id="46" name="TextBox 28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 txBox="1"/>
      </xdr:nvSpPr>
      <xdr:spPr>
        <a:xfrm>
          <a:off x="6755422" y="2971800"/>
          <a:ext cx="36576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p1.</a:t>
          </a:r>
          <a:r>
            <a:rPr lang="tr-TR" sz="900" i="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4x.3</a:t>
          </a:r>
          <a:endParaRPr lang="tr-TR" sz="900" i="0" u="sng"/>
        </a:p>
      </xdr:txBody>
    </xdr:sp>
    <xdr:clientData/>
  </xdr:oneCellAnchor>
  <xdr:oneCellAnchor>
    <xdr:from>
      <xdr:col>18</xdr:col>
      <xdr:colOff>1269999</xdr:colOff>
      <xdr:row>13</xdr:row>
      <xdr:rowOff>0</xdr:rowOff>
    </xdr:from>
    <xdr:ext cx="365760" cy="172227"/>
    <xdr:sp macro="" textlink="">
      <xdr:nvSpPr>
        <xdr:cNvPr id="47" name="TextBox 28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 txBox="1"/>
      </xdr:nvSpPr>
      <xdr:spPr>
        <a:xfrm>
          <a:off x="8000999" y="2969846"/>
          <a:ext cx="36576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p1.</a:t>
          </a:r>
          <a:r>
            <a:rPr lang="tr-TR" sz="900" i="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4x.2</a:t>
          </a:r>
          <a:endParaRPr lang="tr-TR" sz="900" i="0" u="sng"/>
        </a:p>
      </xdr:txBody>
    </xdr:sp>
    <xdr:clientData/>
  </xdr:oneCellAnchor>
  <xdr:oneCellAnchor>
    <xdr:from>
      <xdr:col>17</xdr:col>
      <xdr:colOff>24422</xdr:colOff>
      <xdr:row>13</xdr:row>
      <xdr:rowOff>0</xdr:rowOff>
    </xdr:from>
    <xdr:ext cx="365760" cy="172227"/>
    <xdr:sp macro="" textlink="">
      <xdr:nvSpPr>
        <xdr:cNvPr id="48" name="TextBox 28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 txBox="1"/>
      </xdr:nvSpPr>
      <xdr:spPr>
        <a:xfrm>
          <a:off x="5383822" y="2971800"/>
          <a:ext cx="36576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p1.</a:t>
          </a:r>
          <a:r>
            <a:rPr lang="tr-TR" sz="900" i="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4x.4</a:t>
          </a:r>
          <a:endParaRPr lang="tr-TR" sz="900" i="0" u="sng"/>
        </a:p>
      </xdr:txBody>
    </xdr:sp>
    <xdr:clientData/>
  </xdr:oneCellAnchor>
  <xdr:oneCellAnchor>
    <xdr:from>
      <xdr:col>26</xdr:col>
      <xdr:colOff>48845</xdr:colOff>
      <xdr:row>17</xdr:row>
      <xdr:rowOff>0</xdr:rowOff>
    </xdr:from>
    <xdr:ext cx="266043" cy="172227"/>
    <xdr:sp macro="" textlink="">
      <xdr:nvSpPr>
        <xdr:cNvPr id="49" name="TextBox 22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 txBox="1"/>
      </xdr:nvSpPr>
      <xdr:spPr>
        <a:xfrm>
          <a:off x="14302153" y="4239846"/>
          <a:ext cx="26604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pPr algn="l"/>
          <a:r>
            <a:rPr lang="tr-TR" sz="900" i="0"/>
            <a:t>p</a:t>
          </a:r>
          <a:r>
            <a:rPr lang="tr-TR" sz="900" i="0" u="sng"/>
            <a:t>1</a:t>
          </a:r>
          <a:endParaRPr lang="tr-TR" sz="900" i="0"/>
        </a:p>
      </xdr:txBody>
    </xdr:sp>
    <xdr:clientData/>
  </xdr:oneCellAnchor>
  <xdr:twoCellAnchor>
    <xdr:from>
      <xdr:col>24</xdr:col>
      <xdr:colOff>9525</xdr:colOff>
      <xdr:row>4</xdr:row>
      <xdr:rowOff>19051</xdr:rowOff>
    </xdr:from>
    <xdr:to>
      <xdr:col>25</xdr:col>
      <xdr:colOff>1152528</xdr:colOff>
      <xdr:row>4</xdr:row>
      <xdr:rowOff>180973</xdr:rowOff>
    </xdr:to>
    <xdr:sp macro="" textlink="">
      <xdr:nvSpPr>
        <xdr:cNvPr id="50" name="Sağ Köşeli Ayraç 41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/>
      </xdr:nvSpPr>
      <xdr:spPr>
        <a:xfrm rot="16200000">
          <a:off x="13268328" y="-161927"/>
          <a:ext cx="161922" cy="2314578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vert="vert" lIns="0" tIns="0" rIns="0" bIns="0" rtlCol="0" anchor="ctr"/>
        <a:lstStyle/>
        <a:p>
          <a:pPr algn="ctr"/>
          <a:endParaRPr lang="tr-TR" sz="1100" b="1" i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4</xdr:col>
      <xdr:colOff>400050</xdr:colOff>
      <xdr:row>14</xdr:row>
      <xdr:rowOff>114300</xdr:rowOff>
    </xdr:to>
    <xdr:pic>
      <xdr:nvPicPr>
        <xdr:cNvPr id="2" name="Picture 1" descr="3D plot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"/>
          <a:ext cx="3143250" cy="2514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4</xdr:col>
      <xdr:colOff>371475</xdr:colOff>
      <xdr:row>32</xdr:row>
      <xdr:rowOff>142875</xdr:rowOff>
    </xdr:to>
    <xdr:pic>
      <xdr:nvPicPr>
        <xdr:cNvPr id="3" name="Picture 2" descr="Contour plot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0425"/>
          <a:ext cx="3114675" cy="314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369701</xdr:colOff>
      <xdr:row>10</xdr:row>
      <xdr:rowOff>26680</xdr:rowOff>
    </xdr:from>
    <xdr:to>
      <xdr:col>13</xdr:col>
      <xdr:colOff>146442</xdr:colOff>
      <xdr:row>10</xdr:row>
      <xdr:rowOff>272143</xdr:rowOff>
    </xdr:to>
    <xdr:sp macro="" textlink="">
      <xdr:nvSpPr>
        <xdr:cNvPr id="2" name="Yukarı Ok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6372568" y="4497080"/>
          <a:ext cx="200074" cy="245463"/>
        </a:xfrm>
        <a:prstGeom prst="upArrow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14</xdr:col>
      <xdr:colOff>342329</xdr:colOff>
      <xdr:row>10</xdr:row>
      <xdr:rowOff>26680</xdr:rowOff>
    </xdr:from>
    <xdr:to>
      <xdr:col>15</xdr:col>
      <xdr:colOff>119072</xdr:colOff>
      <xdr:row>10</xdr:row>
      <xdr:rowOff>272143</xdr:rowOff>
    </xdr:to>
    <xdr:sp macro="" textlink="">
      <xdr:nvSpPr>
        <xdr:cNvPr id="3" name="Yukarı Ok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7191862" y="4497080"/>
          <a:ext cx="200077" cy="245463"/>
        </a:xfrm>
        <a:prstGeom prst="upArrow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12</xdr:col>
      <xdr:colOff>369701</xdr:colOff>
      <xdr:row>8</xdr:row>
      <xdr:rowOff>29669</xdr:rowOff>
    </xdr:from>
    <xdr:to>
      <xdr:col>13</xdr:col>
      <xdr:colOff>146442</xdr:colOff>
      <xdr:row>8</xdr:row>
      <xdr:rowOff>275132</xdr:rowOff>
    </xdr:to>
    <xdr:sp macro="" textlink="">
      <xdr:nvSpPr>
        <xdr:cNvPr id="4" name="Yukarı Ok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6372568" y="3746536"/>
          <a:ext cx="200074" cy="245463"/>
        </a:xfrm>
        <a:prstGeom prst="upArrow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14</xdr:col>
      <xdr:colOff>342329</xdr:colOff>
      <xdr:row>8</xdr:row>
      <xdr:rowOff>29669</xdr:rowOff>
    </xdr:from>
    <xdr:to>
      <xdr:col>15</xdr:col>
      <xdr:colOff>119072</xdr:colOff>
      <xdr:row>8</xdr:row>
      <xdr:rowOff>275132</xdr:rowOff>
    </xdr:to>
    <xdr:sp macro="" textlink="">
      <xdr:nvSpPr>
        <xdr:cNvPr id="5" name="Yukarı Ok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7191862" y="3746536"/>
          <a:ext cx="200077" cy="245463"/>
        </a:xfrm>
        <a:prstGeom prst="upArrow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11</xdr:col>
      <xdr:colOff>63624</xdr:colOff>
      <xdr:row>11</xdr:row>
      <xdr:rowOff>122126</xdr:rowOff>
    </xdr:from>
    <xdr:to>
      <xdr:col>11</xdr:col>
      <xdr:colOff>309087</xdr:colOff>
      <xdr:row>11</xdr:row>
      <xdr:rowOff>324404</xdr:rowOff>
    </xdr:to>
    <xdr:sp macro="" textlink="">
      <xdr:nvSpPr>
        <xdr:cNvPr id="6" name="Yukarı Ok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 rot="16200000">
          <a:off x="4866393" y="3686415"/>
          <a:ext cx="202278" cy="245463"/>
        </a:xfrm>
        <a:prstGeom prst="upArrow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11</xdr:col>
      <xdr:colOff>63624</xdr:colOff>
      <xdr:row>12</xdr:row>
      <xdr:rowOff>141121</xdr:rowOff>
    </xdr:from>
    <xdr:to>
      <xdr:col>11</xdr:col>
      <xdr:colOff>309087</xdr:colOff>
      <xdr:row>12</xdr:row>
      <xdr:rowOff>343399</xdr:rowOff>
    </xdr:to>
    <xdr:sp macro="" textlink="">
      <xdr:nvSpPr>
        <xdr:cNvPr id="7" name="Yukarı Ok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 rot="16200000">
          <a:off x="4866393" y="4148310"/>
          <a:ext cx="202278" cy="245463"/>
        </a:xfrm>
        <a:prstGeom prst="upArrow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8</xdr:col>
      <xdr:colOff>29260</xdr:colOff>
      <xdr:row>11</xdr:row>
      <xdr:rowOff>122126</xdr:rowOff>
    </xdr:from>
    <xdr:to>
      <xdr:col>8</xdr:col>
      <xdr:colOff>274723</xdr:colOff>
      <xdr:row>11</xdr:row>
      <xdr:rowOff>324404</xdr:rowOff>
    </xdr:to>
    <xdr:sp macro="" textlink="">
      <xdr:nvSpPr>
        <xdr:cNvPr id="8" name="Yukarı Ok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 rot="16200000">
          <a:off x="3465979" y="3686415"/>
          <a:ext cx="202278" cy="245463"/>
        </a:xfrm>
        <a:prstGeom prst="upArrow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8</xdr:col>
      <xdr:colOff>29260</xdr:colOff>
      <xdr:row>12</xdr:row>
      <xdr:rowOff>141121</xdr:rowOff>
    </xdr:from>
    <xdr:to>
      <xdr:col>8</xdr:col>
      <xdr:colOff>274723</xdr:colOff>
      <xdr:row>12</xdr:row>
      <xdr:rowOff>343399</xdr:rowOff>
    </xdr:to>
    <xdr:sp macro="" textlink="">
      <xdr:nvSpPr>
        <xdr:cNvPr id="9" name="Yukarı Ok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 rot="16200000">
          <a:off x="3465979" y="4148310"/>
          <a:ext cx="202278" cy="245463"/>
        </a:xfrm>
        <a:prstGeom prst="upArrow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8</xdr:col>
      <xdr:colOff>35237</xdr:colOff>
      <xdr:row>8</xdr:row>
      <xdr:rowOff>37389</xdr:rowOff>
    </xdr:from>
    <xdr:to>
      <xdr:col>8</xdr:col>
      <xdr:colOff>280700</xdr:colOff>
      <xdr:row>8</xdr:row>
      <xdr:rowOff>239667</xdr:rowOff>
    </xdr:to>
    <xdr:sp macro="" textlink="">
      <xdr:nvSpPr>
        <xdr:cNvPr id="11" name="Yukarı Ok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 rot="18534772">
          <a:off x="3471956" y="2550460"/>
          <a:ext cx="202278" cy="245463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11</xdr:col>
      <xdr:colOff>70241</xdr:colOff>
      <xdr:row>10</xdr:row>
      <xdr:rowOff>56387</xdr:rowOff>
    </xdr:from>
    <xdr:to>
      <xdr:col>11</xdr:col>
      <xdr:colOff>315704</xdr:colOff>
      <xdr:row>10</xdr:row>
      <xdr:rowOff>258665</xdr:rowOff>
    </xdr:to>
    <xdr:sp macro="" textlink="">
      <xdr:nvSpPr>
        <xdr:cNvPr id="12" name="Yukarı Ok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 rot="18534772">
          <a:off x="4873010" y="3316517"/>
          <a:ext cx="202278" cy="245463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16</xdr:col>
      <xdr:colOff>83347</xdr:colOff>
      <xdr:row>10</xdr:row>
      <xdr:rowOff>51707</xdr:rowOff>
    </xdr:from>
    <xdr:to>
      <xdr:col>16</xdr:col>
      <xdr:colOff>328810</xdr:colOff>
      <xdr:row>10</xdr:row>
      <xdr:rowOff>253985</xdr:rowOff>
    </xdr:to>
    <xdr:sp macro="" textlink="">
      <xdr:nvSpPr>
        <xdr:cNvPr id="13" name="Yukarı Ok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 rot="3065228" flipH="1">
          <a:off x="7702659" y="3628447"/>
          <a:ext cx="202278" cy="245463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11</xdr:col>
      <xdr:colOff>93799</xdr:colOff>
      <xdr:row>13</xdr:row>
      <xdr:rowOff>30114</xdr:rowOff>
    </xdr:from>
    <xdr:to>
      <xdr:col>11</xdr:col>
      <xdr:colOff>296077</xdr:colOff>
      <xdr:row>13</xdr:row>
      <xdr:rowOff>275577</xdr:rowOff>
    </xdr:to>
    <xdr:sp macro="" textlink="">
      <xdr:nvSpPr>
        <xdr:cNvPr id="14" name="Yukarı Ok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 rot="13134772">
          <a:off x="5207220" y="4820465"/>
          <a:ext cx="202278" cy="245463"/>
        </a:xfrm>
        <a:prstGeom prst="up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oneCellAnchor>
    <xdr:from>
      <xdr:col>7</xdr:col>
      <xdr:colOff>80011</xdr:colOff>
      <xdr:row>5</xdr:row>
      <xdr:rowOff>306386</xdr:rowOff>
    </xdr:from>
    <xdr:ext cx="319575" cy="1614801"/>
    <xdr:sp macro="" textlink="">
      <xdr:nvSpPr>
        <xdr:cNvPr id="15" name="Metin kutusu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 rot="18741731">
          <a:off x="2846457" y="2619940"/>
          <a:ext cx="1614801" cy="3195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tr-TR" sz="1600" b="1">
              <a:latin typeface="Times New Roman" panose="02020603050405020304" pitchFamily="18" charset="0"/>
              <a:cs typeface="Times New Roman" panose="02020603050405020304" pitchFamily="18" charset="0"/>
            </a:rPr>
            <a:t>Mixed</a:t>
          </a:r>
          <a:r>
            <a:rPr lang="tr-TR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Geometry</a:t>
          </a:r>
          <a:endParaRPr lang="tr-TR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5</xdr:col>
      <xdr:colOff>24123</xdr:colOff>
      <xdr:row>12</xdr:row>
      <xdr:rowOff>171449</xdr:rowOff>
    </xdr:from>
    <xdr:to>
      <xdr:col>5</xdr:col>
      <xdr:colOff>606645</xdr:colOff>
      <xdr:row>12</xdr:row>
      <xdr:rowOff>381000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2945123" y="5395382"/>
          <a:ext cx="582522" cy="209551"/>
        </a:xfrm>
        <a:prstGeom prst="roundRect">
          <a:avLst/>
        </a:prstGeom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tr-TR" sz="1200">
              <a:solidFill>
                <a:sysClr val="windowText" lastClr="000000"/>
              </a:solidFill>
            </a:rPr>
            <a:t>Entropic</a:t>
          </a:r>
        </a:p>
      </xdr:txBody>
    </xdr:sp>
    <xdr:clientData/>
  </xdr:twoCellAnchor>
  <xdr:twoCellAnchor>
    <xdr:from>
      <xdr:col>1</xdr:col>
      <xdr:colOff>545119</xdr:colOff>
      <xdr:row>3</xdr:row>
      <xdr:rowOff>285749</xdr:rowOff>
    </xdr:from>
    <xdr:to>
      <xdr:col>3</xdr:col>
      <xdr:colOff>26383</xdr:colOff>
      <xdr:row>3</xdr:row>
      <xdr:rowOff>495300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24519" y="1767416"/>
          <a:ext cx="598864" cy="209551"/>
        </a:xfrm>
        <a:prstGeom prst="roundRect">
          <a:avLst/>
        </a:prstGeom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tr-TR" sz="1200">
              <a:solidFill>
                <a:sysClr val="windowText" lastClr="000000"/>
              </a:solidFill>
            </a:rPr>
            <a:t>Entropic</a:t>
          </a:r>
        </a:p>
      </xdr:txBody>
    </xdr:sp>
    <xdr:clientData/>
  </xdr:twoCellAnchor>
  <xdr:twoCellAnchor>
    <xdr:from>
      <xdr:col>4</xdr:col>
      <xdr:colOff>89740</xdr:colOff>
      <xdr:row>4</xdr:row>
      <xdr:rowOff>285749</xdr:rowOff>
    </xdr:from>
    <xdr:to>
      <xdr:col>4</xdr:col>
      <xdr:colOff>672262</xdr:colOff>
      <xdr:row>4</xdr:row>
      <xdr:rowOff>495300</xdr:rowOff>
    </xdr:to>
    <xdr:sp macro="" textlink="">
      <xdr:nvSpPr>
        <xdr:cNvPr id="17" name="Rounded 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2248740" y="2300816"/>
          <a:ext cx="582522" cy="209551"/>
        </a:xfrm>
        <a:prstGeom prst="roundRect">
          <a:avLst/>
        </a:prstGeom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tr-TR" sz="1200">
              <a:solidFill>
                <a:sysClr val="windowText" lastClr="000000"/>
              </a:solidFill>
            </a:rPr>
            <a:t>Graphic</a:t>
          </a:r>
        </a:p>
      </xdr:txBody>
    </xdr:sp>
    <xdr:clientData/>
  </xdr:twoCellAnchor>
  <xdr:twoCellAnchor>
    <xdr:from>
      <xdr:col>12</xdr:col>
      <xdr:colOff>156157</xdr:colOff>
      <xdr:row>4</xdr:row>
      <xdr:rowOff>325511</xdr:rowOff>
    </xdr:from>
    <xdr:to>
      <xdr:col>15</xdr:col>
      <xdr:colOff>349777</xdr:colOff>
      <xdr:row>4</xdr:row>
      <xdr:rowOff>535062</xdr:rowOff>
    </xdr:to>
    <xdr:sp macro="" textlink="">
      <xdr:nvSpPr>
        <xdr:cNvPr id="19" name="Rounded 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6304570" y="2331305"/>
          <a:ext cx="1917191" cy="209551"/>
        </a:xfrm>
        <a:prstGeom prst="roundRect">
          <a:avLst/>
        </a:prstGeom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tr-TR" sz="1200">
              <a:solidFill>
                <a:sysClr val="windowText" lastClr="000000"/>
              </a:solidFill>
            </a:rPr>
            <a:t>Probabilistic Error/Loss</a:t>
          </a:r>
        </a:p>
      </xdr:txBody>
    </xdr:sp>
    <xdr:clientData/>
  </xdr:twoCellAnchor>
  <xdr:twoCellAnchor>
    <xdr:from>
      <xdr:col>11</xdr:col>
      <xdr:colOff>98993</xdr:colOff>
      <xdr:row>1</xdr:row>
      <xdr:rowOff>589844</xdr:rowOff>
    </xdr:from>
    <xdr:to>
      <xdr:col>14</xdr:col>
      <xdr:colOff>325768</xdr:colOff>
      <xdr:row>2</xdr:row>
      <xdr:rowOff>268213</xdr:rowOff>
    </xdr:to>
    <xdr:sp macro="" textlink="">
      <xdr:nvSpPr>
        <xdr:cNvPr id="20" name="Rounded 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5672882" y="912384"/>
          <a:ext cx="1950346" cy="273051"/>
        </a:xfrm>
        <a:prstGeom prst="roundRect">
          <a:avLst/>
        </a:prstGeom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tr-TR" sz="1200">
              <a:solidFill>
                <a:sysClr val="windowText" lastClr="000000"/>
              </a:solidFill>
            </a:rPr>
            <a:t>Probabilistic Error/Loss</a:t>
          </a:r>
        </a:p>
      </xdr:txBody>
    </xdr:sp>
    <xdr:clientData/>
  </xdr:twoCellAnchor>
  <xdr:twoCellAnchor>
    <xdr:from>
      <xdr:col>15</xdr:col>
      <xdr:colOff>161201</xdr:colOff>
      <xdr:row>1</xdr:row>
      <xdr:rowOff>317499</xdr:rowOff>
    </xdr:from>
    <xdr:to>
      <xdr:col>16</xdr:col>
      <xdr:colOff>328814</xdr:colOff>
      <xdr:row>1</xdr:row>
      <xdr:rowOff>590550</xdr:rowOff>
    </xdr:to>
    <xdr:sp macro="" textlink="">
      <xdr:nvSpPr>
        <xdr:cNvPr id="21" name="Rounded 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7743101" y="634999"/>
          <a:ext cx="675613" cy="273051"/>
        </a:xfrm>
        <a:prstGeom prst="roundRect">
          <a:avLst/>
        </a:prstGeom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tr-TR" sz="1200">
              <a:solidFill>
                <a:sysClr val="windowText" lastClr="000000"/>
              </a:solidFill>
            </a:rPr>
            <a:t>Graphic</a:t>
          </a:r>
        </a:p>
      </xdr:txBody>
    </xdr:sp>
    <xdr:clientData/>
  </xdr:twoCellAnchor>
  <xdr:twoCellAnchor>
    <xdr:from>
      <xdr:col>15</xdr:col>
      <xdr:colOff>67053</xdr:colOff>
      <xdr:row>6</xdr:row>
      <xdr:rowOff>142874</xdr:rowOff>
    </xdr:from>
    <xdr:to>
      <xdr:col>16</xdr:col>
      <xdr:colOff>285375</xdr:colOff>
      <xdr:row>6</xdr:row>
      <xdr:rowOff>352425</xdr:rowOff>
    </xdr:to>
    <xdr:sp macro="" textlink="">
      <xdr:nvSpPr>
        <xdr:cNvPr id="22" name="Rounded 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7339920" y="3123141"/>
          <a:ext cx="641655" cy="209551"/>
        </a:xfrm>
        <a:prstGeom prst="roundRect">
          <a:avLst/>
        </a:prstGeom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tr-TR" sz="1200">
              <a:solidFill>
                <a:sysClr val="windowText" lastClr="000000"/>
              </a:solidFill>
            </a:rPr>
            <a:t>Entropic</a:t>
          </a:r>
        </a:p>
      </xdr:txBody>
    </xdr:sp>
    <xdr:clientData/>
  </xdr:twoCellAnchor>
  <xdr:twoCellAnchor>
    <xdr:from>
      <xdr:col>3</xdr:col>
      <xdr:colOff>117327</xdr:colOff>
      <xdr:row>3</xdr:row>
      <xdr:rowOff>134457</xdr:rowOff>
    </xdr:from>
    <xdr:to>
      <xdr:col>4</xdr:col>
      <xdr:colOff>27767</xdr:colOff>
      <xdr:row>3</xdr:row>
      <xdr:rowOff>344008</xdr:rowOff>
    </xdr:to>
    <xdr:sp macro="" textlink="">
      <xdr:nvSpPr>
        <xdr:cNvPr id="23" name="Rounded 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1508279" y="1606044"/>
          <a:ext cx="585758" cy="209551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tr-TR" sz="1000">
              <a:solidFill>
                <a:sysClr val="windowText" lastClr="000000"/>
              </a:solidFill>
            </a:rPr>
            <a:t>variants</a:t>
          </a:r>
        </a:p>
      </xdr:txBody>
    </xdr:sp>
    <xdr:clientData/>
  </xdr:twoCellAnchor>
  <xdr:twoCellAnchor>
    <xdr:from>
      <xdr:col>13</xdr:col>
      <xdr:colOff>61735</xdr:colOff>
      <xdr:row>4</xdr:row>
      <xdr:rowOff>134457</xdr:rowOff>
    </xdr:from>
    <xdr:to>
      <xdr:col>14</xdr:col>
      <xdr:colOff>141308</xdr:colOff>
      <xdr:row>4</xdr:row>
      <xdr:rowOff>344008</xdr:rowOff>
    </xdr:to>
    <xdr:sp macro="" textlink="">
      <xdr:nvSpPr>
        <xdr:cNvPr id="24" name="Rounded 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6784672" y="2140251"/>
          <a:ext cx="654096" cy="209551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tr-TR" sz="1000">
              <a:solidFill>
                <a:sysClr val="windowText" lastClr="000000"/>
              </a:solidFill>
            </a:rPr>
            <a:t>variants</a:t>
          </a:r>
        </a:p>
      </xdr:txBody>
    </xdr:sp>
    <xdr:clientData/>
  </xdr:twoCellAnchor>
  <xdr:twoCellAnchor>
    <xdr:from>
      <xdr:col>11</xdr:col>
      <xdr:colOff>481392</xdr:colOff>
      <xdr:row>1</xdr:row>
      <xdr:rowOff>127002</xdr:rowOff>
    </xdr:from>
    <xdr:to>
      <xdr:col>12</xdr:col>
      <xdr:colOff>560964</xdr:colOff>
      <xdr:row>1</xdr:row>
      <xdr:rowOff>336553</xdr:rowOff>
    </xdr:to>
    <xdr:sp macro="" textlink="">
      <xdr:nvSpPr>
        <xdr:cNvPr id="25" name="Rounded Rectangle 23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6055281" y="449542"/>
          <a:ext cx="654096" cy="209551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tr-TR" sz="1000">
              <a:solidFill>
                <a:sysClr val="windowText" lastClr="000000"/>
              </a:solidFill>
            </a:rPr>
            <a:t>variants</a:t>
          </a:r>
        </a:p>
      </xdr:txBody>
    </xdr:sp>
    <xdr:clientData/>
  </xdr:twoCellAnchor>
  <xdr:twoCellAnchor>
    <xdr:from>
      <xdr:col>13</xdr:col>
      <xdr:colOff>301173</xdr:colOff>
      <xdr:row>1</xdr:row>
      <xdr:rowOff>128211</xdr:rowOff>
    </xdr:from>
    <xdr:to>
      <xdr:col>14</xdr:col>
      <xdr:colOff>380746</xdr:colOff>
      <xdr:row>1</xdr:row>
      <xdr:rowOff>337762</xdr:rowOff>
    </xdr:to>
    <xdr:sp macro="" textlink="">
      <xdr:nvSpPr>
        <xdr:cNvPr id="26" name="Rounded Rectangle 23">
          <a:extLst>
            <a:ext uri="{FF2B5EF4-FFF2-40B4-BE49-F238E27FC236}">
              <a16:creationId xmlns:a16="http://schemas.microsoft.com/office/drawing/2014/main" id="{78D2090A-06B0-1048-B6BC-269B2B66F663}"/>
            </a:ext>
          </a:extLst>
        </xdr:cNvPr>
        <xdr:cNvSpPr/>
      </xdr:nvSpPr>
      <xdr:spPr>
        <a:xfrm>
          <a:off x="7024110" y="450751"/>
          <a:ext cx="654096" cy="209551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tr-TR" sz="1000">
              <a:solidFill>
                <a:sysClr val="windowText" lastClr="000000"/>
              </a:solidFill>
            </a:rPr>
            <a:t>variants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50800</xdr:colOff>
      <xdr:row>16</xdr:row>
      <xdr:rowOff>38100</xdr:rowOff>
    </xdr:from>
    <xdr:to>
      <xdr:col>11</xdr:col>
      <xdr:colOff>194800</xdr:colOff>
      <xdr:row>16</xdr:row>
      <xdr:rowOff>182100</xdr:rowOff>
    </xdr:to>
    <xdr:pic>
      <xdr:nvPicPr>
        <xdr:cNvPr id="2" name="Picture 2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4254500"/>
          <a:ext cx="144000" cy="14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257552</xdr:colOff>
      <xdr:row>16</xdr:row>
      <xdr:rowOff>38100</xdr:rowOff>
    </xdr:from>
    <xdr:to>
      <xdr:col>11</xdr:col>
      <xdr:colOff>401552</xdr:colOff>
      <xdr:row>16</xdr:row>
      <xdr:rowOff>182100</xdr:rowOff>
    </xdr:to>
    <xdr:pic>
      <xdr:nvPicPr>
        <xdr:cNvPr id="3" name="Picture 24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3052" y="4254500"/>
          <a:ext cx="144000" cy="144000"/>
        </a:xfrm>
        <a:prstGeom prst="rect">
          <a:avLst/>
        </a:prstGeom>
      </xdr:spPr>
    </xdr:pic>
    <xdr:clientData/>
  </xdr:twoCellAnchor>
  <xdr:twoCellAnchor editAs="oneCell">
    <xdr:from>
      <xdr:col>12</xdr:col>
      <xdr:colOff>71794</xdr:colOff>
      <xdr:row>16</xdr:row>
      <xdr:rowOff>38100</xdr:rowOff>
    </xdr:from>
    <xdr:to>
      <xdr:col>12</xdr:col>
      <xdr:colOff>214604</xdr:colOff>
      <xdr:row>16</xdr:row>
      <xdr:rowOff>182100</xdr:rowOff>
    </xdr:to>
    <xdr:pic>
      <xdr:nvPicPr>
        <xdr:cNvPr id="4" name="Picture 25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4494" y="4254500"/>
          <a:ext cx="142810" cy="144000"/>
        </a:xfrm>
        <a:prstGeom prst="rect">
          <a:avLst/>
        </a:prstGeom>
      </xdr:spPr>
    </xdr:pic>
    <xdr:clientData/>
  </xdr:twoCellAnchor>
  <xdr:twoCellAnchor editAs="oneCell">
    <xdr:from>
      <xdr:col>12</xdr:col>
      <xdr:colOff>277356</xdr:colOff>
      <xdr:row>16</xdr:row>
      <xdr:rowOff>38100</xdr:rowOff>
    </xdr:from>
    <xdr:to>
      <xdr:col>12</xdr:col>
      <xdr:colOff>421356</xdr:colOff>
      <xdr:row>16</xdr:row>
      <xdr:rowOff>182100</xdr:rowOff>
    </xdr:to>
    <xdr:pic>
      <xdr:nvPicPr>
        <xdr:cNvPr id="5" name="Picture 27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0056" y="4254500"/>
          <a:ext cx="144000" cy="144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16</xdr:row>
      <xdr:rowOff>38100</xdr:rowOff>
    </xdr:from>
    <xdr:to>
      <xdr:col>11</xdr:col>
      <xdr:colOff>182100</xdr:colOff>
      <xdr:row>16</xdr:row>
      <xdr:rowOff>182100</xdr:rowOff>
    </xdr:to>
    <xdr:pic>
      <xdr:nvPicPr>
        <xdr:cNvPr id="2" name="Picture 2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3600" y="4254500"/>
          <a:ext cx="144000" cy="14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244852</xdr:colOff>
      <xdr:row>16</xdr:row>
      <xdr:rowOff>38100</xdr:rowOff>
    </xdr:from>
    <xdr:to>
      <xdr:col>11</xdr:col>
      <xdr:colOff>388852</xdr:colOff>
      <xdr:row>16</xdr:row>
      <xdr:rowOff>182100</xdr:rowOff>
    </xdr:to>
    <xdr:pic>
      <xdr:nvPicPr>
        <xdr:cNvPr id="3" name="Picture 24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0352" y="4254500"/>
          <a:ext cx="144000" cy="144000"/>
        </a:xfrm>
        <a:prstGeom prst="rect">
          <a:avLst/>
        </a:prstGeom>
      </xdr:spPr>
    </xdr:pic>
    <xdr:clientData/>
  </xdr:twoCellAnchor>
  <xdr:twoCellAnchor editAs="oneCell">
    <xdr:from>
      <xdr:col>12</xdr:col>
      <xdr:colOff>59094</xdr:colOff>
      <xdr:row>16</xdr:row>
      <xdr:rowOff>38100</xdr:rowOff>
    </xdr:from>
    <xdr:to>
      <xdr:col>12</xdr:col>
      <xdr:colOff>201904</xdr:colOff>
      <xdr:row>16</xdr:row>
      <xdr:rowOff>182100</xdr:rowOff>
    </xdr:to>
    <xdr:pic>
      <xdr:nvPicPr>
        <xdr:cNvPr id="4" name="Picture 25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1794" y="4254500"/>
          <a:ext cx="142810" cy="144000"/>
        </a:xfrm>
        <a:prstGeom prst="rect">
          <a:avLst/>
        </a:prstGeom>
      </xdr:spPr>
    </xdr:pic>
    <xdr:clientData/>
  </xdr:twoCellAnchor>
  <xdr:twoCellAnchor editAs="oneCell">
    <xdr:from>
      <xdr:col>12</xdr:col>
      <xdr:colOff>264656</xdr:colOff>
      <xdr:row>16</xdr:row>
      <xdr:rowOff>38100</xdr:rowOff>
    </xdr:from>
    <xdr:to>
      <xdr:col>12</xdr:col>
      <xdr:colOff>408656</xdr:colOff>
      <xdr:row>16</xdr:row>
      <xdr:rowOff>182100</xdr:rowOff>
    </xdr:to>
    <xdr:pic>
      <xdr:nvPicPr>
        <xdr:cNvPr id="5" name="Picture 27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7356" y="4254500"/>
          <a:ext cx="144000" cy="144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88900</xdr:colOff>
      <xdr:row>16</xdr:row>
      <xdr:rowOff>38100</xdr:rowOff>
    </xdr:from>
    <xdr:to>
      <xdr:col>11</xdr:col>
      <xdr:colOff>232900</xdr:colOff>
      <xdr:row>16</xdr:row>
      <xdr:rowOff>182100</xdr:rowOff>
    </xdr:to>
    <xdr:pic>
      <xdr:nvPicPr>
        <xdr:cNvPr id="2" name="Picture 2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00" y="4267200"/>
          <a:ext cx="144000" cy="14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295652</xdr:colOff>
      <xdr:row>16</xdr:row>
      <xdr:rowOff>38100</xdr:rowOff>
    </xdr:from>
    <xdr:to>
      <xdr:col>11</xdr:col>
      <xdr:colOff>439652</xdr:colOff>
      <xdr:row>16</xdr:row>
      <xdr:rowOff>182100</xdr:rowOff>
    </xdr:to>
    <xdr:pic>
      <xdr:nvPicPr>
        <xdr:cNvPr id="3" name="Picture 24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2152" y="4267200"/>
          <a:ext cx="144000" cy="144000"/>
        </a:xfrm>
        <a:prstGeom prst="rect">
          <a:avLst/>
        </a:prstGeom>
      </xdr:spPr>
    </xdr:pic>
    <xdr:clientData/>
  </xdr:twoCellAnchor>
  <xdr:twoCellAnchor editAs="oneCell">
    <xdr:from>
      <xdr:col>12</xdr:col>
      <xdr:colOff>71794</xdr:colOff>
      <xdr:row>16</xdr:row>
      <xdr:rowOff>38100</xdr:rowOff>
    </xdr:from>
    <xdr:to>
      <xdr:col>12</xdr:col>
      <xdr:colOff>214604</xdr:colOff>
      <xdr:row>16</xdr:row>
      <xdr:rowOff>182100</xdr:rowOff>
    </xdr:to>
    <xdr:pic>
      <xdr:nvPicPr>
        <xdr:cNvPr id="4" name="Picture 25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3594" y="4267200"/>
          <a:ext cx="142810" cy="144000"/>
        </a:xfrm>
        <a:prstGeom prst="rect">
          <a:avLst/>
        </a:prstGeom>
      </xdr:spPr>
    </xdr:pic>
    <xdr:clientData/>
  </xdr:twoCellAnchor>
  <xdr:twoCellAnchor editAs="oneCell">
    <xdr:from>
      <xdr:col>12</xdr:col>
      <xdr:colOff>277356</xdr:colOff>
      <xdr:row>16</xdr:row>
      <xdr:rowOff>38100</xdr:rowOff>
    </xdr:from>
    <xdr:to>
      <xdr:col>12</xdr:col>
      <xdr:colOff>421356</xdr:colOff>
      <xdr:row>16</xdr:row>
      <xdr:rowOff>182100</xdr:rowOff>
    </xdr:to>
    <xdr:pic>
      <xdr:nvPicPr>
        <xdr:cNvPr id="5" name="Picture 27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9156" y="4267200"/>
          <a:ext cx="144000" cy="14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gurol@canbek.com" TargetMode="External"/><Relationship Id="rId2" Type="http://schemas.openxmlformats.org/officeDocument/2006/relationships/hyperlink" Target="https://creativecommons.org/licenses/by-nc-nd/4.0/legalcode.tr" TargetMode="External"/><Relationship Id="rId1" Type="http://schemas.openxmlformats.org/officeDocument/2006/relationships/hyperlink" Target="https://creativecommons.org/licenses/by-nc-nd/4.0/legalcode" TargetMode="External"/><Relationship Id="rId5" Type="http://schemas.openxmlformats.org/officeDocument/2006/relationships/drawing" Target="../drawings/drawing12.xml"/><Relationship Id="rId4" Type="http://schemas.openxmlformats.org/officeDocument/2006/relationships/hyperlink" Target="http://gurol.canbek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wolframalpha.com/input/?i=differentiate+parametric+plot+%7C+p+log%282%2C+c%29+%2B+%281+-+p%29+log%282%2C+1+-+c%29+%7C+p+%3D+0+to+1%0Ac+%3D+0+to+1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  <pageSetUpPr fitToPage="1"/>
  </sheetPr>
  <dimension ref="B1:AB41"/>
  <sheetViews>
    <sheetView showGridLines="0" tabSelected="1" zoomScaleNormal="100" workbookViewId="0">
      <selection sqref="A1:V41"/>
    </sheetView>
  </sheetViews>
  <sheetFormatPr baseColWidth="10" defaultColWidth="10.83203125" defaultRowHeight="24" x14ac:dyDescent="0.2"/>
  <cols>
    <col min="1" max="1" width="0.83203125" style="9" customWidth="1"/>
    <col min="2" max="2" width="8.33203125" style="10" customWidth="1"/>
    <col min="3" max="3" width="8.33203125" style="20" customWidth="1"/>
    <col min="4" max="4" width="8.33203125" style="10" customWidth="1"/>
    <col min="5" max="5" width="8.33203125" style="20" customWidth="1"/>
    <col min="6" max="6" width="8.33203125" style="10" customWidth="1"/>
    <col min="7" max="7" width="8.33203125" style="20" customWidth="1"/>
    <col min="8" max="8" width="8.33203125" style="10" customWidth="1"/>
    <col min="9" max="9" width="8.33203125" style="20" customWidth="1"/>
    <col min="10" max="10" width="8.33203125" style="10" customWidth="1"/>
    <col min="11" max="11" width="8.33203125" style="20" customWidth="1"/>
    <col min="12" max="12" width="8.33203125" style="10" customWidth="1"/>
    <col min="13" max="13" width="8.33203125" style="20" customWidth="1"/>
    <col min="14" max="14" width="8.33203125" style="10" customWidth="1"/>
    <col min="15" max="15" width="8.33203125" style="20" customWidth="1"/>
    <col min="16" max="16" width="8.33203125" style="10" customWidth="1"/>
    <col min="17" max="17" width="8.33203125" style="20" customWidth="1"/>
    <col min="18" max="18" width="8.33203125" style="10" customWidth="1"/>
    <col min="19" max="19" width="8.33203125" style="20" customWidth="1"/>
    <col min="20" max="20" width="8.33203125" style="10" customWidth="1"/>
    <col min="21" max="21" width="8.33203125" style="20" customWidth="1"/>
    <col min="22" max="22" width="0.6640625" style="10" customWidth="1"/>
    <col min="23" max="23" width="5.83203125" style="24" customWidth="1"/>
    <col min="24" max="26" width="8" style="11" customWidth="1"/>
    <col min="27" max="28" width="7.33203125" style="11" customWidth="1"/>
    <col min="29" max="41" width="7.33203125" style="9" customWidth="1"/>
    <col min="42" max="16384" width="10.83203125" style="9"/>
  </cols>
  <sheetData>
    <row r="1" spans="2:28" ht="5" customHeight="1" x14ac:dyDescent="0.2"/>
    <row r="2" spans="2:28" s="12" customFormat="1" ht="15" x14ac:dyDescent="0.2">
      <c r="B2" s="15">
        <v>23</v>
      </c>
      <c r="C2" s="43"/>
      <c r="D2" s="7"/>
      <c r="E2" s="27"/>
      <c r="F2" s="7"/>
      <c r="G2" s="27"/>
      <c r="H2" s="7"/>
      <c r="I2" s="27"/>
      <c r="J2" s="7"/>
      <c r="K2" s="27"/>
      <c r="L2" s="321"/>
      <c r="M2" s="321"/>
      <c r="N2" s="766"/>
      <c r="O2" s="767"/>
      <c r="P2" s="768"/>
      <c r="Q2" s="320"/>
      <c r="R2" s="352"/>
      <c r="S2" s="352"/>
      <c r="T2" s="57"/>
      <c r="U2" s="58"/>
      <c r="V2" s="13"/>
      <c r="W2" s="13"/>
      <c r="X2" s="13"/>
      <c r="Y2" s="13"/>
      <c r="Z2" s="13"/>
    </row>
    <row r="3" spans="2:28" x14ac:dyDescent="0.2">
      <c r="B3" s="887" t="s">
        <v>0</v>
      </c>
      <c r="C3" s="888"/>
      <c r="D3" s="3"/>
      <c r="E3" s="28"/>
      <c r="F3" s="3"/>
      <c r="G3" s="28"/>
      <c r="H3" s="3"/>
      <c r="I3" s="28"/>
      <c r="J3" s="3"/>
      <c r="K3" s="28"/>
      <c r="L3" s="322"/>
      <c r="M3" s="323"/>
      <c r="N3" s="598"/>
      <c r="O3" s="599"/>
      <c r="P3" s="884"/>
      <c r="Q3" s="885"/>
      <c r="R3" s="347"/>
      <c r="S3" s="23"/>
      <c r="T3" s="57"/>
      <c r="U3" s="58"/>
      <c r="V3" s="11"/>
      <c r="W3" s="11"/>
      <c r="AA3" s="9"/>
      <c r="AB3" s="9"/>
    </row>
    <row r="4" spans="2:28" s="14" customFormat="1" ht="37" customHeight="1" x14ac:dyDescent="0.15">
      <c r="B4" s="889" t="s">
        <v>51</v>
      </c>
      <c r="C4" s="890"/>
      <c r="D4" s="94"/>
      <c r="E4" s="95"/>
      <c r="F4" s="94"/>
      <c r="G4" s="95"/>
      <c r="H4" s="94"/>
      <c r="I4" s="95"/>
      <c r="J4" s="94"/>
      <c r="K4" s="95"/>
      <c r="L4" s="324"/>
      <c r="M4" s="324"/>
      <c r="N4" s="886"/>
      <c r="O4" s="886"/>
      <c r="P4" s="555"/>
      <c r="Q4" s="555"/>
      <c r="R4" s="353"/>
      <c r="S4" s="353"/>
      <c r="T4" s="57"/>
      <c r="U4" s="58"/>
      <c r="V4" s="100"/>
      <c r="W4" s="100"/>
      <c r="X4" s="100"/>
      <c r="Y4" s="100"/>
      <c r="Z4" s="100"/>
    </row>
    <row r="5" spans="2:28" s="12" customFormat="1" ht="15" x14ac:dyDescent="0.2">
      <c r="B5" s="7"/>
      <c r="C5" s="27"/>
      <c r="D5" s="16">
        <v>20</v>
      </c>
      <c r="E5" s="42"/>
      <c r="F5" s="596" t="s">
        <v>271</v>
      </c>
      <c r="G5" s="75"/>
      <c r="H5" s="6"/>
      <c r="I5" s="867"/>
      <c r="J5" s="867"/>
      <c r="K5" s="29"/>
      <c r="L5" s="711" t="s">
        <v>272</v>
      </c>
      <c r="M5" s="279"/>
      <c r="N5" s="325">
        <v>15</v>
      </c>
      <c r="O5" s="713"/>
      <c r="P5" s="713"/>
      <c r="Q5" s="714" t="s">
        <v>671</v>
      </c>
      <c r="R5" s="709" t="s">
        <v>659</v>
      </c>
      <c r="S5" s="316"/>
      <c r="T5" s="57"/>
      <c r="U5" s="58"/>
      <c r="V5" s="13"/>
      <c r="W5" s="13"/>
      <c r="X5" s="13"/>
      <c r="Y5" s="13"/>
      <c r="Z5" s="13"/>
    </row>
    <row r="6" spans="2:28" x14ac:dyDescent="0.2">
      <c r="B6" s="3"/>
      <c r="C6" s="28"/>
      <c r="D6" s="870" t="s">
        <v>1</v>
      </c>
      <c r="E6" s="872"/>
      <c r="F6" s="870" t="s">
        <v>126</v>
      </c>
      <c r="G6" s="872"/>
      <c r="H6" s="2"/>
      <c r="I6" s="676"/>
      <c r="J6" s="674"/>
      <c r="K6" s="30"/>
      <c r="L6" s="675" t="s">
        <v>247</v>
      </c>
      <c r="M6" s="601"/>
      <c r="N6" s="870" t="s">
        <v>31</v>
      </c>
      <c r="O6" s="871"/>
      <c r="P6" s="871"/>
      <c r="Q6" s="872"/>
      <c r="R6" s="702" t="s">
        <v>316</v>
      </c>
      <c r="S6" s="703"/>
      <c r="T6" s="54"/>
      <c r="U6" s="55"/>
      <c r="V6" s="11"/>
      <c r="W6" s="11"/>
      <c r="AA6" s="9"/>
      <c r="AB6" s="9"/>
    </row>
    <row r="7" spans="2:28" s="14" customFormat="1" ht="37" customHeight="1" x14ac:dyDescent="0.15">
      <c r="B7" s="94"/>
      <c r="C7" s="95"/>
      <c r="D7" s="958" t="s">
        <v>52</v>
      </c>
      <c r="E7" s="903"/>
      <c r="F7" s="897" t="s">
        <v>104</v>
      </c>
      <c r="G7" s="901"/>
      <c r="H7" s="96"/>
      <c r="I7" s="310"/>
      <c r="J7" s="310"/>
      <c r="K7" s="97"/>
      <c r="L7" s="868" t="s">
        <v>674</v>
      </c>
      <c r="M7" s="869"/>
      <c r="N7" s="868" t="s">
        <v>55</v>
      </c>
      <c r="O7" s="873"/>
      <c r="P7" s="873"/>
      <c r="Q7" s="869"/>
      <c r="R7" s="955" t="s">
        <v>670</v>
      </c>
      <c r="S7" s="956"/>
      <c r="T7" s="101"/>
      <c r="U7" s="102"/>
      <c r="V7" s="100"/>
      <c r="W7" s="100"/>
      <c r="X7" s="100"/>
      <c r="Y7" s="100"/>
      <c r="Z7" s="100"/>
    </row>
    <row r="8" spans="2:28" s="12" customFormat="1" ht="16" customHeight="1" x14ac:dyDescent="0.2">
      <c r="B8" s="7"/>
      <c r="C8" s="27"/>
      <c r="D8" s="16">
        <v>21</v>
      </c>
      <c r="E8" s="685"/>
      <c r="F8" s="686">
        <v>21.2</v>
      </c>
      <c r="G8" s="42"/>
      <c r="H8" s="6"/>
      <c r="I8" s="308"/>
      <c r="J8" s="308"/>
      <c r="K8" s="29"/>
      <c r="L8" s="594" t="s">
        <v>273</v>
      </c>
      <c r="M8" s="279"/>
      <c r="N8" s="231">
        <v>16</v>
      </c>
      <c r="O8" s="278"/>
      <c r="P8" s="231">
        <v>17</v>
      </c>
      <c r="Q8" s="278"/>
      <c r="R8" s="602" t="s">
        <v>660</v>
      </c>
      <c r="S8" s="316"/>
      <c r="T8" s="57"/>
      <c r="U8" s="58"/>
      <c r="V8" s="13"/>
    </row>
    <row r="9" spans="2:28" x14ac:dyDescent="0.2">
      <c r="B9" s="3"/>
      <c r="C9" s="28"/>
      <c r="D9" s="870" t="s">
        <v>3</v>
      </c>
      <c r="E9" s="871"/>
      <c r="F9" s="871" t="s">
        <v>4</v>
      </c>
      <c r="G9" s="872"/>
      <c r="H9" s="2"/>
      <c r="I9" s="866" t="s">
        <v>766</v>
      </c>
      <c r="J9" s="866"/>
      <c r="K9" s="30"/>
      <c r="L9" s="675" t="s">
        <v>308</v>
      </c>
      <c r="M9" s="601"/>
      <c r="N9" s="870" t="s">
        <v>32</v>
      </c>
      <c r="O9" s="872"/>
      <c r="P9" s="870" t="s">
        <v>34</v>
      </c>
      <c r="Q9" s="872"/>
      <c r="R9" s="931" t="s">
        <v>246</v>
      </c>
      <c r="S9" s="932"/>
      <c r="T9" s="54"/>
      <c r="U9" s="55"/>
      <c r="V9" s="11"/>
      <c r="AA9" s="9"/>
      <c r="AB9" s="9"/>
    </row>
    <row r="10" spans="2:28" s="14" customFormat="1" ht="37" customHeight="1" x14ac:dyDescent="0.15">
      <c r="B10" s="94"/>
      <c r="C10" s="95"/>
      <c r="D10" s="958" t="s">
        <v>54</v>
      </c>
      <c r="E10" s="902"/>
      <c r="F10" s="902" t="s">
        <v>667</v>
      </c>
      <c r="G10" s="903"/>
      <c r="H10" s="199"/>
      <c r="I10" s="866"/>
      <c r="J10" s="866"/>
      <c r="K10" s="97"/>
      <c r="L10" s="868" t="s">
        <v>669</v>
      </c>
      <c r="M10" s="869"/>
      <c r="N10" s="868" t="s">
        <v>111</v>
      </c>
      <c r="O10" s="869"/>
      <c r="P10" s="868" t="s">
        <v>56</v>
      </c>
      <c r="Q10" s="869"/>
      <c r="R10" s="933" t="s">
        <v>249</v>
      </c>
      <c r="S10" s="934"/>
      <c r="T10" s="101"/>
      <c r="U10" s="102"/>
      <c r="V10" s="100"/>
    </row>
    <row r="11" spans="2:28" s="12" customFormat="1" ht="15" x14ac:dyDescent="0.2">
      <c r="B11" s="7"/>
      <c r="C11" s="27"/>
      <c r="D11" s="687">
        <v>21.3</v>
      </c>
      <c r="E11" s="29"/>
      <c r="F11" s="6">
        <v>21.1</v>
      </c>
      <c r="G11" s="688"/>
      <c r="H11" s="211"/>
      <c r="I11" s="866"/>
      <c r="J11" s="866"/>
      <c r="K11" s="29"/>
      <c r="L11" s="711" t="s">
        <v>435</v>
      </c>
      <c r="M11" s="279"/>
      <c r="N11" s="231">
        <v>18</v>
      </c>
      <c r="O11" s="279"/>
      <c r="P11" s="594" t="s">
        <v>270</v>
      </c>
      <c r="Q11" s="238"/>
      <c r="R11" s="243">
        <v>18</v>
      </c>
      <c r="S11" s="283"/>
      <c r="T11" s="53"/>
      <c r="U11" s="53"/>
      <c r="V11" s="13"/>
    </row>
    <row r="12" spans="2:28" x14ac:dyDescent="0.2">
      <c r="B12" s="3"/>
      <c r="C12" s="28"/>
      <c r="D12" s="870" t="s">
        <v>5</v>
      </c>
      <c r="E12" s="871"/>
      <c r="F12" s="871" t="s">
        <v>90</v>
      </c>
      <c r="G12" s="872"/>
      <c r="H12" s="937"/>
      <c r="I12" s="937"/>
      <c r="J12" s="2"/>
      <c r="K12" s="30"/>
      <c r="L12" s="951" t="s">
        <v>351</v>
      </c>
      <c r="M12" s="952"/>
      <c r="N12" s="870" t="s">
        <v>33</v>
      </c>
      <c r="O12" s="872"/>
      <c r="P12" s="929" t="s">
        <v>125</v>
      </c>
      <c r="Q12" s="930"/>
      <c r="R12" s="837" t="s">
        <v>39</v>
      </c>
      <c r="S12" s="838"/>
      <c r="T12" s="54"/>
      <c r="U12" s="55"/>
      <c r="V12" s="11"/>
      <c r="AA12" s="9"/>
      <c r="AB12" s="9"/>
    </row>
    <row r="13" spans="2:28" s="14" customFormat="1" ht="37" customHeight="1" x14ac:dyDescent="0.15">
      <c r="B13" s="94"/>
      <c r="C13" s="95"/>
      <c r="D13" s="897" t="s">
        <v>668</v>
      </c>
      <c r="E13" s="898"/>
      <c r="F13" s="898" t="s">
        <v>258</v>
      </c>
      <c r="G13" s="901"/>
      <c r="H13" s="938"/>
      <c r="I13" s="938"/>
      <c r="J13" s="96"/>
      <c r="K13" s="97"/>
      <c r="L13" s="868" t="s">
        <v>458</v>
      </c>
      <c r="M13" s="869"/>
      <c r="N13" s="868" t="s">
        <v>470</v>
      </c>
      <c r="O13" s="869"/>
      <c r="P13" s="906" t="s">
        <v>821</v>
      </c>
      <c r="Q13" s="907"/>
      <c r="R13" s="839" t="s">
        <v>81</v>
      </c>
      <c r="S13" s="840"/>
      <c r="T13" s="56"/>
      <c r="U13" s="56"/>
      <c r="V13" s="100"/>
    </row>
    <row r="14" spans="2:28" s="12" customFormat="1" ht="15" x14ac:dyDescent="0.2">
      <c r="B14" s="7"/>
      <c r="C14" s="27"/>
      <c r="D14" s="957" t="s">
        <v>474</v>
      </c>
      <c r="E14" s="957"/>
      <c r="F14" s="957"/>
      <c r="G14" s="957"/>
      <c r="H14" s="17">
        <v>9</v>
      </c>
      <c r="I14" s="40"/>
      <c r="J14" s="17">
        <v>10</v>
      </c>
      <c r="K14" s="40"/>
      <c r="L14" s="8"/>
      <c r="M14" s="31"/>
      <c r="N14" s="239">
        <v>1</v>
      </c>
      <c r="O14" s="280"/>
      <c r="P14" s="239">
        <v>2</v>
      </c>
      <c r="Q14" s="281"/>
      <c r="R14" s="243">
        <v>19</v>
      </c>
      <c r="S14" s="283"/>
      <c r="T14" s="59">
        <v>26</v>
      </c>
      <c r="U14" s="60"/>
      <c r="V14" s="13"/>
    </row>
    <row r="15" spans="2:28" x14ac:dyDescent="0.2">
      <c r="B15" s="3"/>
      <c r="C15" s="28"/>
      <c r="D15" s="678"/>
      <c r="E15" s="680"/>
      <c r="F15" s="678"/>
      <c r="G15" s="680"/>
      <c r="H15" s="857" t="s">
        <v>6</v>
      </c>
      <c r="I15" s="858"/>
      <c r="J15" s="857" t="s">
        <v>38</v>
      </c>
      <c r="K15" s="858"/>
      <c r="L15" s="1"/>
      <c r="M15" s="32"/>
      <c r="N15" s="857" t="s">
        <v>10</v>
      </c>
      <c r="O15" s="858"/>
      <c r="P15" s="857" t="s">
        <v>11</v>
      </c>
      <c r="Q15" s="858"/>
      <c r="R15" s="837" t="s">
        <v>40</v>
      </c>
      <c r="S15" s="838"/>
      <c r="T15" s="841" t="s">
        <v>42</v>
      </c>
      <c r="U15" s="842"/>
      <c r="V15" s="11"/>
      <c r="W15" s="11"/>
      <c r="AA15" s="9"/>
      <c r="AB15" s="9"/>
    </row>
    <row r="16" spans="2:28" s="14" customFormat="1" ht="37" customHeight="1" x14ac:dyDescent="0.15">
      <c r="B16" s="94"/>
      <c r="C16" s="95"/>
      <c r="D16" s="310"/>
      <c r="E16" s="310"/>
      <c r="F16" s="310"/>
      <c r="G16" s="310"/>
      <c r="H16" s="874" t="s">
        <v>112</v>
      </c>
      <c r="I16" s="875"/>
      <c r="J16" s="874" t="s">
        <v>87</v>
      </c>
      <c r="K16" s="875"/>
      <c r="L16" s="98"/>
      <c r="M16" s="99"/>
      <c r="N16" s="851" t="s">
        <v>107</v>
      </c>
      <c r="O16" s="852"/>
      <c r="P16" s="908" t="s">
        <v>60</v>
      </c>
      <c r="Q16" s="909"/>
      <c r="R16" s="839" t="s">
        <v>120</v>
      </c>
      <c r="S16" s="840"/>
      <c r="T16" s="843" t="s">
        <v>83</v>
      </c>
      <c r="U16" s="844"/>
      <c r="V16" s="100"/>
      <c r="W16" s="100"/>
      <c r="X16" s="100"/>
      <c r="Y16" s="100"/>
      <c r="Z16" s="100"/>
    </row>
    <row r="17" spans="2:28" s="12" customFormat="1" ht="15" x14ac:dyDescent="0.2">
      <c r="B17" s="7"/>
      <c r="C17" s="27"/>
      <c r="D17" s="308"/>
      <c r="E17" s="308"/>
      <c r="F17" s="308"/>
      <c r="G17" s="308"/>
      <c r="H17" s="17">
        <v>11</v>
      </c>
      <c r="I17" s="40"/>
      <c r="J17" s="17">
        <v>12</v>
      </c>
      <c r="K17" s="40"/>
      <c r="L17" s="8"/>
      <c r="M17" s="31"/>
      <c r="N17" s="239">
        <v>3</v>
      </c>
      <c r="O17" s="280"/>
      <c r="P17" s="239">
        <v>4</v>
      </c>
      <c r="Q17" s="280"/>
      <c r="R17" s="229">
        <v>20</v>
      </c>
      <c r="S17" s="282"/>
      <c r="T17" s="59">
        <v>27</v>
      </c>
      <c r="U17" s="60"/>
      <c r="V17" s="13"/>
      <c r="W17" s="13"/>
      <c r="X17" s="13"/>
      <c r="Y17" s="13"/>
      <c r="Z17" s="13"/>
    </row>
    <row r="18" spans="2:28" x14ac:dyDescent="0.2">
      <c r="B18" s="3"/>
      <c r="C18" s="28"/>
      <c r="D18" s="2"/>
      <c r="E18" s="30"/>
      <c r="F18" s="2"/>
      <c r="G18" s="30"/>
      <c r="H18" s="857" t="s">
        <v>8</v>
      </c>
      <c r="I18" s="858"/>
      <c r="J18" s="857" t="s">
        <v>9</v>
      </c>
      <c r="K18" s="858"/>
      <c r="L18" s="1"/>
      <c r="M18" s="32"/>
      <c r="N18" s="857" t="s">
        <v>12</v>
      </c>
      <c r="O18" s="858"/>
      <c r="P18" s="857" t="s">
        <v>13</v>
      </c>
      <c r="Q18" s="858"/>
      <c r="R18" s="837" t="s">
        <v>41</v>
      </c>
      <c r="S18" s="838"/>
      <c r="T18" s="841" t="s">
        <v>43</v>
      </c>
      <c r="U18" s="842"/>
      <c r="V18" s="11"/>
      <c r="W18" s="11"/>
      <c r="AA18" s="9"/>
      <c r="AB18" s="9"/>
    </row>
    <row r="19" spans="2:28" s="14" customFormat="1" ht="37" customHeight="1" x14ac:dyDescent="0.15">
      <c r="B19" s="94"/>
      <c r="C19" s="95"/>
      <c r="D19" s="96"/>
      <c r="E19" s="97"/>
      <c r="F19" s="96"/>
      <c r="G19" s="97"/>
      <c r="H19" s="874" t="s">
        <v>58</v>
      </c>
      <c r="I19" s="875"/>
      <c r="J19" s="874" t="s">
        <v>59</v>
      </c>
      <c r="K19" s="875"/>
      <c r="L19" s="98"/>
      <c r="M19" s="99"/>
      <c r="N19" s="908" t="s">
        <v>61</v>
      </c>
      <c r="O19" s="909"/>
      <c r="P19" s="908" t="s">
        <v>108</v>
      </c>
      <c r="Q19" s="909"/>
      <c r="R19" s="847" t="s">
        <v>122</v>
      </c>
      <c r="S19" s="848"/>
      <c r="T19" s="843" t="s">
        <v>82</v>
      </c>
      <c r="U19" s="844"/>
      <c r="V19" s="100"/>
      <c r="W19" s="100"/>
      <c r="X19" s="100"/>
      <c r="Y19" s="100"/>
      <c r="Z19" s="100"/>
    </row>
    <row r="20" spans="2:28" s="12" customFormat="1" ht="15" x14ac:dyDescent="0.2">
      <c r="B20" s="7"/>
      <c r="C20" s="27"/>
      <c r="D20" s="6"/>
      <c r="E20" s="29"/>
      <c r="F20" s="6"/>
      <c r="G20" s="29"/>
      <c r="H20" s="8"/>
      <c r="I20" s="31"/>
      <c r="J20" s="8"/>
      <c r="K20" s="31"/>
      <c r="L20" s="48">
        <v>9</v>
      </c>
      <c r="M20" s="35"/>
      <c r="N20" s="254">
        <v>5</v>
      </c>
      <c r="O20" s="307"/>
      <c r="P20" s="254">
        <v>6</v>
      </c>
      <c r="Q20" s="307"/>
      <c r="R20" s="48">
        <v>10</v>
      </c>
      <c r="S20" s="35"/>
      <c r="T20" s="59">
        <v>25</v>
      </c>
      <c r="U20" s="60"/>
      <c r="V20" s="13"/>
      <c r="W20" s="13"/>
      <c r="X20" s="13"/>
      <c r="Y20" s="13"/>
      <c r="Z20" s="13"/>
    </row>
    <row r="21" spans="2:28" x14ac:dyDescent="0.2">
      <c r="B21" s="3"/>
      <c r="C21" s="28"/>
      <c r="D21" s="2"/>
      <c r="E21" s="30"/>
      <c r="F21" s="2"/>
      <c r="G21" s="30"/>
      <c r="H21" s="1"/>
      <c r="I21" s="32"/>
      <c r="J21" s="1"/>
      <c r="K21" s="32"/>
      <c r="L21" s="849" t="s">
        <v>14</v>
      </c>
      <c r="M21" s="850"/>
      <c r="N21" s="849" t="s">
        <v>15</v>
      </c>
      <c r="O21" s="850"/>
      <c r="P21" s="849" t="s">
        <v>16</v>
      </c>
      <c r="Q21" s="850"/>
      <c r="R21" s="849" t="s">
        <v>17</v>
      </c>
      <c r="S21" s="850"/>
      <c r="T21" s="841" t="s">
        <v>752</v>
      </c>
      <c r="U21" s="842"/>
      <c r="V21" s="11"/>
      <c r="W21" s="11"/>
      <c r="AA21" s="9"/>
      <c r="AB21" s="9"/>
    </row>
    <row r="22" spans="2:28" s="14" customFormat="1" ht="37" customHeight="1" x14ac:dyDescent="0.15">
      <c r="B22" s="94"/>
      <c r="C22" s="95"/>
      <c r="D22" s="96"/>
      <c r="E22" s="97"/>
      <c r="F22" s="96"/>
      <c r="G22" s="97"/>
      <c r="H22" s="98"/>
      <c r="I22" s="99"/>
      <c r="J22" s="98"/>
      <c r="K22" s="99"/>
      <c r="L22" s="855" t="s">
        <v>62</v>
      </c>
      <c r="M22" s="856"/>
      <c r="N22" s="859" t="s">
        <v>63</v>
      </c>
      <c r="O22" s="860"/>
      <c r="P22" s="859" t="s">
        <v>64</v>
      </c>
      <c r="Q22" s="860"/>
      <c r="R22" s="855" t="s">
        <v>65</v>
      </c>
      <c r="S22" s="856"/>
      <c r="T22" s="843" t="s">
        <v>753</v>
      </c>
      <c r="U22" s="844"/>
      <c r="V22" s="100"/>
      <c r="W22" s="100"/>
      <c r="X22" s="100"/>
      <c r="Y22" s="100"/>
      <c r="Z22" s="100"/>
    </row>
    <row r="23" spans="2:28" s="12" customFormat="1" ht="15" x14ac:dyDescent="0.2">
      <c r="B23" s="7"/>
      <c r="C23" s="27"/>
      <c r="D23" s="308"/>
      <c r="E23" s="308"/>
      <c r="F23" s="291">
        <v>19</v>
      </c>
      <c r="G23" s="289"/>
      <c r="H23" s="126">
        <v>5</v>
      </c>
      <c r="I23" s="286"/>
      <c r="J23" s="126">
        <v>6</v>
      </c>
      <c r="K23" s="286"/>
      <c r="L23" s="123">
        <v>7</v>
      </c>
      <c r="M23" s="287"/>
      <c r="N23" s="70">
        <v>1</v>
      </c>
      <c r="O23" s="71"/>
      <c r="P23" s="228">
        <v>2</v>
      </c>
      <c r="Q23" s="71"/>
      <c r="R23" s="295">
        <v>17</v>
      </c>
      <c r="S23" s="298"/>
      <c r="T23" s="301">
        <v>24</v>
      </c>
      <c r="U23" s="302"/>
      <c r="V23" s="13"/>
      <c r="W23" s="13"/>
      <c r="X23" s="13"/>
      <c r="Y23" s="13"/>
      <c r="Z23" s="13"/>
    </row>
    <row r="24" spans="2:28" x14ac:dyDescent="0.2">
      <c r="B24" s="3"/>
      <c r="C24" s="28"/>
      <c r="D24" s="212"/>
      <c r="E24" s="218"/>
      <c r="F24" s="292"/>
      <c r="G24" s="288"/>
      <c r="H24" s="862" t="s">
        <v>24</v>
      </c>
      <c r="I24" s="878"/>
      <c r="J24" s="862" t="s">
        <v>25</v>
      </c>
      <c r="K24" s="878"/>
      <c r="L24" s="853" t="s">
        <v>18</v>
      </c>
      <c r="M24" s="854"/>
      <c r="N24" s="918" t="s">
        <v>20</v>
      </c>
      <c r="O24" s="918"/>
      <c r="P24" s="919" t="s">
        <v>21</v>
      </c>
      <c r="Q24" s="918"/>
      <c r="R24" s="296"/>
      <c r="S24" s="299"/>
      <c r="T24" s="303"/>
      <c r="U24" s="304"/>
      <c r="V24" s="11"/>
      <c r="W24" s="11"/>
      <c r="AA24" s="9"/>
      <c r="AB24" s="9"/>
    </row>
    <row r="25" spans="2:28" s="107" customFormat="1" ht="37" customHeight="1" x14ac:dyDescent="0.15">
      <c r="B25" s="103"/>
      <c r="C25" s="104"/>
      <c r="D25" s="309"/>
      <c r="E25" s="309"/>
      <c r="F25" s="953" t="s">
        <v>35</v>
      </c>
      <c r="G25" s="954"/>
      <c r="H25" s="879" t="s">
        <v>110</v>
      </c>
      <c r="I25" s="880"/>
      <c r="J25" s="879" t="s">
        <v>77</v>
      </c>
      <c r="K25" s="880"/>
      <c r="L25" s="881" t="s">
        <v>66</v>
      </c>
      <c r="M25" s="882"/>
      <c r="N25" s="948" t="s">
        <v>68</v>
      </c>
      <c r="O25" s="948"/>
      <c r="P25" s="949" t="s">
        <v>244</v>
      </c>
      <c r="Q25" s="950"/>
      <c r="R25" s="845" t="s">
        <v>30</v>
      </c>
      <c r="S25" s="846"/>
      <c r="T25" s="939" t="s">
        <v>44</v>
      </c>
      <c r="U25" s="940"/>
      <c r="V25" s="106"/>
      <c r="W25" s="106"/>
      <c r="X25" s="106"/>
      <c r="Y25" s="106"/>
      <c r="Z25" s="106"/>
    </row>
    <row r="26" spans="2:28" s="12" customFormat="1" ht="15" customHeight="1" x14ac:dyDescent="0.2">
      <c r="B26" s="7"/>
      <c r="C26" s="27"/>
      <c r="D26" s="308"/>
      <c r="E26" s="308"/>
      <c r="F26" s="926" t="s">
        <v>80</v>
      </c>
      <c r="G26" s="927"/>
      <c r="H26" s="126">
        <v>7</v>
      </c>
      <c r="I26" s="286"/>
      <c r="J26" s="126">
        <v>8</v>
      </c>
      <c r="K26" s="286"/>
      <c r="L26" s="123">
        <v>8</v>
      </c>
      <c r="M26" s="287"/>
      <c r="N26" s="125">
        <v>3</v>
      </c>
      <c r="O26" s="33"/>
      <c r="P26" s="70">
        <v>4</v>
      </c>
      <c r="Q26" s="71"/>
      <c r="R26" s="923" t="s">
        <v>84</v>
      </c>
      <c r="S26" s="924"/>
      <c r="T26" s="941" t="s">
        <v>88</v>
      </c>
      <c r="U26" s="942"/>
      <c r="V26" s="13"/>
      <c r="W26" s="13"/>
      <c r="X26" s="13"/>
      <c r="Y26" s="13"/>
      <c r="Z26" s="13"/>
    </row>
    <row r="27" spans="2:28" x14ac:dyDescent="0.2">
      <c r="B27" s="3"/>
      <c r="C27" s="28"/>
      <c r="D27" s="212"/>
      <c r="E27" s="218"/>
      <c r="F27" s="293"/>
      <c r="G27" s="288"/>
      <c r="H27" s="862" t="s">
        <v>26</v>
      </c>
      <c r="I27" s="878"/>
      <c r="J27" s="862" t="s">
        <v>27</v>
      </c>
      <c r="K27" s="878"/>
      <c r="L27" s="853" t="s">
        <v>19</v>
      </c>
      <c r="M27" s="854"/>
      <c r="N27" s="918" t="s">
        <v>22</v>
      </c>
      <c r="O27" s="947"/>
      <c r="P27" s="918" t="s">
        <v>23</v>
      </c>
      <c r="Q27" s="918"/>
      <c r="R27" s="296"/>
      <c r="S27" s="603"/>
      <c r="T27" s="941"/>
      <c r="U27" s="942"/>
      <c r="V27" s="11"/>
      <c r="W27" s="11"/>
      <c r="AA27" s="9"/>
      <c r="AB27" s="9"/>
    </row>
    <row r="28" spans="2:28" s="14" customFormat="1" ht="37" customHeight="1" x14ac:dyDescent="0.15">
      <c r="B28" s="94"/>
      <c r="C28" s="95"/>
      <c r="D28" s="310"/>
      <c r="E28" s="310"/>
      <c r="F28" s="294"/>
      <c r="G28" s="290"/>
      <c r="H28" s="876" t="s">
        <v>78</v>
      </c>
      <c r="I28" s="877"/>
      <c r="J28" s="876" t="s">
        <v>79</v>
      </c>
      <c r="K28" s="877"/>
      <c r="L28" s="943" t="s">
        <v>67</v>
      </c>
      <c r="M28" s="944"/>
      <c r="N28" s="945" t="s">
        <v>245</v>
      </c>
      <c r="O28" s="946"/>
      <c r="P28" s="945" t="s">
        <v>69</v>
      </c>
      <c r="Q28" s="945"/>
      <c r="R28" s="297"/>
      <c r="S28" s="300"/>
      <c r="T28" s="305"/>
      <c r="U28" s="306"/>
      <c r="V28" s="100"/>
      <c r="W28" s="100"/>
      <c r="X28" s="100"/>
      <c r="Y28" s="100"/>
      <c r="Z28" s="100"/>
    </row>
    <row r="29" spans="2:28" s="12" customFormat="1" ht="15" x14ac:dyDescent="0.2">
      <c r="B29" s="7"/>
      <c r="C29" s="27"/>
      <c r="D29" s="6"/>
      <c r="E29" s="29"/>
      <c r="F29" s="6"/>
      <c r="G29" s="29"/>
      <c r="H29" s="8"/>
      <c r="I29" s="31"/>
      <c r="J29" s="8"/>
      <c r="K29" s="31"/>
      <c r="L29" s="48">
        <v>11</v>
      </c>
      <c r="M29" s="35"/>
      <c r="N29" s="243">
        <v>12</v>
      </c>
      <c r="O29" s="283"/>
      <c r="P29" s="243">
        <v>13</v>
      </c>
      <c r="Q29" s="283"/>
      <c r="R29" s="52">
        <v>21</v>
      </c>
      <c r="S29" s="25"/>
      <c r="T29" s="57"/>
      <c r="U29" s="58"/>
      <c r="V29" s="13"/>
      <c r="W29" s="13"/>
      <c r="X29" s="13"/>
      <c r="Y29" s="13"/>
      <c r="Z29" s="13"/>
    </row>
    <row r="30" spans="2:28" x14ac:dyDescent="0.2">
      <c r="B30" s="3"/>
      <c r="C30" s="28"/>
      <c r="D30" s="2"/>
      <c r="E30" s="30"/>
      <c r="F30" s="2"/>
      <c r="G30" s="30"/>
      <c r="H30" s="1"/>
      <c r="I30" s="32"/>
      <c r="J30" s="1"/>
      <c r="K30" s="32"/>
      <c r="L30" s="849" t="s">
        <v>28</v>
      </c>
      <c r="M30" s="850"/>
      <c r="N30" s="837" t="s">
        <v>29</v>
      </c>
      <c r="O30" s="838"/>
      <c r="P30" s="837" t="s">
        <v>48</v>
      </c>
      <c r="Q30" s="838"/>
      <c r="R30" s="910" t="s">
        <v>50</v>
      </c>
      <c r="S30" s="911"/>
      <c r="T30" s="54"/>
      <c r="U30" s="55"/>
      <c r="V30" s="11"/>
      <c r="W30" s="11"/>
      <c r="AA30" s="9"/>
      <c r="AB30" s="9"/>
    </row>
    <row r="31" spans="2:28" s="14" customFormat="1" ht="37" customHeight="1" x14ac:dyDescent="0.15">
      <c r="B31" s="94"/>
      <c r="C31" s="95"/>
      <c r="D31" s="96"/>
      <c r="E31" s="97"/>
      <c r="F31" s="96"/>
      <c r="G31" s="97"/>
      <c r="H31" s="98"/>
      <c r="I31" s="99"/>
      <c r="J31" s="98"/>
      <c r="K31" s="99"/>
      <c r="L31" s="855" t="s">
        <v>70</v>
      </c>
      <c r="M31" s="856"/>
      <c r="N31" s="839" t="s">
        <v>71</v>
      </c>
      <c r="O31" s="840"/>
      <c r="P31" s="839" t="s">
        <v>86</v>
      </c>
      <c r="Q31" s="840"/>
      <c r="R31" s="904" t="s">
        <v>72</v>
      </c>
      <c r="S31" s="905"/>
      <c r="T31" s="101"/>
      <c r="U31" s="102"/>
      <c r="V31" s="100"/>
      <c r="W31" s="100"/>
      <c r="X31" s="100"/>
      <c r="Y31" s="100"/>
      <c r="Z31" s="100"/>
    </row>
    <row r="32" spans="2:28" s="12" customFormat="1" ht="15" x14ac:dyDescent="0.2">
      <c r="B32" s="7"/>
      <c r="C32" s="27"/>
      <c r="D32" s="6"/>
      <c r="E32" s="29"/>
      <c r="F32" s="6"/>
      <c r="G32" s="29"/>
      <c r="H32" s="8"/>
      <c r="I32" s="31"/>
      <c r="J32" s="8"/>
      <c r="K32" s="31"/>
      <c r="L32" s="229">
        <v>14</v>
      </c>
      <c r="M32" s="282"/>
      <c r="N32" s="243">
        <v>15</v>
      </c>
      <c r="O32" s="283"/>
      <c r="P32" s="243">
        <v>16</v>
      </c>
      <c r="Q32" s="283"/>
      <c r="R32" s="52">
        <v>22</v>
      </c>
      <c r="S32" s="25"/>
      <c r="T32" s="57"/>
      <c r="U32" s="58"/>
      <c r="V32" s="13"/>
      <c r="W32" s="13"/>
      <c r="X32" s="13"/>
      <c r="Y32" s="13"/>
      <c r="Z32" s="13"/>
    </row>
    <row r="33" spans="2:28" x14ac:dyDescent="0.2">
      <c r="B33" s="3"/>
      <c r="C33" s="28"/>
      <c r="D33" s="2"/>
      <c r="E33" s="30"/>
      <c r="F33" s="2"/>
      <c r="G33" s="30"/>
      <c r="H33" s="862"/>
      <c r="I33" s="862"/>
      <c r="J33" s="862"/>
      <c r="K33" s="862"/>
      <c r="L33" s="837" t="s">
        <v>47</v>
      </c>
      <c r="M33" s="838"/>
      <c r="N33" s="837" t="s">
        <v>117</v>
      </c>
      <c r="O33" s="838"/>
      <c r="P33" s="837" t="s">
        <v>49</v>
      </c>
      <c r="Q33" s="838"/>
      <c r="R33" s="837" t="s">
        <v>46</v>
      </c>
      <c r="S33" s="838"/>
      <c r="T33" s="54"/>
      <c r="U33" s="55"/>
      <c r="V33" s="11"/>
      <c r="AA33" s="9"/>
      <c r="AB33" s="9"/>
    </row>
    <row r="34" spans="2:28" s="14" customFormat="1" ht="37" customHeight="1" x14ac:dyDescent="0.15">
      <c r="B34" s="94"/>
      <c r="C34" s="95"/>
      <c r="D34" s="96"/>
      <c r="E34" s="97"/>
      <c r="F34" s="96"/>
      <c r="G34" s="97"/>
      <c r="H34" s="861"/>
      <c r="I34" s="861"/>
      <c r="J34" s="861"/>
      <c r="K34" s="861"/>
      <c r="L34" s="839" t="s">
        <v>85</v>
      </c>
      <c r="M34" s="840"/>
      <c r="N34" s="839" t="s">
        <v>118</v>
      </c>
      <c r="O34" s="840"/>
      <c r="P34" s="839" t="s">
        <v>73</v>
      </c>
      <c r="Q34" s="840"/>
      <c r="R34" s="904" t="s">
        <v>74</v>
      </c>
      <c r="S34" s="905"/>
      <c r="T34" s="101"/>
      <c r="U34" s="102"/>
      <c r="V34" s="100"/>
      <c r="Y34" s="100"/>
      <c r="Z34" s="100"/>
    </row>
    <row r="35" spans="2:28" s="12" customFormat="1" ht="15" x14ac:dyDescent="0.2">
      <c r="B35" s="7"/>
      <c r="C35" s="27"/>
      <c r="D35" s="16">
        <v>22</v>
      </c>
      <c r="E35" s="685"/>
      <c r="F35" s="891" t="s">
        <v>715</v>
      </c>
      <c r="G35" s="892"/>
      <c r="H35" s="126">
        <v>13</v>
      </c>
      <c r="I35" s="40"/>
      <c r="J35" s="17">
        <v>14</v>
      </c>
      <c r="K35" s="40"/>
      <c r="L35" s="57"/>
      <c r="M35" s="58"/>
      <c r="N35" s="247">
        <v>23</v>
      </c>
      <c r="O35" s="284"/>
      <c r="P35" s="250"/>
      <c r="Q35" s="285"/>
      <c r="R35" s="57"/>
      <c r="S35" s="58"/>
      <c r="T35" s="57"/>
      <c r="U35" s="58"/>
      <c r="V35" s="13"/>
      <c r="W35" s="13"/>
      <c r="X35" s="13"/>
      <c r="Y35" s="13"/>
      <c r="Z35" s="13"/>
    </row>
    <row r="36" spans="2:28" x14ac:dyDescent="0.2">
      <c r="B36" s="3"/>
      <c r="C36" s="28"/>
      <c r="D36" s="870" t="s">
        <v>2</v>
      </c>
      <c r="E36" s="871"/>
      <c r="F36" s="893"/>
      <c r="G36" s="894"/>
      <c r="H36" s="862" t="s">
        <v>36</v>
      </c>
      <c r="I36" s="858"/>
      <c r="J36" s="857" t="s">
        <v>37</v>
      </c>
      <c r="K36" s="858"/>
      <c r="L36" s="54"/>
      <c r="M36" s="67"/>
      <c r="N36" s="841" t="s">
        <v>45</v>
      </c>
      <c r="O36" s="925"/>
      <c r="P36" s="925"/>
      <c r="Q36" s="842"/>
      <c r="R36" s="54"/>
      <c r="S36" s="67"/>
      <c r="T36" s="54"/>
      <c r="U36" s="55"/>
      <c r="V36" s="11"/>
      <c r="AA36" s="9"/>
      <c r="AB36" s="9"/>
    </row>
    <row r="37" spans="2:28" s="14" customFormat="1" ht="37" customHeight="1" x14ac:dyDescent="0.15">
      <c r="B37" s="94"/>
      <c r="C37" s="95"/>
      <c r="D37" s="897" t="s">
        <v>53</v>
      </c>
      <c r="E37" s="898"/>
      <c r="F37" s="895"/>
      <c r="G37" s="896"/>
      <c r="H37" s="876" t="s">
        <v>75</v>
      </c>
      <c r="I37" s="875"/>
      <c r="J37" s="874" t="s">
        <v>76</v>
      </c>
      <c r="K37" s="875"/>
      <c r="L37" s="101"/>
      <c r="M37" s="102"/>
      <c r="N37" s="863" t="s">
        <v>89</v>
      </c>
      <c r="O37" s="864"/>
      <c r="P37" s="864"/>
      <c r="Q37" s="865"/>
      <c r="R37" s="101"/>
      <c r="S37" s="102"/>
      <c r="T37" s="101"/>
      <c r="U37" s="102"/>
      <c r="V37" s="100"/>
      <c r="Y37" s="100"/>
      <c r="Z37" s="100"/>
    </row>
    <row r="38" spans="2:28" s="118" customFormat="1" ht="5" customHeight="1" x14ac:dyDescent="0.15">
      <c r="B38" s="119"/>
      <c r="C38" s="120"/>
      <c r="D38" s="119"/>
      <c r="E38" s="120"/>
      <c r="F38" s="119"/>
      <c r="G38" s="120"/>
      <c r="H38" s="119"/>
      <c r="I38" s="119"/>
      <c r="J38" s="119"/>
      <c r="K38" s="119"/>
      <c r="L38" s="119"/>
      <c r="M38" s="120"/>
      <c r="N38" s="119"/>
      <c r="O38" s="119"/>
      <c r="P38" s="119"/>
      <c r="Q38" s="119"/>
      <c r="R38" s="119"/>
      <c r="S38" s="120"/>
      <c r="T38" s="119"/>
      <c r="U38" s="120"/>
      <c r="V38" s="119"/>
      <c r="W38" s="120"/>
      <c r="X38" s="119"/>
      <c r="Y38" s="119"/>
      <c r="Z38" s="119"/>
      <c r="AA38" s="119"/>
      <c r="AB38" s="119"/>
    </row>
    <row r="39" spans="2:28" ht="19" customHeight="1" x14ac:dyDescent="0.2">
      <c r="B39" s="912" t="s">
        <v>92</v>
      </c>
      <c r="C39" s="913"/>
      <c r="D39" s="914" t="s">
        <v>91</v>
      </c>
      <c r="E39" s="914"/>
      <c r="F39" s="914"/>
      <c r="G39" s="914"/>
      <c r="H39" s="922" t="s">
        <v>128</v>
      </c>
      <c r="I39" s="922"/>
      <c r="J39" s="920" t="s">
        <v>223</v>
      </c>
      <c r="K39" s="921"/>
      <c r="L39" s="915" t="s">
        <v>224</v>
      </c>
      <c r="M39" s="916"/>
      <c r="N39" s="899" t="s">
        <v>128</v>
      </c>
      <c r="O39" s="899"/>
      <c r="P39" s="917" t="s">
        <v>91</v>
      </c>
      <c r="Q39" s="917"/>
      <c r="R39" s="928" t="s">
        <v>92</v>
      </c>
      <c r="S39" s="928"/>
      <c r="T39" s="935" t="s">
        <v>93</v>
      </c>
      <c r="U39" s="936"/>
      <c r="V39" s="11"/>
      <c r="W39" s="11"/>
      <c r="AA39" s="9"/>
      <c r="AB39" s="9"/>
    </row>
    <row r="40" spans="2:28" ht="16" x14ac:dyDescent="0.2">
      <c r="B40" s="900" t="s">
        <v>819</v>
      </c>
      <c r="C40" s="900"/>
      <c r="D40" s="900"/>
      <c r="E40" s="900"/>
      <c r="F40" s="900"/>
      <c r="G40" s="900"/>
      <c r="H40" s="900"/>
      <c r="I40" s="900"/>
      <c r="J40" s="900"/>
      <c r="K40" s="900"/>
      <c r="L40" s="900"/>
      <c r="M40" s="900"/>
      <c r="N40" s="900"/>
      <c r="O40" s="900"/>
      <c r="P40" s="900"/>
      <c r="Q40" s="900"/>
      <c r="R40" s="900"/>
      <c r="S40" s="900"/>
      <c r="T40" s="900"/>
      <c r="U40" s="900"/>
      <c r="V40" s="312"/>
      <c r="W40" s="312"/>
      <c r="X40" s="116"/>
      <c r="Y40" s="116"/>
      <c r="Z40" s="116"/>
      <c r="AA40" s="116"/>
    </row>
    <row r="41" spans="2:28" ht="16" x14ac:dyDescent="0.2">
      <c r="B41" s="883" t="s">
        <v>424</v>
      </c>
      <c r="C41" s="883"/>
      <c r="D41" s="883"/>
      <c r="E41" s="883"/>
      <c r="F41" s="883"/>
      <c r="G41" s="883"/>
      <c r="H41" s="883"/>
      <c r="I41" s="883"/>
      <c r="J41" s="883"/>
      <c r="K41" s="883"/>
      <c r="L41" s="313"/>
      <c r="M41" s="313"/>
      <c r="N41" s="532" t="s">
        <v>423</v>
      </c>
      <c r="O41" s="313"/>
      <c r="P41" s="313"/>
      <c r="Q41" s="313"/>
      <c r="R41" s="313"/>
      <c r="S41" s="313"/>
      <c r="T41" s="313"/>
      <c r="U41" s="313"/>
      <c r="V41" s="313"/>
      <c r="W41" s="313"/>
      <c r="X41" s="117"/>
      <c r="Y41" s="117"/>
      <c r="Z41" s="117"/>
      <c r="AA41" s="117"/>
    </row>
  </sheetData>
  <mergeCells count="140">
    <mergeCell ref="D36:E36"/>
    <mergeCell ref="D37:E37"/>
    <mergeCell ref="L13:M13"/>
    <mergeCell ref="F25:G25"/>
    <mergeCell ref="N10:O10"/>
    <mergeCell ref="L7:M7"/>
    <mergeCell ref="R7:S7"/>
    <mergeCell ref="D14:G14"/>
    <mergeCell ref="D6:E6"/>
    <mergeCell ref="D7:E7"/>
    <mergeCell ref="F12:G12"/>
    <mergeCell ref="H15:I15"/>
    <mergeCell ref="H16:I16"/>
    <mergeCell ref="J15:K15"/>
    <mergeCell ref="D9:E9"/>
    <mergeCell ref="D10:E10"/>
    <mergeCell ref="J18:K18"/>
    <mergeCell ref="H19:I19"/>
    <mergeCell ref="R16:S16"/>
    <mergeCell ref="N12:O12"/>
    <mergeCell ref="R22:S22"/>
    <mergeCell ref="P21:Q21"/>
    <mergeCell ref="N13:O13"/>
    <mergeCell ref="N9:O9"/>
    <mergeCell ref="P9:Q9"/>
    <mergeCell ref="P10:Q10"/>
    <mergeCell ref="P12:Q12"/>
    <mergeCell ref="R9:S9"/>
    <mergeCell ref="R10:S10"/>
    <mergeCell ref="N19:O19"/>
    <mergeCell ref="T39:U39"/>
    <mergeCell ref="F6:G6"/>
    <mergeCell ref="F7:G7"/>
    <mergeCell ref="H12:I12"/>
    <mergeCell ref="H13:I13"/>
    <mergeCell ref="T25:U25"/>
    <mergeCell ref="T26:U27"/>
    <mergeCell ref="N15:O15"/>
    <mergeCell ref="L28:M28"/>
    <mergeCell ref="N28:O28"/>
    <mergeCell ref="P28:Q28"/>
    <mergeCell ref="P27:Q27"/>
    <mergeCell ref="N27:O27"/>
    <mergeCell ref="N25:O25"/>
    <mergeCell ref="P25:Q25"/>
    <mergeCell ref="T18:U18"/>
    <mergeCell ref="T19:U19"/>
    <mergeCell ref="L12:M12"/>
    <mergeCell ref="P13:Q13"/>
    <mergeCell ref="P15:Q15"/>
    <mergeCell ref="P16:Q16"/>
    <mergeCell ref="P18:Q18"/>
    <mergeCell ref="P19:Q19"/>
    <mergeCell ref="R30:S30"/>
    <mergeCell ref="B39:C39"/>
    <mergeCell ref="D39:G39"/>
    <mergeCell ref="L39:M39"/>
    <mergeCell ref="P39:Q39"/>
    <mergeCell ref="R33:S33"/>
    <mergeCell ref="R34:S34"/>
    <mergeCell ref="J36:K36"/>
    <mergeCell ref="J37:K37"/>
    <mergeCell ref="N24:O24"/>
    <mergeCell ref="P24:Q24"/>
    <mergeCell ref="J39:K39"/>
    <mergeCell ref="H39:I39"/>
    <mergeCell ref="R26:S26"/>
    <mergeCell ref="N36:Q36"/>
    <mergeCell ref="F26:G26"/>
    <mergeCell ref="H37:I37"/>
    <mergeCell ref="R39:S39"/>
    <mergeCell ref="J27:K27"/>
    <mergeCell ref="B41:K41"/>
    <mergeCell ref="P3:Q3"/>
    <mergeCell ref="N4:O4"/>
    <mergeCell ref="B3:C3"/>
    <mergeCell ref="B4:C4"/>
    <mergeCell ref="F35:G37"/>
    <mergeCell ref="D12:E12"/>
    <mergeCell ref="D13:E13"/>
    <mergeCell ref="F9:G9"/>
    <mergeCell ref="N39:O39"/>
    <mergeCell ref="B40:U40"/>
    <mergeCell ref="F13:G13"/>
    <mergeCell ref="F10:G10"/>
    <mergeCell ref="P33:Q33"/>
    <mergeCell ref="N33:O33"/>
    <mergeCell ref="N31:O31"/>
    <mergeCell ref="P30:Q30"/>
    <mergeCell ref="J25:K25"/>
    <mergeCell ref="P31:Q31"/>
    <mergeCell ref="L31:M31"/>
    <mergeCell ref="L30:M30"/>
    <mergeCell ref="J28:K28"/>
    <mergeCell ref="R31:S31"/>
    <mergeCell ref="P34:Q34"/>
    <mergeCell ref="H34:I34"/>
    <mergeCell ref="H36:I36"/>
    <mergeCell ref="N37:Q37"/>
    <mergeCell ref="N30:O30"/>
    <mergeCell ref="I9:J11"/>
    <mergeCell ref="I5:J5"/>
    <mergeCell ref="L10:M10"/>
    <mergeCell ref="N6:Q6"/>
    <mergeCell ref="N7:Q7"/>
    <mergeCell ref="J19:K19"/>
    <mergeCell ref="J16:K16"/>
    <mergeCell ref="H33:I33"/>
    <mergeCell ref="L33:M33"/>
    <mergeCell ref="H28:I28"/>
    <mergeCell ref="J24:K24"/>
    <mergeCell ref="H24:I24"/>
    <mergeCell ref="H25:I25"/>
    <mergeCell ref="H27:I27"/>
    <mergeCell ref="L34:M34"/>
    <mergeCell ref="N34:O34"/>
    <mergeCell ref="J33:K33"/>
    <mergeCell ref="J34:K34"/>
    <mergeCell ref="L25:M25"/>
    <mergeCell ref="L27:M27"/>
    <mergeCell ref="N16:O16"/>
    <mergeCell ref="L24:M24"/>
    <mergeCell ref="L21:M21"/>
    <mergeCell ref="L22:M22"/>
    <mergeCell ref="N18:O18"/>
    <mergeCell ref="N22:O22"/>
    <mergeCell ref="P22:Q22"/>
    <mergeCell ref="N21:O21"/>
    <mergeCell ref="H18:I18"/>
    <mergeCell ref="R12:S12"/>
    <mergeCell ref="R13:S13"/>
    <mergeCell ref="R15:S15"/>
    <mergeCell ref="T15:U15"/>
    <mergeCell ref="T16:U16"/>
    <mergeCell ref="R25:S25"/>
    <mergeCell ref="R18:S18"/>
    <mergeCell ref="R19:S19"/>
    <mergeCell ref="R21:S21"/>
    <mergeCell ref="T21:U21"/>
    <mergeCell ref="T22:U22"/>
  </mergeCells>
  <hyperlinks>
    <hyperlink ref="N41" location="'licence for use'!A1" display="See &quot;Licence for use&quot;" xr:uid="{00000000-0004-0000-0000-000000000000}"/>
  </hyperlinks>
  <pageMargins left="0.25" right="0.25" top="0.75" bottom="0.75" header="0.3" footer="0.3"/>
  <pageSetup paperSize="9" scale="54" orientation="landscape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  <pageSetUpPr fitToPage="1"/>
  </sheetPr>
  <dimension ref="B1:AB19"/>
  <sheetViews>
    <sheetView workbookViewId="0">
      <selection activeCell="T8" sqref="T8"/>
    </sheetView>
  </sheetViews>
  <sheetFormatPr baseColWidth="10" defaultColWidth="10.83203125" defaultRowHeight="24" x14ac:dyDescent="0.2"/>
  <cols>
    <col min="1" max="1" width="0.83203125" style="9" customWidth="1"/>
    <col min="2" max="2" width="6" style="10" customWidth="1"/>
    <col min="3" max="3" width="6" style="20" customWidth="1"/>
    <col min="4" max="4" width="6" style="10" customWidth="1"/>
    <col min="5" max="5" width="6" style="20" customWidth="1"/>
    <col min="6" max="6" width="6" style="10" customWidth="1"/>
    <col min="7" max="7" width="6" style="20" customWidth="1"/>
    <col min="8" max="8" width="6" style="10" customWidth="1"/>
    <col min="9" max="9" width="6" style="20" customWidth="1"/>
    <col min="10" max="10" width="6" style="10" customWidth="1"/>
    <col min="11" max="11" width="6" style="20" customWidth="1"/>
    <col min="12" max="12" width="6" style="10" customWidth="1"/>
    <col min="13" max="13" width="6" style="20" customWidth="1"/>
    <col min="14" max="14" width="7.6640625" style="10" customWidth="1"/>
    <col min="15" max="15" width="7" style="20" customWidth="1"/>
    <col min="16" max="16" width="7" style="10" customWidth="1"/>
    <col min="17" max="17" width="7" style="20" customWidth="1"/>
    <col min="18" max="18" width="6" style="10" customWidth="1"/>
    <col min="19" max="19" width="6" style="20" customWidth="1"/>
    <col min="20" max="20" width="6" style="10" customWidth="1"/>
    <col min="21" max="21" width="6" style="20" customWidth="1"/>
    <col min="22" max="22" width="5.1640625" style="10" customWidth="1"/>
    <col min="23" max="23" width="5.1640625" style="24" customWidth="1"/>
    <col min="24" max="26" width="8" style="11" customWidth="1"/>
    <col min="27" max="28" width="7.33203125" style="11" customWidth="1"/>
    <col min="29" max="41" width="7.33203125" style="9" customWidth="1"/>
    <col min="42" max="16384" width="10.83203125" style="9"/>
  </cols>
  <sheetData>
    <row r="1" spans="2:28" ht="5" customHeight="1" x14ac:dyDescent="0.2"/>
    <row r="2" spans="2:28" ht="24" customHeight="1" x14ac:dyDescent="0.2">
      <c r="B2" s="1367" t="s">
        <v>0</v>
      </c>
      <c r="C2" s="1367"/>
      <c r="D2" s="3"/>
      <c r="E2" s="28"/>
      <c r="F2" s="3"/>
      <c r="G2" s="28"/>
      <c r="H2" s="3"/>
      <c r="I2" s="28"/>
      <c r="J2" s="3"/>
      <c r="K2" s="28"/>
      <c r="L2" s="3"/>
      <c r="M2" s="28"/>
      <c r="N2" s="322"/>
      <c r="O2" s="323"/>
      <c r="P2" s="322"/>
      <c r="Q2" s="323"/>
      <c r="R2" s="681"/>
      <c r="S2" s="759"/>
      <c r="T2" s="200"/>
      <c r="U2" s="55"/>
    </row>
    <row r="3" spans="2:28" ht="24" customHeight="1" x14ac:dyDescent="0.2">
      <c r="B3" s="3"/>
      <c r="C3" s="28"/>
      <c r="D3" s="1312" t="s">
        <v>718</v>
      </c>
      <c r="E3" s="1313"/>
      <c r="F3" s="1313"/>
      <c r="G3" s="1314"/>
      <c r="H3" s="203"/>
      <c r="I3" s="30"/>
      <c r="J3" s="203"/>
      <c r="K3" s="30"/>
      <c r="L3" s="203"/>
      <c r="M3" s="30"/>
      <c r="N3" s="1394" t="s">
        <v>351</v>
      </c>
      <c r="O3" s="1395"/>
      <c r="P3" s="1392" t="s">
        <v>125</v>
      </c>
      <c r="Q3" s="1393"/>
      <c r="R3" s="1388" t="s">
        <v>721</v>
      </c>
      <c r="S3" s="1389"/>
      <c r="T3" s="200"/>
      <c r="U3" s="55"/>
    </row>
    <row r="4" spans="2:28" ht="24" customHeight="1" x14ac:dyDescent="0.2">
      <c r="B4" s="3"/>
      <c r="C4" s="28"/>
      <c r="D4" s="1315"/>
      <c r="E4" s="1316"/>
      <c r="F4" s="1316"/>
      <c r="G4" s="1317"/>
      <c r="H4" s="203"/>
      <c r="I4" s="30"/>
      <c r="J4" s="203"/>
      <c r="K4" s="30"/>
      <c r="L4" s="203"/>
      <c r="M4" s="30"/>
      <c r="N4" s="677" t="s">
        <v>247</v>
      </c>
      <c r="O4" s="1376" t="s">
        <v>274</v>
      </c>
      <c r="P4" s="1376"/>
      <c r="Q4" s="1377"/>
      <c r="R4" s="1390"/>
      <c r="S4" s="1391"/>
      <c r="T4" s="200"/>
      <c r="U4" s="55"/>
    </row>
    <row r="5" spans="2:28" ht="23.25" customHeight="1" x14ac:dyDescent="0.2">
      <c r="B5" s="3"/>
      <c r="C5" s="28"/>
      <c r="D5" s="1315"/>
      <c r="E5" s="1316"/>
      <c r="F5" s="1316"/>
      <c r="G5" s="1317"/>
      <c r="H5" s="951"/>
      <c r="I5" s="937"/>
      <c r="J5" s="203"/>
      <c r="K5" s="30"/>
      <c r="L5" s="203"/>
      <c r="M5" s="30"/>
      <c r="N5" s="758" t="s">
        <v>308</v>
      </c>
      <c r="O5" s="1378"/>
      <c r="P5" s="1378"/>
      <c r="Q5" s="1379"/>
      <c r="R5" s="1382" t="s">
        <v>234</v>
      </c>
      <c r="S5" s="1383"/>
      <c r="T5" s="200"/>
      <c r="U5" s="55"/>
    </row>
    <row r="6" spans="2:28" x14ac:dyDescent="0.2">
      <c r="B6" s="3"/>
      <c r="C6" s="28"/>
      <c r="D6" s="216"/>
      <c r="E6" s="216"/>
      <c r="F6" s="216"/>
      <c r="G6" s="217"/>
      <c r="H6" s="1328" t="s">
        <v>229</v>
      </c>
      <c r="I6" s="1329"/>
      <c r="J6" s="1329"/>
      <c r="K6" s="1330"/>
      <c r="L6" s="201"/>
      <c r="M6" s="32"/>
      <c r="N6" s="1322" t="s">
        <v>237</v>
      </c>
      <c r="O6" s="1323"/>
      <c r="P6" s="1323"/>
      <c r="Q6" s="1324"/>
      <c r="R6" s="1384"/>
      <c r="S6" s="1385"/>
      <c r="T6" s="1308" t="s">
        <v>756</v>
      </c>
      <c r="U6" s="1309"/>
    </row>
    <row r="7" spans="2:28" x14ac:dyDescent="0.2">
      <c r="B7" s="3"/>
      <c r="C7" s="28"/>
      <c r="D7" s="203"/>
      <c r="E7" s="30"/>
      <c r="F7" s="203"/>
      <c r="G7" s="30"/>
      <c r="H7" s="1331"/>
      <c r="I7" s="1332"/>
      <c r="J7" s="1332"/>
      <c r="K7" s="1333"/>
      <c r="L7" s="201"/>
      <c r="M7" s="32"/>
      <c r="N7" s="1325"/>
      <c r="O7" s="1326"/>
      <c r="P7" s="1326"/>
      <c r="Q7" s="1327"/>
      <c r="R7" s="1386"/>
      <c r="S7" s="1387"/>
      <c r="T7" s="1310"/>
      <c r="U7" s="1311"/>
    </row>
    <row r="8" spans="2:28" x14ac:dyDescent="0.2">
      <c r="B8" s="3"/>
      <c r="C8" s="28"/>
      <c r="D8" s="203"/>
      <c r="E8" s="30"/>
      <c r="F8" s="203"/>
      <c r="G8" s="30"/>
      <c r="H8" s="201"/>
      <c r="I8" s="32"/>
      <c r="J8" s="201"/>
      <c r="K8" s="32"/>
      <c r="L8" s="1344" t="s">
        <v>14</v>
      </c>
      <c r="M8" s="1345"/>
      <c r="N8" s="1368" t="s">
        <v>15</v>
      </c>
      <c r="O8" s="1369"/>
      <c r="P8" s="1368" t="s">
        <v>16</v>
      </c>
      <c r="Q8" s="1369"/>
      <c r="R8" s="1380" t="s">
        <v>17</v>
      </c>
      <c r="S8" s="1381"/>
      <c r="T8" s="200"/>
      <c r="U8" s="55"/>
    </row>
    <row r="9" spans="2:28" x14ac:dyDescent="0.2">
      <c r="B9" s="3"/>
      <c r="C9" s="28"/>
      <c r="D9" s="1370" t="s">
        <v>35</v>
      </c>
      <c r="E9" s="1371"/>
      <c r="F9" s="1371"/>
      <c r="G9" s="1372"/>
      <c r="H9" s="1334" t="s">
        <v>230</v>
      </c>
      <c r="I9" s="1329"/>
      <c r="J9" s="1329"/>
      <c r="K9" s="1330"/>
      <c r="L9" s="1344" t="s">
        <v>18</v>
      </c>
      <c r="M9" s="1345"/>
      <c r="N9" s="918" t="s">
        <v>20</v>
      </c>
      <c r="O9" s="918"/>
      <c r="P9" s="1365" t="s">
        <v>21</v>
      </c>
      <c r="Q9" s="1366"/>
      <c r="R9" s="1336" t="s">
        <v>30</v>
      </c>
      <c r="S9" s="1337"/>
      <c r="T9" s="1340" t="s">
        <v>44</v>
      </c>
      <c r="U9" s="1341"/>
    </row>
    <row r="10" spans="2:28" x14ac:dyDescent="0.2">
      <c r="B10" s="3"/>
      <c r="C10" s="28"/>
      <c r="D10" s="1373"/>
      <c r="E10" s="1374"/>
      <c r="F10" s="1374"/>
      <c r="G10" s="1375"/>
      <c r="H10" s="1335"/>
      <c r="I10" s="1332"/>
      <c r="J10" s="1332"/>
      <c r="K10" s="1333"/>
      <c r="L10" s="1344" t="s">
        <v>19</v>
      </c>
      <c r="M10" s="1345"/>
      <c r="N10" s="1346" t="s">
        <v>22</v>
      </c>
      <c r="O10" s="1347"/>
      <c r="P10" s="918" t="s">
        <v>23</v>
      </c>
      <c r="Q10" s="918"/>
      <c r="R10" s="1338"/>
      <c r="S10" s="1339"/>
      <c r="T10" s="1342"/>
      <c r="U10" s="1343"/>
    </row>
    <row r="11" spans="2:28" x14ac:dyDescent="0.2">
      <c r="B11" s="3"/>
      <c r="C11" s="28"/>
      <c r="D11" s="210"/>
      <c r="E11" s="30"/>
      <c r="F11" s="203"/>
      <c r="G11" s="30"/>
      <c r="H11" s="201"/>
      <c r="I11" s="32"/>
      <c r="J11" s="201"/>
      <c r="K11" s="32"/>
      <c r="L11" s="1318" t="s">
        <v>28</v>
      </c>
      <c r="M11" s="1319"/>
      <c r="N11" s="1348" t="s">
        <v>232</v>
      </c>
      <c r="O11" s="1348"/>
      <c r="P11" s="1348"/>
      <c r="Q11" s="1349"/>
      <c r="R11" s="1352" t="s">
        <v>233</v>
      </c>
      <c r="S11" s="1353"/>
      <c r="T11" s="200"/>
      <c r="U11" s="55"/>
    </row>
    <row r="12" spans="2:28" x14ac:dyDescent="0.2">
      <c r="B12" s="3"/>
      <c r="C12" s="28"/>
      <c r="D12" s="210"/>
      <c r="E12" s="218"/>
      <c r="F12" s="203"/>
      <c r="G12" s="30"/>
      <c r="H12" s="862"/>
      <c r="I12" s="862"/>
      <c r="J12" s="862"/>
      <c r="K12" s="862"/>
      <c r="L12" s="1320"/>
      <c r="M12" s="1321"/>
      <c r="N12" s="1350"/>
      <c r="O12" s="1350"/>
      <c r="P12" s="1350"/>
      <c r="Q12" s="1351"/>
      <c r="R12" s="1354"/>
      <c r="S12" s="1355"/>
      <c r="T12" s="200"/>
      <c r="U12" s="55"/>
    </row>
    <row r="13" spans="2:28" x14ac:dyDescent="0.2">
      <c r="B13" s="3"/>
      <c r="C13" s="28"/>
      <c r="D13" s="1362" t="s">
        <v>2</v>
      </c>
      <c r="E13" s="1363"/>
      <c r="F13" s="1363"/>
      <c r="G13" s="1364"/>
      <c r="H13" s="1356" t="s">
        <v>231</v>
      </c>
      <c r="I13" s="1357"/>
      <c r="J13" s="1357"/>
      <c r="K13" s="1358"/>
      <c r="L13" s="200"/>
      <c r="M13" s="67"/>
      <c r="N13" s="1359" t="s">
        <v>45</v>
      </c>
      <c r="O13" s="1360"/>
      <c r="P13" s="1360"/>
      <c r="Q13" s="1361"/>
      <c r="R13" s="200"/>
      <c r="S13" s="67"/>
      <c r="T13" s="200"/>
      <c r="U13" s="55"/>
    </row>
    <row r="14" spans="2:28" s="118" customFormat="1" ht="5" customHeight="1" x14ac:dyDescent="0.15">
      <c r="B14" s="119"/>
      <c r="C14" s="120"/>
      <c r="D14" s="119"/>
      <c r="E14" s="120"/>
      <c r="F14" s="119"/>
      <c r="G14" s="120"/>
      <c r="H14" s="119"/>
      <c r="I14" s="119"/>
      <c r="J14" s="119"/>
      <c r="K14" s="119"/>
      <c r="L14" s="119"/>
      <c r="M14" s="120"/>
      <c r="N14" s="119"/>
      <c r="O14" s="119"/>
      <c r="P14" s="119"/>
      <c r="Q14" s="119"/>
      <c r="R14" s="119"/>
      <c r="S14" s="120"/>
      <c r="T14" s="119"/>
      <c r="U14" s="120"/>
      <c r="V14" s="119"/>
      <c r="W14" s="120"/>
      <c r="X14" s="119"/>
      <c r="Y14" s="119"/>
      <c r="Z14" s="119"/>
      <c r="AA14" s="119"/>
      <c r="AB14" s="119"/>
    </row>
    <row r="15" spans="2:28" ht="19" customHeight="1" x14ac:dyDescent="0.2">
      <c r="B15" s="912" t="s">
        <v>92</v>
      </c>
      <c r="C15" s="913"/>
      <c r="D15" s="914" t="s">
        <v>91</v>
      </c>
      <c r="E15" s="914"/>
      <c r="F15" s="914"/>
      <c r="G15" s="914"/>
      <c r="H15" s="922" t="s">
        <v>128</v>
      </c>
      <c r="I15" s="922"/>
      <c r="J15" s="1300" t="s">
        <v>235</v>
      </c>
      <c r="K15" s="1301"/>
      <c r="L15" s="1302" t="s">
        <v>236</v>
      </c>
      <c r="M15" s="1303"/>
      <c r="N15" s="899" t="s">
        <v>128</v>
      </c>
      <c r="O15" s="899"/>
      <c r="P15" s="917" t="s">
        <v>91</v>
      </c>
      <c r="Q15" s="917"/>
      <c r="R15" s="928" t="s">
        <v>92</v>
      </c>
      <c r="S15" s="928"/>
      <c r="T15" s="935" t="s">
        <v>93</v>
      </c>
      <c r="U15" s="936"/>
    </row>
    <row r="16" spans="2:28" ht="16" x14ac:dyDescent="0.2">
      <c r="B16" s="900" t="str">
        <f>'1.PToPI plain'!B40:U40</f>
        <v>PToPI, Periodic Table of Performance Instruments: 29 measures and 28 metrics. Online: github.com/gurol/ptopi by (CC) Gürol CANBEK v4.4.13, July 2020</v>
      </c>
      <c r="C16" s="900"/>
      <c r="D16" s="900"/>
      <c r="E16" s="900"/>
      <c r="F16" s="900"/>
      <c r="G16" s="900"/>
      <c r="H16" s="900"/>
      <c r="I16" s="900"/>
      <c r="J16" s="900"/>
      <c r="K16" s="900"/>
      <c r="L16" s="900"/>
      <c r="M16" s="900"/>
      <c r="N16" s="900"/>
      <c r="O16" s="900"/>
      <c r="P16" s="900"/>
      <c r="Q16" s="900"/>
      <c r="R16" s="900"/>
      <c r="S16" s="900"/>
      <c r="T16" s="900"/>
      <c r="U16" s="900"/>
      <c r="V16" s="312"/>
      <c r="W16" s="312"/>
      <c r="X16" s="116"/>
      <c r="Y16" s="116"/>
      <c r="Z16" s="116"/>
      <c r="AA16" s="116"/>
    </row>
    <row r="17" spans="2:28" ht="16" x14ac:dyDescent="0.2">
      <c r="B17" s="1289" t="str">
        <f>'1.PToPI plain'!B41:K41</f>
        <v>PToPI by Gürol Canbek is licensed under CC BY-NC-ND 4.0</v>
      </c>
      <c r="C17" s="1289"/>
      <c r="D17" s="1289"/>
      <c r="E17" s="1289"/>
      <c r="F17" s="1289"/>
      <c r="G17" s="1289"/>
      <c r="H17" s="1289"/>
      <c r="I17" s="1289"/>
      <c r="J17" s="1289"/>
      <c r="K17" s="1289"/>
      <c r="L17" s="313"/>
      <c r="M17" s="313"/>
      <c r="N17" s="532" t="s">
        <v>423</v>
      </c>
      <c r="O17" s="313"/>
      <c r="P17" s="313"/>
      <c r="Q17" s="313"/>
      <c r="R17" s="313"/>
      <c r="S17" s="313"/>
      <c r="T17" s="313"/>
      <c r="U17" s="313"/>
      <c r="V17" s="313"/>
      <c r="W17" s="313"/>
      <c r="X17" s="117"/>
      <c r="Y17" s="117"/>
      <c r="Z17" s="117"/>
      <c r="AA17" s="117"/>
    </row>
    <row r="19" spans="2:28" x14ac:dyDescent="0.2">
      <c r="S19" s="10"/>
      <c r="T19" s="24"/>
      <c r="U19" s="11"/>
      <c r="V19" s="11"/>
      <c r="W19" s="11"/>
      <c r="Z19" s="9"/>
      <c r="AA19" s="9"/>
      <c r="AB19" s="9"/>
    </row>
  </sheetData>
  <mergeCells count="44">
    <mergeCell ref="R8:S8"/>
    <mergeCell ref="R5:S7"/>
    <mergeCell ref="R3:S4"/>
    <mergeCell ref="H5:I5"/>
    <mergeCell ref="P3:Q3"/>
    <mergeCell ref="N3:O3"/>
    <mergeCell ref="P9:Q9"/>
    <mergeCell ref="B2:C2"/>
    <mergeCell ref="L8:M8"/>
    <mergeCell ref="N8:O8"/>
    <mergeCell ref="P8:Q8"/>
    <mergeCell ref="N9:O9"/>
    <mergeCell ref="D9:G10"/>
    <mergeCell ref="O4:Q5"/>
    <mergeCell ref="T15:U15"/>
    <mergeCell ref="N11:Q12"/>
    <mergeCell ref="R11:S12"/>
    <mergeCell ref="B15:C15"/>
    <mergeCell ref="D15:G15"/>
    <mergeCell ref="H15:I15"/>
    <mergeCell ref="J15:K15"/>
    <mergeCell ref="L15:M15"/>
    <mergeCell ref="H13:K13"/>
    <mergeCell ref="N13:Q13"/>
    <mergeCell ref="N15:O15"/>
    <mergeCell ref="P15:Q15"/>
    <mergeCell ref="R15:S15"/>
    <mergeCell ref="D13:G13"/>
    <mergeCell ref="B16:U16"/>
    <mergeCell ref="B17:K17"/>
    <mergeCell ref="T6:U7"/>
    <mergeCell ref="D3:G5"/>
    <mergeCell ref="L11:M12"/>
    <mergeCell ref="N6:Q7"/>
    <mergeCell ref="H6:K7"/>
    <mergeCell ref="H9:K10"/>
    <mergeCell ref="H12:I12"/>
    <mergeCell ref="J12:K12"/>
    <mergeCell ref="R9:S10"/>
    <mergeCell ref="T9:U10"/>
    <mergeCell ref="L10:M10"/>
    <mergeCell ref="N10:O10"/>
    <mergeCell ref="P10:Q10"/>
    <mergeCell ref="L9:M9"/>
  </mergeCells>
  <hyperlinks>
    <hyperlink ref="N17" location="'licence for use'!A1" display="See &quot;Licence for use&quot;" xr:uid="{00000000-0004-0000-0800-000000000000}"/>
  </hyperlinks>
  <pageMargins left="0.7" right="0.7" top="0.75" bottom="0.75" header="0.3" footer="0.3"/>
  <pageSetup paperSize="9" scale="67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59999389629810485"/>
    <pageSetUpPr fitToPage="1"/>
  </sheetPr>
  <dimension ref="B1:AB17"/>
  <sheetViews>
    <sheetView workbookViewId="0">
      <selection activeCell="N9" sqref="N9:O9"/>
    </sheetView>
  </sheetViews>
  <sheetFormatPr baseColWidth="10" defaultColWidth="10.83203125" defaultRowHeight="24" x14ac:dyDescent="0.2"/>
  <cols>
    <col min="1" max="1" width="0.83203125" style="9" customWidth="1"/>
    <col min="2" max="2" width="6.5" style="10" customWidth="1"/>
    <col min="3" max="3" width="6.5" style="20" customWidth="1"/>
    <col min="4" max="4" width="6.5" style="10" customWidth="1"/>
    <col min="5" max="5" width="6.5" style="20" customWidth="1"/>
    <col min="6" max="6" width="6.5" style="10" customWidth="1"/>
    <col min="7" max="7" width="6.5" style="20" customWidth="1"/>
    <col min="8" max="8" width="6.5" style="10" customWidth="1"/>
    <col min="9" max="9" width="6.5" style="20" customWidth="1"/>
    <col min="10" max="10" width="6.5" style="10" customWidth="1"/>
    <col min="11" max="11" width="6.5" style="20" customWidth="1"/>
    <col min="12" max="12" width="6.5" style="10" customWidth="1"/>
    <col min="13" max="13" width="6.5" style="20" customWidth="1"/>
    <col min="14" max="14" width="6.5" style="10" customWidth="1"/>
    <col min="15" max="15" width="6.5" style="20" customWidth="1"/>
    <col min="16" max="16" width="6.5" style="10" customWidth="1"/>
    <col min="17" max="17" width="6.5" style="20" customWidth="1"/>
    <col min="18" max="18" width="8.33203125" style="10" customWidth="1"/>
    <col min="19" max="19" width="6.5" style="20" customWidth="1"/>
    <col min="20" max="20" width="6.5" style="10" customWidth="1"/>
    <col min="21" max="21" width="6.5" style="20" customWidth="1"/>
    <col min="22" max="22" width="5.83203125" style="10" customWidth="1"/>
    <col min="23" max="23" width="5.83203125" style="24" customWidth="1"/>
    <col min="24" max="26" width="8" style="11" customWidth="1"/>
    <col min="27" max="28" width="7.33203125" style="11" customWidth="1"/>
    <col min="29" max="41" width="7.33203125" style="9" customWidth="1"/>
    <col min="42" max="16384" width="10.83203125" style="9"/>
  </cols>
  <sheetData>
    <row r="1" spans="2:28" ht="5" customHeight="1" x14ac:dyDescent="0.2"/>
    <row r="2" spans="2:28" x14ac:dyDescent="0.2">
      <c r="B2" s="1367" t="s">
        <v>0</v>
      </c>
      <c r="C2" s="1367"/>
      <c r="D2" s="3"/>
      <c r="E2" s="28"/>
      <c r="F2" s="3"/>
      <c r="G2" s="28"/>
      <c r="H2" s="3"/>
      <c r="I2" s="28"/>
      <c r="J2" s="3"/>
      <c r="K2" s="28"/>
      <c r="L2" s="3"/>
      <c r="M2" s="28"/>
      <c r="N2" s="1415"/>
      <c r="O2" s="1415"/>
      <c r="P2" s="1406"/>
      <c r="Q2" s="1406"/>
      <c r="R2" s="205"/>
      <c r="S2" s="23"/>
      <c r="T2" s="200"/>
      <c r="U2" s="55"/>
    </row>
    <row r="3" spans="2:28" x14ac:dyDescent="0.2">
      <c r="B3" s="3"/>
      <c r="C3" s="28"/>
      <c r="D3" s="1407" t="s">
        <v>1</v>
      </c>
      <c r="E3" s="1407"/>
      <c r="F3" s="1407" t="s">
        <v>126</v>
      </c>
      <c r="G3" s="1407"/>
      <c r="H3" s="203"/>
      <c r="I3" s="380"/>
      <c r="J3" s="379"/>
      <c r="K3" s="380"/>
      <c r="L3" s="762" t="s">
        <v>247</v>
      </c>
      <c r="M3" s="760" t="s">
        <v>306</v>
      </c>
      <c r="N3" s="1413" t="s">
        <v>31</v>
      </c>
      <c r="O3" s="1418"/>
      <c r="P3" s="1418"/>
      <c r="Q3" s="1414"/>
      <c r="R3" s="763" t="s">
        <v>316</v>
      </c>
      <c r="S3" s="764" t="s">
        <v>724</v>
      </c>
      <c r="T3" s="200"/>
      <c r="U3" s="55"/>
    </row>
    <row r="4" spans="2:28" x14ac:dyDescent="0.2">
      <c r="B4" s="3"/>
      <c r="C4" s="28"/>
      <c r="D4" s="1407" t="s">
        <v>3</v>
      </c>
      <c r="E4" s="1407"/>
      <c r="F4" s="1407" t="s">
        <v>4</v>
      </c>
      <c r="G4" s="1407"/>
      <c r="H4" s="203"/>
      <c r="I4" s="380"/>
      <c r="J4" s="379"/>
      <c r="K4" s="380"/>
      <c r="L4" s="762" t="s">
        <v>722</v>
      </c>
      <c r="M4" s="761" t="s">
        <v>723</v>
      </c>
      <c r="N4" s="1413" t="s">
        <v>32</v>
      </c>
      <c r="O4" s="1414"/>
      <c r="P4" s="1413" t="s">
        <v>34</v>
      </c>
      <c r="Q4" s="1414"/>
      <c r="R4" s="1396" t="s">
        <v>246</v>
      </c>
      <c r="S4" s="1397"/>
      <c r="T4" s="200"/>
      <c r="U4" s="55"/>
    </row>
    <row r="5" spans="2:28" x14ac:dyDescent="0.2">
      <c r="B5" s="3"/>
      <c r="C5" s="28"/>
      <c r="D5" s="1407" t="s">
        <v>5</v>
      </c>
      <c r="E5" s="1407"/>
      <c r="F5" s="1407" t="s">
        <v>90</v>
      </c>
      <c r="G5" s="1407"/>
      <c r="H5" s="951"/>
      <c r="I5" s="937"/>
      <c r="J5" s="203"/>
      <c r="K5" s="30"/>
      <c r="L5" s="1407" t="s">
        <v>351</v>
      </c>
      <c r="M5" s="1407"/>
      <c r="N5" s="1413" t="s">
        <v>33</v>
      </c>
      <c r="O5" s="1414"/>
      <c r="P5" s="1413" t="s">
        <v>125</v>
      </c>
      <c r="Q5" s="1414"/>
      <c r="R5" s="1396" t="s">
        <v>39</v>
      </c>
      <c r="S5" s="1397"/>
      <c r="T5" s="200"/>
      <c r="U5" s="55"/>
    </row>
    <row r="6" spans="2:28" x14ac:dyDescent="0.2">
      <c r="B6" s="3"/>
      <c r="C6" s="28"/>
      <c r="D6" s="678"/>
      <c r="E6" s="680"/>
      <c r="F6" s="678"/>
      <c r="G6" s="680"/>
      <c r="H6" s="1410" t="s">
        <v>6</v>
      </c>
      <c r="I6" s="1410"/>
      <c r="J6" s="1410" t="s">
        <v>38</v>
      </c>
      <c r="K6" s="1410"/>
      <c r="L6" s="201"/>
      <c r="M6" s="32"/>
      <c r="N6" s="1411" t="s">
        <v>10</v>
      </c>
      <c r="O6" s="1412"/>
      <c r="P6" s="1411" t="s">
        <v>11</v>
      </c>
      <c r="Q6" s="1412"/>
      <c r="R6" s="1396" t="s">
        <v>40</v>
      </c>
      <c r="S6" s="1397"/>
      <c r="T6" s="1408" t="s">
        <v>42</v>
      </c>
      <c r="U6" s="1409"/>
    </row>
    <row r="7" spans="2:28" x14ac:dyDescent="0.2">
      <c r="B7" s="3"/>
      <c r="C7" s="28"/>
      <c r="D7" s="203"/>
      <c r="E7" s="30"/>
      <c r="F7" s="203"/>
      <c r="G7" s="30"/>
      <c r="H7" s="1410" t="s">
        <v>8</v>
      </c>
      <c r="I7" s="1410"/>
      <c r="J7" s="1410" t="s">
        <v>9</v>
      </c>
      <c r="K7" s="1410"/>
      <c r="L7" s="201"/>
      <c r="M7" s="32"/>
      <c r="N7" s="1411" t="s">
        <v>12</v>
      </c>
      <c r="O7" s="1412"/>
      <c r="P7" s="1411" t="s">
        <v>13</v>
      </c>
      <c r="Q7" s="1412"/>
      <c r="R7" s="1396" t="s">
        <v>41</v>
      </c>
      <c r="S7" s="1397"/>
      <c r="T7" s="1408" t="s">
        <v>43</v>
      </c>
      <c r="U7" s="1409"/>
    </row>
    <row r="8" spans="2:28" x14ac:dyDescent="0.2">
      <c r="B8" s="3"/>
      <c r="C8" s="28"/>
      <c r="D8" s="203"/>
      <c r="E8" s="30"/>
      <c r="F8" s="203"/>
      <c r="G8" s="30"/>
      <c r="H8" s="201"/>
      <c r="I8" s="32"/>
      <c r="J8" s="201"/>
      <c r="K8" s="32"/>
      <c r="L8" s="1344" t="s">
        <v>14</v>
      </c>
      <c r="M8" s="1345"/>
      <c r="N8" s="1368" t="s">
        <v>15</v>
      </c>
      <c r="O8" s="1369"/>
      <c r="P8" s="1368" t="s">
        <v>16</v>
      </c>
      <c r="Q8" s="1369"/>
      <c r="R8" s="1380" t="s">
        <v>17</v>
      </c>
      <c r="S8" s="1381"/>
      <c r="T8" s="1408" t="s">
        <v>752</v>
      </c>
      <c r="U8" s="1409"/>
    </row>
    <row r="9" spans="2:28" ht="24" customHeight="1" x14ac:dyDescent="0.2">
      <c r="B9" s="3"/>
      <c r="C9" s="28"/>
      <c r="D9" s="1370" t="s">
        <v>35</v>
      </c>
      <c r="E9" s="1371"/>
      <c r="F9" s="1371"/>
      <c r="G9" s="1372"/>
      <c r="H9" s="1419" t="s">
        <v>24</v>
      </c>
      <c r="I9" s="1420"/>
      <c r="J9" s="1419" t="s">
        <v>25</v>
      </c>
      <c r="K9" s="1421"/>
      <c r="L9" s="1344" t="s">
        <v>18</v>
      </c>
      <c r="M9" s="1345"/>
      <c r="N9" s="918" t="s">
        <v>20</v>
      </c>
      <c r="O9" s="918"/>
      <c r="P9" s="1365" t="s">
        <v>21</v>
      </c>
      <c r="Q9" s="1366"/>
      <c r="R9" s="1336" t="s">
        <v>30</v>
      </c>
      <c r="S9" s="1337"/>
      <c r="T9" s="1340" t="s">
        <v>44</v>
      </c>
      <c r="U9" s="1341"/>
    </row>
    <row r="10" spans="2:28" x14ac:dyDescent="0.2">
      <c r="B10" s="3"/>
      <c r="C10" s="28"/>
      <c r="D10" s="1373"/>
      <c r="E10" s="1374"/>
      <c r="F10" s="1374"/>
      <c r="G10" s="1375"/>
      <c r="H10" s="1404" t="s">
        <v>26</v>
      </c>
      <c r="I10" s="1405"/>
      <c r="J10" s="1404" t="s">
        <v>27</v>
      </c>
      <c r="K10" s="1357"/>
      <c r="L10" s="1344" t="s">
        <v>19</v>
      </c>
      <c r="M10" s="1345"/>
      <c r="N10" s="1346" t="s">
        <v>22</v>
      </c>
      <c r="O10" s="1347"/>
      <c r="P10" s="918" t="s">
        <v>23</v>
      </c>
      <c r="Q10" s="918"/>
      <c r="R10" s="1338"/>
      <c r="S10" s="1339"/>
      <c r="T10" s="1342"/>
      <c r="U10" s="1343"/>
    </row>
    <row r="11" spans="2:28" x14ac:dyDescent="0.2">
      <c r="B11" s="3"/>
      <c r="C11" s="28"/>
      <c r="D11" s="203"/>
      <c r="E11" s="30"/>
      <c r="F11" s="203"/>
      <c r="G11" s="30"/>
      <c r="H11" s="201"/>
      <c r="I11" s="32"/>
      <c r="J11" s="201"/>
      <c r="K11" s="32"/>
      <c r="L11" s="1380" t="s">
        <v>28</v>
      </c>
      <c r="M11" s="1381"/>
      <c r="N11" s="1398" t="s">
        <v>29</v>
      </c>
      <c r="O11" s="1399"/>
      <c r="P11" s="1398" t="s">
        <v>48</v>
      </c>
      <c r="Q11" s="1399"/>
      <c r="R11" s="1400" t="s">
        <v>50</v>
      </c>
      <c r="S11" s="1401"/>
      <c r="T11" s="200"/>
      <c r="U11" s="55"/>
    </row>
    <row r="12" spans="2:28" x14ac:dyDescent="0.2">
      <c r="B12" s="3"/>
      <c r="C12" s="28"/>
      <c r="D12" s="203"/>
      <c r="E12" s="380"/>
      <c r="F12" s="379"/>
      <c r="G12" s="30"/>
      <c r="H12" s="862"/>
      <c r="I12" s="862"/>
      <c r="J12" s="862"/>
      <c r="K12" s="862"/>
      <c r="L12" s="1396" t="s">
        <v>49</v>
      </c>
      <c r="M12" s="1397"/>
      <c r="N12" s="1398" t="s">
        <v>117</v>
      </c>
      <c r="O12" s="1399"/>
      <c r="P12" s="1398" t="s">
        <v>47</v>
      </c>
      <c r="Q12" s="1399"/>
      <c r="R12" s="1402" t="s">
        <v>46</v>
      </c>
      <c r="S12" s="1403"/>
      <c r="T12" s="200"/>
      <c r="U12" s="55"/>
    </row>
    <row r="13" spans="2:28" ht="24" customHeight="1" x14ac:dyDescent="0.2">
      <c r="B13" s="3"/>
      <c r="C13" s="28"/>
      <c r="D13" s="756" t="s">
        <v>2</v>
      </c>
      <c r="E13" s="1416" t="s">
        <v>717</v>
      </c>
      <c r="F13" s="1416"/>
      <c r="G13" s="1417"/>
      <c r="H13" s="1356" t="s">
        <v>36</v>
      </c>
      <c r="I13" s="1358"/>
      <c r="J13" s="1356" t="s">
        <v>37</v>
      </c>
      <c r="K13" s="1358"/>
      <c r="L13" s="200"/>
      <c r="M13" s="67"/>
      <c r="N13" s="1359" t="s">
        <v>45</v>
      </c>
      <c r="O13" s="1360"/>
      <c r="P13" s="1360"/>
      <c r="Q13" s="1361"/>
      <c r="R13" s="200"/>
      <c r="S13" s="67"/>
      <c r="T13" s="200"/>
      <c r="U13" s="67"/>
    </row>
    <row r="14" spans="2:28" s="118" customFormat="1" ht="5" customHeight="1" x14ac:dyDescent="0.15">
      <c r="B14" s="119"/>
      <c r="C14" s="120"/>
      <c r="D14" s="119"/>
      <c r="E14" s="120"/>
      <c r="F14" s="119"/>
      <c r="G14" s="120"/>
      <c r="H14" s="119"/>
      <c r="I14" s="119"/>
      <c r="J14" s="119"/>
      <c r="K14" s="119"/>
      <c r="L14" s="119"/>
      <c r="M14" s="120"/>
      <c r="N14" s="119"/>
      <c r="O14" s="119"/>
      <c r="P14" s="119"/>
      <c r="Q14" s="119"/>
      <c r="R14" s="119"/>
      <c r="S14" s="120"/>
      <c r="T14" s="119"/>
      <c r="U14" s="120"/>
      <c r="V14" s="10"/>
      <c r="W14" s="24"/>
      <c r="X14" s="119"/>
      <c r="Y14" s="119"/>
      <c r="Z14" s="119"/>
      <c r="AA14" s="119"/>
      <c r="AB14" s="119"/>
    </row>
    <row r="15" spans="2:28" ht="19" customHeight="1" x14ac:dyDescent="0.2">
      <c r="B15" s="912" t="s">
        <v>92</v>
      </c>
      <c r="C15" s="913"/>
      <c r="D15" s="914" t="s">
        <v>91</v>
      </c>
      <c r="E15" s="914"/>
      <c r="F15" s="914"/>
      <c r="G15" s="914"/>
      <c r="H15" s="922" t="s">
        <v>128</v>
      </c>
      <c r="I15" s="922"/>
      <c r="J15" s="920" t="s">
        <v>223</v>
      </c>
      <c r="K15" s="921"/>
      <c r="L15" s="915" t="s">
        <v>224</v>
      </c>
      <c r="M15" s="916"/>
      <c r="N15" s="899" t="s">
        <v>128</v>
      </c>
      <c r="O15" s="899"/>
      <c r="P15" s="917" t="s">
        <v>91</v>
      </c>
      <c r="Q15" s="917"/>
      <c r="R15" s="928" t="s">
        <v>92</v>
      </c>
      <c r="S15" s="928"/>
      <c r="T15" s="935" t="s">
        <v>93</v>
      </c>
      <c r="U15" s="936"/>
    </row>
    <row r="16" spans="2:28" ht="16" x14ac:dyDescent="0.2">
      <c r="B16" s="900" t="str">
        <f>'1.PToPI plain'!B40:U40</f>
        <v>PToPI, Periodic Table of Performance Instruments: 29 measures and 28 metrics. Online: github.com/gurol/ptopi by (CC) Gürol CANBEK v4.4.13, July 2020</v>
      </c>
      <c r="C16" s="900"/>
      <c r="D16" s="900"/>
      <c r="E16" s="900"/>
      <c r="F16" s="900"/>
      <c r="G16" s="900"/>
      <c r="H16" s="900"/>
      <c r="I16" s="900"/>
      <c r="J16" s="900"/>
      <c r="K16" s="900"/>
      <c r="L16" s="900"/>
      <c r="M16" s="900"/>
      <c r="N16" s="900"/>
      <c r="O16" s="900"/>
      <c r="P16" s="900"/>
      <c r="Q16" s="900"/>
      <c r="R16" s="900"/>
      <c r="S16" s="900"/>
      <c r="T16" s="900"/>
      <c r="U16" s="900"/>
      <c r="V16" s="312"/>
      <c r="W16" s="312"/>
      <c r="X16" s="116"/>
      <c r="Y16" s="116"/>
      <c r="Z16" s="116"/>
      <c r="AA16" s="116"/>
    </row>
    <row r="17" spans="2:27" ht="16" x14ac:dyDescent="0.2">
      <c r="B17" s="1289" t="str">
        <f>'1.PToPI plain'!B41:K41</f>
        <v>PToPI by Gürol Canbek is licensed under CC BY-NC-ND 4.0</v>
      </c>
      <c r="C17" s="1289"/>
      <c r="D17" s="1289"/>
      <c r="E17" s="1289"/>
      <c r="F17" s="1289"/>
      <c r="G17" s="1289"/>
      <c r="H17" s="1289"/>
      <c r="I17" s="1289"/>
      <c r="J17" s="1289"/>
      <c r="K17" s="1289"/>
      <c r="L17" s="313"/>
      <c r="M17" s="313"/>
      <c r="N17" s="532" t="s">
        <v>423</v>
      </c>
      <c r="O17" s="313"/>
      <c r="P17" s="313"/>
      <c r="Q17" s="313"/>
      <c r="R17" s="313"/>
      <c r="S17" s="313"/>
      <c r="T17" s="313"/>
      <c r="U17" s="313"/>
      <c r="V17" s="313"/>
      <c r="W17" s="313"/>
      <c r="X17" s="117"/>
      <c r="Y17" s="117"/>
      <c r="Z17" s="117"/>
      <c r="AA17" s="117"/>
    </row>
  </sheetData>
  <mergeCells count="73">
    <mergeCell ref="E13:G13"/>
    <mergeCell ref="D9:G10"/>
    <mergeCell ref="N3:Q3"/>
    <mergeCell ref="L5:M5"/>
    <mergeCell ref="D5:E5"/>
    <mergeCell ref="H5:I5"/>
    <mergeCell ref="N5:O5"/>
    <mergeCell ref="P5:Q5"/>
    <mergeCell ref="F5:G5"/>
    <mergeCell ref="H6:I6"/>
    <mergeCell ref="J6:K6"/>
    <mergeCell ref="N6:O6"/>
    <mergeCell ref="H9:I9"/>
    <mergeCell ref="J9:K9"/>
    <mergeCell ref="L9:M9"/>
    <mergeCell ref="H13:I13"/>
    <mergeCell ref="B2:C2"/>
    <mergeCell ref="D3:E3"/>
    <mergeCell ref="D4:E4"/>
    <mergeCell ref="N4:O4"/>
    <mergeCell ref="L8:M8"/>
    <mergeCell ref="N8:O8"/>
    <mergeCell ref="N2:O2"/>
    <mergeCell ref="P2:Q2"/>
    <mergeCell ref="F3:G3"/>
    <mergeCell ref="F4:G4"/>
    <mergeCell ref="N9:O9"/>
    <mergeCell ref="T6:U6"/>
    <mergeCell ref="H7:I7"/>
    <mergeCell ref="J7:K7"/>
    <mergeCell ref="N7:O7"/>
    <mergeCell ref="P7:Q7"/>
    <mergeCell ref="R7:S7"/>
    <mergeCell ref="T7:U7"/>
    <mergeCell ref="P6:Q6"/>
    <mergeCell ref="R4:S4"/>
    <mergeCell ref="P4:Q4"/>
    <mergeCell ref="T8:U8"/>
    <mergeCell ref="J13:K13"/>
    <mergeCell ref="N13:Q13"/>
    <mergeCell ref="H10:I10"/>
    <mergeCell ref="P9:Q9"/>
    <mergeCell ref="J10:K10"/>
    <mergeCell ref="L10:M10"/>
    <mergeCell ref="N10:O10"/>
    <mergeCell ref="P10:Q10"/>
    <mergeCell ref="B15:C15"/>
    <mergeCell ref="D15:G15"/>
    <mergeCell ref="H15:I15"/>
    <mergeCell ref="J15:K15"/>
    <mergeCell ref="L15:M15"/>
    <mergeCell ref="B16:U16"/>
    <mergeCell ref="B17:K17"/>
    <mergeCell ref="R9:S10"/>
    <mergeCell ref="T9:U10"/>
    <mergeCell ref="R15:S15"/>
    <mergeCell ref="T15:U15"/>
    <mergeCell ref="L11:M11"/>
    <mergeCell ref="N11:O11"/>
    <mergeCell ref="P11:Q11"/>
    <mergeCell ref="R11:S11"/>
    <mergeCell ref="H12:I12"/>
    <mergeCell ref="J12:K12"/>
    <mergeCell ref="L12:M12"/>
    <mergeCell ref="N12:O12"/>
    <mergeCell ref="P12:Q12"/>
    <mergeCell ref="R12:S12"/>
    <mergeCell ref="N15:O15"/>
    <mergeCell ref="P15:Q15"/>
    <mergeCell ref="R8:S8"/>
    <mergeCell ref="R6:S6"/>
    <mergeCell ref="R5:S5"/>
    <mergeCell ref="P8:Q8"/>
  </mergeCells>
  <hyperlinks>
    <hyperlink ref="N17" location="'Licance for use'!A1" display="See &quot;Licence for use&quot;" xr:uid="{00000000-0004-0000-0900-000000000000}"/>
  </hyperlinks>
  <pageMargins left="0.7" right="0.7" top="0.75" bottom="0.75" header="0.3" footer="0.3"/>
  <pageSetup paperSize="9" scale="67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59999389629810485"/>
    <pageSetUpPr fitToPage="1"/>
  </sheetPr>
  <dimension ref="B1:AB29"/>
  <sheetViews>
    <sheetView showGridLines="0" workbookViewId="0">
      <selection sqref="A1:V29"/>
    </sheetView>
  </sheetViews>
  <sheetFormatPr baseColWidth="10" defaultColWidth="10.83203125" defaultRowHeight="24" x14ac:dyDescent="0.2"/>
  <cols>
    <col min="1" max="1" width="0.83203125" style="9" customWidth="1"/>
    <col min="2" max="2" width="5.83203125" style="10" customWidth="1"/>
    <col min="3" max="3" width="5.83203125" style="20" customWidth="1"/>
    <col min="4" max="4" width="5.83203125" style="10" customWidth="1"/>
    <col min="5" max="5" width="5.83203125" style="20" customWidth="1"/>
    <col min="6" max="6" width="5.83203125" style="10" customWidth="1"/>
    <col min="7" max="7" width="5.83203125" style="20" customWidth="1"/>
    <col min="8" max="8" width="5.83203125" style="10" customWidth="1"/>
    <col min="9" max="9" width="5.83203125" style="20" customWidth="1"/>
    <col min="10" max="10" width="5.83203125" style="10" customWidth="1"/>
    <col min="11" max="11" width="5.83203125" style="20" customWidth="1"/>
    <col min="12" max="12" width="5.83203125" style="10" customWidth="1"/>
    <col min="13" max="13" width="5.83203125" style="20" customWidth="1"/>
    <col min="14" max="14" width="5.83203125" style="10" customWidth="1"/>
    <col min="15" max="15" width="5.83203125" style="20" customWidth="1"/>
    <col min="16" max="16" width="5.83203125" style="10" customWidth="1"/>
    <col min="17" max="17" width="5.83203125" style="20" customWidth="1"/>
    <col min="18" max="18" width="5.83203125" style="10" customWidth="1"/>
    <col min="19" max="19" width="5.83203125" style="20" customWidth="1"/>
    <col min="20" max="20" width="5.83203125" style="10" customWidth="1"/>
    <col min="21" max="21" width="5.83203125" style="20" customWidth="1"/>
    <col min="22" max="22" width="0.6640625" style="10" customWidth="1"/>
    <col min="23" max="23" width="5.83203125" style="24" customWidth="1"/>
    <col min="24" max="26" width="8" style="11" customWidth="1"/>
    <col min="27" max="28" width="7.33203125" style="11" customWidth="1"/>
    <col min="29" max="41" width="7.33203125" style="9" customWidth="1"/>
    <col min="42" max="16384" width="10.83203125" style="9"/>
  </cols>
  <sheetData>
    <row r="1" spans="2:28" ht="5" customHeight="1" x14ac:dyDescent="0.2"/>
    <row r="2" spans="2:28" s="12" customFormat="1" ht="15" x14ac:dyDescent="0.2">
      <c r="B2" s="15">
        <v>23</v>
      </c>
      <c r="C2" s="43"/>
      <c r="D2" s="7"/>
      <c r="E2" s="27"/>
      <c r="F2" s="7"/>
      <c r="G2" s="27"/>
      <c r="H2" s="7"/>
      <c r="I2" s="27"/>
      <c r="J2" s="7"/>
      <c r="K2" s="27"/>
      <c r="L2" s="7"/>
      <c r="M2" s="27"/>
      <c r="N2" s="354" t="s">
        <v>272</v>
      </c>
      <c r="O2" s="351"/>
      <c r="P2" s="1472" t="s">
        <v>266</v>
      </c>
      <c r="Q2" s="1473"/>
      <c r="R2" s="5"/>
      <c r="S2" s="22"/>
      <c r="T2" s="57"/>
      <c r="U2" s="58"/>
      <c r="X2" s="13"/>
      <c r="Y2" s="13"/>
      <c r="Z2" s="13"/>
      <c r="AA2" s="13"/>
      <c r="AB2" s="13"/>
    </row>
    <row r="3" spans="2:28" x14ac:dyDescent="0.2">
      <c r="B3" s="1465" t="s">
        <v>0</v>
      </c>
      <c r="C3" s="1466"/>
      <c r="D3" s="3"/>
      <c r="E3" s="28"/>
      <c r="F3" s="3"/>
      <c r="G3" s="28"/>
      <c r="H3" s="3"/>
      <c r="I3" s="28"/>
      <c r="J3" s="3"/>
      <c r="K3" s="28"/>
      <c r="L3" s="3"/>
      <c r="M3" s="28"/>
      <c r="N3" s="1432" t="s">
        <v>247</v>
      </c>
      <c r="O3" s="1471"/>
      <c r="P3" s="1474"/>
      <c r="Q3" s="1475"/>
      <c r="R3" s="341"/>
      <c r="S3" s="23"/>
      <c r="T3" s="200"/>
      <c r="U3" s="55"/>
    </row>
    <row r="4" spans="2:28" s="12" customFormat="1" ht="15" x14ac:dyDescent="0.2">
      <c r="B4" s="7"/>
      <c r="C4" s="27"/>
      <c r="D4" s="16">
        <v>20</v>
      </c>
      <c r="E4" s="42"/>
      <c r="F4" s="92" t="s">
        <v>271</v>
      </c>
      <c r="G4" s="75"/>
      <c r="H4" s="6"/>
      <c r="I4" s="29"/>
      <c r="J4" s="6"/>
      <c r="K4" s="29"/>
      <c r="L4" s="6"/>
      <c r="M4" s="29"/>
      <c r="N4" s="339">
        <v>15</v>
      </c>
      <c r="O4" s="36"/>
      <c r="P4" s="383" t="s">
        <v>272</v>
      </c>
      <c r="Q4" s="36"/>
      <c r="R4" s="5"/>
      <c r="S4" s="22"/>
      <c r="T4" s="57"/>
      <c r="U4" s="58"/>
      <c r="X4" s="13"/>
      <c r="Y4" s="13"/>
      <c r="Z4" s="13"/>
      <c r="AA4" s="13"/>
      <c r="AB4" s="13"/>
    </row>
    <row r="5" spans="2:28" x14ac:dyDescent="0.2">
      <c r="B5" s="3"/>
      <c r="C5" s="28"/>
      <c r="D5" s="1467" t="s">
        <v>1</v>
      </c>
      <c r="E5" s="1468"/>
      <c r="F5" s="1469" t="s">
        <v>126</v>
      </c>
      <c r="G5" s="1470"/>
      <c r="H5" s="203"/>
      <c r="I5" s="30"/>
      <c r="J5" s="203"/>
      <c r="K5" s="30"/>
      <c r="L5" s="203"/>
      <c r="M5" s="30"/>
      <c r="N5" s="1467" t="s">
        <v>31</v>
      </c>
      <c r="O5" s="1468"/>
      <c r="P5" s="1467" t="s">
        <v>267</v>
      </c>
      <c r="Q5" s="1468"/>
      <c r="R5" s="341"/>
      <c r="S5" s="23"/>
      <c r="T5" s="200"/>
      <c r="U5" s="55"/>
    </row>
    <row r="6" spans="2:28" s="12" customFormat="1" ht="15" x14ac:dyDescent="0.2">
      <c r="B6" s="7"/>
      <c r="C6" s="27"/>
      <c r="D6" s="16">
        <v>21</v>
      </c>
      <c r="E6" s="42"/>
      <c r="F6" s="16">
        <v>21.2</v>
      </c>
      <c r="G6" s="42"/>
      <c r="H6" s="6"/>
      <c r="I6" s="308"/>
      <c r="J6" s="308"/>
      <c r="K6" s="308"/>
      <c r="L6" s="308"/>
      <c r="M6" s="29"/>
      <c r="N6" s="204">
        <v>16</v>
      </c>
      <c r="O6" s="36"/>
      <c r="P6" s="204">
        <v>17</v>
      </c>
      <c r="Q6" s="36"/>
      <c r="R6" s="354" t="s">
        <v>273</v>
      </c>
      <c r="S6" s="39"/>
      <c r="T6" s="57"/>
      <c r="U6" s="58"/>
      <c r="X6" s="13"/>
      <c r="Y6" s="13"/>
      <c r="Z6" s="13"/>
      <c r="AA6" s="13"/>
      <c r="AB6" s="13"/>
    </row>
    <row r="7" spans="2:28" x14ac:dyDescent="0.2">
      <c r="B7" s="3"/>
      <c r="C7" s="28"/>
      <c r="D7" s="1469" t="s">
        <v>3</v>
      </c>
      <c r="E7" s="1470"/>
      <c r="F7" s="1467" t="s">
        <v>4</v>
      </c>
      <c r="G7" s="1468"/>
      <c r="H7" s="203"/>
      <c r="I7" s="380"/>
      <c r="J7" s="379"/>
      <c r="K7" s="380"/>
      <c r="L7" s="379"/>
      <c r="M7" s="30"/>
      <c r="N7" s="1467" t="s">
        <v>32</v>
      </c>
      <c r="O7" s="1468"/>
      <c r="P7" s="1467" t="s">
        <v>34</v>
      </c>
      <c r="Q7" s="1468"/>
      <c r="R7" s="1432" t="s">
        <v>246</v>
      </c>
      <c r="S7" s="1433"/>
      <c r="T7" s="200"/>
      <c r="U7" s="55"/>
    </row>
    <row r="8" spans="2:28" s="12" customFormat="1" ht="15" x14ac:dyDescent="0.2">
      <c r="B8" s="7"/>
      <c r="C8" s="27"/>
      <c r="D8" s="16">
        <v>21.3</v>
      </c>
      <c r="E8" s="42"/>
      <c r="F8" s="16">
        <v>21.1</v>
      </c>
      <c r="G8" s="42"/>
      <c r="H8" s="208"/>
      <c r="I8" s="209"/>
      <c r="J8" s="6"/>
      <c r="K8" s="29"/>
      <c r="L8" s="6"/>
      <c r="M8" s="29"/>
      <c r="N8" s="204">
        <v>18</v>
      </c>
      <c r="O8" s="108"/>
      <c r="P8" s="383" t="s">
        <v>270</v>
      </c>
      <c r="Q8" s="84"/>
      <c r="R8" s="51">
        <v>18</v>
      </c>
      <c r="S8" s="39"/>
      <c r="T8" s="53"/>
      <c r="U8" s="53"/>
      <c r="X8" s="13"/>
      <c r="Y8" s="13"/>
      <c r="Z8" s="13"/>
      <c r="AA8" s="13"/>
      <c r="AB8" s="13"/>
    </row>
    <row r="9" spans="2:28" x14ac:dyDescent="0.2">
      <c r="B9" s="3"/>
      <c r="C9" s="28"/>
      <c r="D9" s="1469" t="s">
        <v>5</v>
      </c>
      <c r="E9" s="1470"/>
      <c r="F9" s="1469" t="s">
        <v>90</v>
      </c>
      <c r="G9" s="1470"/>
      <c r="H9" s="951"/>
      <c r="I9" s="937"/>
      <c r="J9" s="203"/>
      <c r="K9" s="30"/>
      <c r="L9" s="203"/>
      <c r="M9" s="30"/>
      <c r="N9" s="1467" t="s">
        <v>33</v>
      </c>
      <c r="O9" s="1468"/>
      <c r="P9" s="1467" t="s">
        <v>125</v>
      </c>
      <c r="Q9" s="1468"/>
      <c r="R9" s="1432" t="s">
        <v>39</v>
      </c>
      <c r="S9" s="1433"/>
      <c r="T9" s="200"/>
      <c r="U9" s="55"/>
    </row>
    <row r="10" spans="2:28" s="12" customFormat="1" ht="15" x14ac:dyDescent="0.2">
      <c r="B10" s="7"/>
      <c r="C10" s="27"/>
      <c r="D10" s="308"/>
      <c r="E10" s="308"/>
      <c r="F10" s="308"/>
      <c r="G10" s="308"/>
      <c r="H10" s="17">
        <v>9</v>
      </c>
      <c r="I10" s="40"/>
      <c r="J10" s="17">
        <v>10</v>
      </c>
      <c r="K10" s="40"/>
      <c r="L10" s="8"/>
      <c r="M10" s="31"/>
      <c r="N10" s="18">
        <v>1</v>
      </c>
      <c r="O10" s="38"/>
      <c r="P10" s="18">
        <v>3</v>
      </c>
      <c r="Q10" s="37"/>
      <c r="R10" s="51">
        <v>19</v>
      </c>
      <c r="S10" s="39"/>
      <c r="T10" s="59">
        <v>26</v>
      </c>
      <c r="U10" s="60"/>
      <c r="AA10" s="13"/>
      <c r="AB10" s="13"/>
    </row>
    <row r="11" spans="2:28" x14ac:dyDescent="0.2">
      <c r="B11" s="3"/>
      <c r="C11" s="28"/>
      <c r="D11" s="678"/>
      <c r="E11" s="680"/>
      <c r="F11" s="678"/>
      <c r="G11" s="680"/>
      <c r="H11" s="1461" t="s">
        <v>6</v>
      </c>
      <c r="I11" s="1462"/>
      <c r="J11" s="1461" t="s">
        <v>38</v>
      </c>
      <c r="K11" s="1462"/>
      <c r="L11" s="201"/>
      <c r="M11" s="32"/>
      <c r="N11" s="1461" t="s">
        <v>10</v>
      </c>
      <c r="O11" s="1462"/>
      <c r="P11" s="1461" t="s">
        <v>11</v>
      </c>
      <c r="Q11" s="1462"/>
      <c r="R11" s="1432" t="s">
        <v>40</v>
      </c>
      <c r="S11" s="1433"/>
      <c r="T11" s="1463" t="s">
        <v>42</v>
      </c>
      <c r="U11" s="1464"/>
    </row>
    <row r="12" spans="2:28" s="12" customFormat="1" ht="15" x14ac:dyDescent="0.2">
      <c r="B12" s="7"/>
      <c r="C12" s="27"/>
      <c r="D12" s="6"/>
      <c r="E12" s="29"/>
      <c r="F12" s="6"/>
      <c r="G12" s="29"/>
      <c r="H12" s="17">
        <v>11</v>
      </c>
      <c r="I12" s="40"/>
      <c r="J12" s="17">
        <v>12</v>
      </c>
      <c r="K12" s="40"/>
      <c r="L12" s="8"/>
      <c r="M12" s="31"/>
      <c r="N12" s="18">
        <v>2</v>
      </c>
      <c r="O12" s="38"/>
      <c r="P12" s="18">
        <v>4</v>
      </c>
      <c r="Q12" s="38"/>
      <c r="R12" s="51">
        <v>20</v>
      </c>
      <c r="S12" s="39"/>
      <c r="T12" s="59">
        <v>27</v>
      </c>
      <c r="U12" s="60"/>
      <c r="AA12" s="13"/>
      <c r="AB12" s="13"/>
    </row>
    <row r="13" spans="2:28" x14ac:dyDescent="0.2">
      <c r="B13" s="3"/>
      <c r="C13" s="28"/>
      <c r="D13" s="379"/>
      <c r="E13" s="380"/>
      <c r="F13" s="379"/>
      <c r="G13" s="380"/>
      <c r="H13" s="1428" t="s">
        <v>8</v>
      </c>
      <c r="I13" s="1427"/>
      <c r="J13" s="1428" t="s">
        <v>9</v>
      </c>
      <c r="K13" s="1427"/>
      <c r="L13" s="201"/>
      <c r="M13" s="32"/>
      <c r="N13" s="1461" t="s">
        <v>12</v>
      </c>
      <c r="O13" s="1462"/>
      <c r="P13" s="1461" t="s">
        <v>13</v>
      </c>
      <c r="Q13" s="1462"/>
      <c r="R13" s="1436" t="s">
        <v>41</v>
      </c>
      <c r="S13" s="1437"/>
      <c r="T13" s="1310" t="s">
        <v>43</v>
      </c>
      <c r="U13" s="1311"/>
    </row>
    <row r="14" spans="2:28" s="12" customFormat="1" ht="15" x14ac:dyDescent="0.2">
      <c r="B14" s="7"/>
      <c r="C14" s="27"/>
      <c r="D14" s="6"/>
      <c r="E14" s="308"/>
      <c r="F14" s="308"/>
      <c r="G14" s="209"/>
      <c r="H14" s="8"/>
      <c r="I14" s="31"/>
      <c r="J14" s="8"/>
      <c r="K14" s="31"/>
      <c r="L14" s="48">
        <v>9</v>
      </c>
      <c r="M14" s="35"/>
      <c r="N14" s="49">
        <v>5</v>
      </c>
      <c r="O14" s="21"/>
      <c r="P14" s="49">
        <v>6</v>
      </c>
      <c r="Q14" s="21"/>
      <c r="R14" s="48">
        <v>10</v>
      </c>
      <c r="S14" s="35"/>
      <c r="T14" s="59">
        <v>25</v>
      </c>
      <c r="U14" s="60"/>
      <c r="V14" s="348"/>
      <c r="W14" s="349"/>
      <c r="X14" s="13"/>
      <c r="Y14" s="13"/>
      <c r="Z14" s="13"/>
      <c r="AA14" s="13"/>
      <c r="AB14" s="13"/>
    </row>
    <row r="15" spans="2:28" x14ac:dyDescent="0.2">
      <c r="B15" s="3"/>
      <c r="C15" s="28"/>
      <c r="D15" s="203"/>
      <c r="E15" s="30"/>
      <c r="F15" s="203"/>
      <c r="G15" s="30"/>
      <c r="H15" s="201"/>
      <c r="I15" s="32"/>
      <c r="J15" s="201"/>
      <c r="K15" s="32"/>
      <c r="L15" s="1438" t="s">
        <v>14</v>
      </c>
      <c r="M15" s="1439"/>
      <c r="N15" s="1459" t="s">
        <v>15</v>
      </c>
      <c r="O15" s="1460"/>
      <c r="P15" s="1438" t="s">
        <v>16</v>
      </c>
      <c r="Q15" s="1439"/>
      <c r="R15" s="1438" t="s">
        <v>17</v>
      </c>
      <c r="S15" s="1439"/>
      <c r="T15" s="1463" t="s">
        <v>752</v>
      </c>
      <c r="U15" s="1464"/>
      <c r="V15" s="338"/>
      <c r="W15" s="220"/>
    </row>
    <row r="16" spans="2:28" s="12" customFormat="1" ht="15" x14ac:dyDescent="0.2">
      <c r="B16" s="7"/>
      <c r="C16" s="27"/>
      <c r="D16" s="1480">
        <v>19</v>
      </c>
      <c r="E16" s="1481"/>
      <c r="F16" s="1481"/>
      <c r="G16" s="1482"/>
      <c r="H16" s="19">
        <v>5</v>
      </c>
      <c r="I16" s="41"/>
      <c r="J16" s="19">
        <v>6</v>
      </c>
      <c r="K16" s="41"/>
      <c r="L16" s="46">
        <v>7</v>
      </c>
      <c r="M16" s="34"/>
      <c r="N16" s="70">
        <v>1</v>
      </c>
      <c r="O16" s="71"/>
      <c r="P16" s="44">
        <v>2</v>
      </c>
      <c r="Q16" s="91"/>
      <c r="R16" s="47">
        <v>17</v>
      </c>
      <c r="S16" s="26"/>
      <c r="T16" s="61">
        <v>24</v>
      </c>
      <c r="U16" s="62"/>
      <c r="V16" s="350"/>
      <c r="W16" s="350"/>
      <c r="X16" s="13"/>
      <c r="Y16" s="13"/>
      <c r="Z16" s="13"/>
      <c r="AA16" s="13"/>
      <c r="AB16" s="13"/>
    </row>
    <row r="17" spans="2:28" x14ac:dyDescent="0.2">
      <c r="B17" s="3"/>
      <c r="C17" s="28"/>
      <c r="D17" s="1483" t="s">
        <v>35</v>
      </c>
      <c r="E17" s="871"/>
      <c r="F17" s="871"/>
      <c r="G17" s="1484"/>
      <c r="H17" s="1453" t="s">
        <v>24</v>
      </c>
      <c r="I17" s="1454"/>
      <c r="J17" s="1453" t="s">
        <v>25</v>
      </c>
      <c r="K17" s="1454"/>
      <c r="L17" s="1449" t="s">
        <v>18</v>
      </c>
      <c r="M17" s="1450"/>
      <c r="N17" s="1451" t="s">
        <v>20</v>
      </c>
      <c r="O17" s="1442"/>
      <c r="P17" s="1455" t="s">
        <v>21</v>
      </c>
      <c r="Q17" s="1456"/>
      <c r="R17" s="1424" t="s">
        <v>30</v>
      </c>
      <c r="S17" s="1425"/>
      <c r="T17" s="1422" t="s">
        <v>44</v>
      </c>
      <c r="U17" s="1423"/>
      <c r="V17" s="338"/>
      <c r="W17" s="220"/>
    </row>
    <row r="18" spans="2:28" s="12" customFormat="1" ht="15" x14ac:dyDescent="0.2">
      <c r="B18" s="7"/>
      <c r="C18" s="27"/>
      <c r="D18" s="1485"/>
      <c r="E18" s="1486"/>
      <c r="F18" s="1486"/>
      <c r="G18" s="1487"/>
      <c r="H18" s="19">
        <v>7</v>
      </c>
      <c r="I18" s="41"/>
      <c r="J18" s="19">
        <v>8</v>
      </c>
      <c r="K18" s="41"/>
      <c r="L18" s="46">
        <v>8</v>
      </c>
      <c r="M18" s="34"/>
      <c r="N18" s="45">
        <v>3</v>
      </c>
      <c r="O18" s="33"/>
      <c r="P18" s="70">
        <v>4</v>
      </c>
      <c r="Q18" s="71"/>
      <c r="R18" s="1457"/>
      <c r="S18" s="1458"/>
      <c r="T18" s="1443"/>
      <c r="U18" s="1444"/>
      <c r="V18" s="350"/>
      <c r="W18" s="350"/>
      <c r="X18" s="13"/>
      <c r="Y18" s="13"/>
      <c r="Z18" s="13"/>
      <c r="AA18" s="13"/>
      <c r="AB18" s="13"/>
    </row>
    <row r="19" spans="2:28" x14ac:dyDescent="0.2">
      <c r="B19" s="3"/>
      <c r="C19" s="28"/>
      <c r="D19" s="1488"/>
      <c r="E19" s="1489"/>
      <c r="F19" s="1489"/>
      <c r="G19" s="1490"/>
      <c r="H19" s="1447" t="s">
        <v>26</v>
      </c>
      <c r="I19" s="1448"/>
      <c r="J19" s="1447" t="s">
        <v>27</v>
      </c>
      <c r="K19" s="1448"/>
      <c r="L19" s="1449" t="s">
        <v>19</v>
      </c>
      <c r="M19" s="1450"/>
      <c r="N19" s="1451" t="s">
        <v>22</v>
      </c>
      <c r="O19" s="1452"/>
      <c r="P19" s="1442" t="s">
        <v>23</v>
      </c>
      <c r="Q19" s="1442"/>
      <c r="R19" s="68"/>
      <c r="S19" s="69"/>
      <c r="T19" s="1445"/>
      <c r="U19" s="1446"/>
      <c r="V19" s="338"/>
      <c r="W19" s="220"/>
    </row>
    <row r="20" spans="2:28" s="12" customFormat="1" ht="15" x14ac:dyDescent="0.2">
      <c r="B20" s="7"/>
      <c r="C20" s="27"/>
      <c r="D20" s="6"/>
      <c r="E20" s="29"/>
      <c r="F20" s="6"/>
      <c r="G20" s="29"/>
      <c r="H20" s="8"/>
      <c r="I20" s="31"/>
      <c r="J20" s="8"/>
      <c r="K20" s="31"/>
      <c r="L20" s="48">
        <v>11</v>
      </c>
      <c r="M20" s="35"/>
      <c r="N20" s="51">
        <v>12</v>
      </c>
      <c r="O20" s="39"/>
      <c r="P20" s="51">
        <v>13</v>
      </c>
      <c r="Q20" s="39"/>
      <c r="R20" s="52">
        <v>21</v>
      </c>
      <c r="S20" s="25"/>
      <c r="T20" s="57"/>
      <c r="U20" s="58"/>
      <c r="V20" s="348"/>
      <c r="W20" s="349"/>
      <c r="X20" s="13"/>
      <c r="Y20" s="13"/>
      <c r="Z20" s="13"/>
      <c r="AA20" s="13"/>
      <c r="AB20" s="13"/>
    </row>
    <row r="21" spans="2:28" x14ac:dyDescent="0.2">
      <c r="B21" s="3"/>
      <c r="C21" s="28"/>
      <c r="D21" s="379"/>
      <c r="E21" s="380"/>
      <c r="F21" s="203"/>
      <c r="G21" s="30"/>
      <c r="H21" s="201"/>
      <c r="I21" s="32"/>
      <c r="J21" s="201"/>
      <c r="K21" s="32"/>
      <c r="L21" s="1438" t="s">
        <v>28</v>
      </c>
      <c r="M21" s="1439"/>
      <c r="N21" s="1434" t="s">
        <v>29</v>
      </c>
      <c r="O21" s="1435"/>
      <c r="P21" s="1434" t="s">
        <v>48</v>
      </c>
      <c r="Q21" s="1435"/>
      <c r="R21" s="1440" t="s">
        <v>50</v>
      </c>
      <c r="S21" s="1441"/>
      <c r="T21" s="340"/>
      <c r="U21" s="67"/>
      <c r="V21" s="338"/>
      <c r="W21" s="220"/>
    </row>
    <row r="22" spans="2:28" s="12" customFormat="1" ht="15" x14ac:dyDescent="0.2">
      <c r="B22" s="7"/>
      <c r="C22" s="27"/>
      <c r="D22" s="308"/>
      <c r="E22" s="308"/>
      <c r="F22" s="6"/>
      <c r="G22" s="29"/>
      <c r="H22" s="8"/>
      <c r="I22" s="31"/>
      <c r="J22" s="8"/>
      <c r="K22" s="31"/>
      <c r="L22" s="51">
        <v>14</v>
      </c>
      <c r="M22" s="39"/>
      <c r="N22" s="51">
        <v>15</v>
      </c>
      <c r="O22" s="39"/>
      <c r="P22" s="51">
        <v>16</v>
      </c>
      <c r="Q22" s="39"/>
      <c r="R22" s="52">
        <v>22</v>
      </c>
      <c r="S22" s="25"/>
      <c r="T22" s="57"/>
      <c r="U22" s="58"/>
      <c r="V22" s="348"/>
      <c r="W22" s="349"/>
      <c r="X22" s="13"/>
      <c r="Y22" s="13"/>
      <c r="Z22" s="13"/>
      <c r="AA22" s="13"/>
      <c r="AB22" s="13"/>
    </row>
    <row r="23" spans="2:28" x14ac:dyDescent="0.2">
      <c r="B23" s="3"/>
      <c r="C23" s="28"/>
      <c r="D23" s="379"/>
      <c r="E23" s="380"/>
      <c r="F23" s="203"/>
      <c r="G23" s="30"/>
      <c r="H23" s="862"/>
      <c r="I23" s="862"/>
      <c r="J23" s="862"/>
      <c r="K23" s="862"/>
      <c r="L23" s="1434" t="s">
        <v>47</v>
      </c>
      <c r="M23" s="1435"/>
      <c r="N23" s="1434" t="s">
        <v>117</v>
      </c>
      <c r="O23" s="1435"/>
      <c r="P23" s="1432" t="s">
        <v>49</v>
      </c>
      <c r="Q23" s="1433"/>
      <c r="R23" s="1436" t="s">
        <v>46</v>
      </c>
      <c r="S23" s="1437"/>
      <c r="T23" s="340"/>
      <c r="U23" s="67"/>
      <c r="V23" s="338"/>
      <c r="W23" s="220"/>
    </row>
    <row r="24" spans="2:28" s="12" customFormat="1" ht="15" x14ac:dyDescent="0.2">
      <c r="B24" s="7"/>
      <c r="C24" s="27"/>
      <c r="D24" s="16">
        <v>22</v>
      </c>
      <c r="E24" s="685"/>
      <c r="F24" s="1476" t="s">
        <v>277</v>
      </c>
      <c r="G24" s="1477"/>
      <c r="H24" s="755">
        <v>13</v>
      </c>
      <c r="I24" s="40"/>
      <c r="J24" s="50">
        <v>14</v>
      </c>
      <c r="K24" s="40"/>
      <c r="L24" s="57"/>
      <c r="M24" s="58"/>
      <c r="N24" s="63">
        <v>23</v>
      </c>
      <c r="O24" s="64"/>
      <c r="P24" s="65"/>
      <c r="Q24" s="66"/>
      <c r="R24" s="57"/>
      <c r="S24" s="58"/>
      <c r="T24" s="57"/>
      <c r="U24" s="58"/>
      <c r="V24" s="348"/>
      <c r="W24" s="349"/>
      <c r="X24" s="13"/>
      <c r="Y24" s="13"/>
      <c r="Z24" s="13"/>
      <c r="AA24" s="13"/>
      <c r="AB24" s="13"/>
    </row>
    <row r="25" spans="2:28" x14ac:dyDescent="0.2">
      <c r="B25" s="3"/>
      <c r="C25" s="28"/>
      <c r="D25" s="1469" t="s">
        <v>2</v>
      </c>
      <c r="E25" s="1374"/>
      <c r="F25" s="1478"/>
      <c r="G25" s="1479"/>
      <c r="H25" s="1426" t="s">
        <v>36</v>
      </c>
      <c r="I25" s="1427"/>
      <c r="J25" s="1428" t="s">
        <v>37</v>
      </c>
      <c r="K25" s="1427"/>
      <c r="L25" s="200"/>
      <c r="M25" s="67"/>
      <c r="N25" s="1429" t="s">
        <v>45</v>
      </c>
      <c r="O25" s="1430"/>
      <c r="P25" s="1430"/>
      <c r="Q25" s="1431"/>
      <c r="R25" s="200"/>
      <c r="S25" s="67"/>
      <c r="T25" s="200"/>
      <c r="U25" s="67"/>
      <c r="V25" s="338"/>
      <c r="W25" s="220"/>
    </row>
    <row r="26" spans="2:28" s="118" customFormat="1" ht="5" customHeight="1" x14ac:dyDescent="0.15">
      <c r="B26" s="119"/>
      <c r="C26" s="120"/>
      <c r="D26" s="119"/>
      <c r="E26" s="120"/>
      <c r="F26" s="119"/>
      <c r="G26" s="120"/>
      <c r="H26" s="119"/>
      <c r="I26" s="119"/>
      <c r="J26" s="119"/>
      <c r="K26" s="119"/>
      <c r="L26" s="119"/>
      <c r="M26" s="120"/>
      <c r="N26" s="119"/>
      <c r="O26" s="119"/>
      <c r="P26" s="119"/>
      <c r="Q26" s="119"/>
      <c r="R26" s="119"/>
      <c r="S26" s="120"/>
      <c r="T26" s="119"/>
      <c r="U26" s="120"/>
      <c r="V26" s="119"/>
      <c r="W26" s="120"/>
      <c r="X26" s="119"/>
      <c r="Y26" s="119"/>
      <c r="Z26" s="119"/>
      <c r="AA26" s="119"/>
      <c r="AB26" s="119"/>
    </row>
    <row r="27" spans="2:28" ht="19" customHeight="1" x14ac:dyDescent="0.2">
      <c r="B27" s="912" t="s">
        <v>92</v>
      </c>
      <c r="C27" s="913"/>
      <c r="D27" s="914" t="s">
        <v>91</v>
      </c>
      <c r="E27" s="914"/>
      <c r="F27" s="914"/>
      <c r="G27" s="914"/>
      <c r="H27" s="922" t="s">
        <v>128</v>
      </c>
      <c r="I27" s="922"/>
      <c r="J27" s="920" t="s">
        <v>223</v>
      </c>
      <c r="K27" s="921"/>
      <c r="L27" s="915" t="s">
        <v>224</v>
      </c>
      <c r="M27" s="916"/>
      <c r="N27" s="899" t="s">
        <v>128</v>
      </c>
      <c r="O27" s="899"/>
      <c r="P27" s="917" t="s">
        <v>91</v>
      </c>
      <c r="Q27" s="917"/>
      <c r="R27" s="928" t="s">
        <v>92</v>
      </c>
      <c r="S27" s="928"/>
      <c r="T27" s="935" t="s">
        <v>93</v>
      </c>
      <c r="U27" s="936"/>
    </row>
    <row r="28" spans="2:28" ht="16" x14ac:dyDescent="0.2">
      <c r="B28" s="900" t="str">
        <f>'1.PToPI plain'!B40:U40</f>
        <v>PToPI, Periodic Table of Performance Instruments: 29 measures and 28 metrics. Online: github.com/gurol/ptopi by (CC) Gürol CANBEK v4.4.13, July 2020</v>
      </c>
      <c r="C28" s="900"/>
      <c r="D28" s="900"/>
      <c r="E28" s="900"/>
      <c r="F28" s="900"/>
      <c r="G28" s="900"/>
      <c r="H28" s="900"/>
      <c r="I28" s="900"/>
      <c r="J28" s="900"/>
      <c r="K28" s="900"/>
      <c r="L28" s="900"/>
      <c r="M28" s="900"/>
      <c r="N28" s="900"/>
      <c r="O28" s="900"/>
      <c r="P28" s="900"/>
      <c r="Q28" s="900"/>
      <c r="R28" s="900"/>
      <c r="S28" s="900"/>
      <c r="T28" s="900"/>
      <c r="U28" s="900"/>
      <c r="V28" s="312"/>
      <c r="W28" s="312"/>
      <c r="X28" s="116"/>
      <c r="Y28" s="116"/>
      <c r="Z28" s="116"/>
      <c r="AA28" s="116"/>
    </row>
    <row r="29" spans="2:28" ht="16" x14ac:dyDescent="0.2">
      <c r="B29" s="1289" t="str">
        <f>'1.PToPI plain'!B41:K41</f>
        <v>PToPI by Gürol Canbek is licensed under CC BY-NC-ND 4.0</v>
      </c>
      <c r="C29" s="1289"/>
      <c r="D29" s="1289"/>
      <c r="E29" s="1289"/>
      <c r="F29" s="1289"/>
      <c r="G29" s="1289"/>
      <c r="H29" s="1289"/>
      <c r="I29" s="1289"/>
      <c r="J29" s="1289"/>
      <c r="K29" s="1289"/>
      <c r="L29" s="313"/>
      <c r="M29" s="313"/>
      <c r="N29" s="532" t="s">
        <v>423</v>
      </c>
      <c r="O29" s="313"/>
      <c r="P29" s="313"/>
      <c r="Q29" s="313"/>
      <c r="R29" s="313"/>
      <c r="S29" s="313"/>
      <c r="T29" s="313"/>
      <c r="U29" s="313"/>
      <c r="V29" s="313"/>
      <c r="W29" s="313"/>
      <c r="X29" s="117"/>
      <c r="Y29" s="117"/>
      <c r="Z29" s="117"/>
      <c r="AA29" s="117"/>
    </row>
  </sheetData>
  <mergeCells count="79">
    <mergeCell ref="D25:E25"/>
    <mergeCell ref="N5:O5"/>
    <mergeCell ref="P5:Q5"/>
    <mergeCell ref="N3:O3"/>
    <mergeCell ref="P2:Q3"/>
    <mergeCell ref="F24:G25"/>
    <mergeCell ref="D16:G16"/>
    <mergeCell ref="D17:G17"/>
    <mergeCell ref="D18:G18"/>
    <mergeCell ref="D19:G19"/>
    <mergeCell ref="D7:E7"/>
    <mergeCell ref="N7:O7"/>
    <mergeCell ref="P7:Q7"/>
    <mergeCell ref="D9:E9"/>
    <mergeCell ref="F9:G9"/>
    <mergeCell ref="H17:I17"/>
    <mergeCell ref="T15:U15"/>
    <mergeCell ref="T13:U13"/>
    <mergeCell ref="T11:U11"/>
    <mergeCell ref="B3:C3"/>
    <mergeCell ref="D5:E5"/>
    <mergeCell ref="H13:I13"/>
    <mergeCell ref="J13:K13"/>
    <mergeCell ref="H9:I9"/>
    <mergeCell ref="N9:O9"/>
    <mergeCell ref="P9:Q9"/>
    <mergeCell ref="F5:G5"/>
    <mergeCell ref="H11:I11"/>
    <mergeCell ref="J11:K11"/>
    <mergeCell ref="N11:O11"/>
    <mergeCell ref="P11:Q11"/>
    <mergeCell ref="F7:G7"/>
    <mergeCell ref="R7:S7"/>
    <mergeCell ref="L15:M15"/>
    <mergeCell ref="N15:O15"/>
    <mergeCell ref="P15:Q15"/>
    <mergeCell ref="R15:S15"/>
    <mergeCell ref="N13:O13"/>
    <mergeCell ref="P13:Q13"/>
    <mergeCell ref="R13:S13"/>
    <mergeCell ref="R9:S9"/>
    <mergeCell ref="R11:S11"/>
    <mergeCell ref="J17:K17"/>
    <mergeCell ref="L17:M17"/>
    <mergeCell ref="N17:O17"/>
    <mergeCell ref="P17:Q17"/>
    <mergeCell ref="R18:S18"/>
    <mergeCell ref="T18:U19"/>
    <mergeCell ref="H19:I19"/>
    <mergeCell ref="J19:K19"/>
    <mergeCell ref="L19:M19"/>
    <mergeCell ref="N19:O19"/>
    <mergeCell ref="L21:M21"/>
    <mergeCell ref="N21:O21"/>
    <mergeCell ref="P21:Q21"/>
    <mergeCell ref="R21:S21"/>
    <mergeCell ref="P19:Q19"/>
    <mergeCell ref="T17:U17"/>
    <mergeCell ref="R17:S17"/>
    <mergeCell ref="B27:C27"/>
    <mergeCell ref="D27:G27"/>
    <mergeCell ref="H27:I27"/>
    <mergeCell ref="J27:K27"/>
    <mergeCell ref="L27:M27"/>
    <mergeCell ref="H25:I25"/>
    <mergeCell ref="J25:K25"/>
    <mergeCell ref="N25:Q25"/>
    <mergeCell ref="H23:I23"/>
    <mergeCell ref="J23:K23"/>
    <mergeCell ref="P23:Q23"/>
    <mergeCell ref="N23:O23"/>
    <mergeCell ref="L23:M23"/>
    <mergeCell ref="R23:S23"/>
    <mergeCell ref="B29:K29"/>
    <mergeCell ref="T27:U27"/>
    <mergeCell ref="N27:O27"/>
    <mergeCell ref="P27:Q27"/>
    <mergeCell ref="R27:S27"/>
    <mergeCell ref="B28:U28"/>
  </mergeCells>
  <hyperlinks>
    <hyperlink ref="N29" location="'licence for use'!A1" display="See &quot;Licence for use&quot;" xr:uid="{00000000-0004-0000-0A00-000000000000}"/>
  </hyperlinks>
  <pageMargins left="0.25" right="0.25" top="0.75" bottom="0.75" header="0.3" footer="0.3"/>
  <pageSetup paperSize="9" scale="9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14999847407452621"/>
  </sheetPr>
  <dimension ref="A1:AI43"/>
  <sheetViews>
    <sheetView showGridLines="0" zoomScale="110" zoomScaleNormal="110" workbookViewId="0">
      <pane xSplit="22" ySplit="5" topLeftCell="W6" activePane="bottomRight" state="frozenSplit"/>
      <selection pane="topRight" activeCell="W1" sqref="W1"/>
      <selection pane="bottomLeft" activeCell="A6" sqref="A6"/>
      <selection pane="bottomRight" activeCell="A30" sqref="A30"/>
    </sheetView>
  </sheetViews>
  <sheetFormatPr baseColWidth="10" defaultColWidth="8.83203125" defaultRowHeight="16" x14ac:dyDescent="0.2"/>
  <cols>
    <col min="1" max="1" width="3.83203125" bestFit="1" customWidth="1"/>
    <col min="2" max="2" width="2.83203125" bestFit="1" customWidth="1"/>
    <col min="3" max="3" width="3.83203125" bestFit="1" customWidth="1"/>
    <col min="4" max="4" width="2.1640625" bestFit="1" customWidth="1"/>
    <col min="5" max="5" width="4.1640625" bestFit="1" customWidth="1"/>
    <col min="6" max="6" width="4.6640625" bestFit="1" customWidth="1"/>
    <col min="7" max="7" width="4.1640625" bestFit="1" customWidth="1"/>
    <col min="8" max="8" width="2.83203125" customWidth="1"/>
    <col min="9" max="9" width="2.83203125" bestFit="1" customWidth="1"/>
    <col min="10" max="10" width="2.83203125" customWidth="1"/>
    <col min="11" max="12" width="3.1640625" bestFit="1" customWidth="1"/>
    <col min="13" max="15" width="3.6640625" customWidth="1"/>
    <col min="16" max="16" width="2.1640625" bestFit="1" customWidth="1"/>
    <col min="17" max="17" width="3.83203125" bestFit="1" customWidth="1"/>
    <col min="18" max="18" width="2.1640625" bestFit="1" customWidth="1"/>
    <col min="19" max="19" width="3.83203125" bestFit="1" customWidth="1"/>
    <col min="20" max="20" width="3.1640625" bestFit="1" customWidth="1"/>
    <col min="21" max="21" width="3.83203125" bestFit="1" customWidth="1"/>
    <col min="22" max="22" width="3.1640625" bestFit="1" customWidth="1"/>
    <col min="23" max="23" width="19.1640625" style="825" customWidth="1"/>
    <col min="24" max="24" width="19.33203125" style="793" customWidth="1"/>
    <col min="25" max="25" width="8.1640625" style="9" customWidth="1"/>
    <col min="26" max="26" width="20.33203125" style="793" customWidth="1"/>
    <col min="27" max="27" width="8.1640625" style="9" customWidth="1"/>
    <col min="28" max="28" width="19.6640625" style="800" hidden="1" customWidth="1"/>
    <col min="29" max="29" width="8.1640625" style="801" hidden="1" customWidth="1"/>
    <col min="30" max="30" width="19.6640625" style="800" hidden="1" customWidth="1"/>
    <col min="31" max="31" width="8.1640625" style="801" hidden="1" customWidth="1"/>
    <col min="32" max="32" width="19.1640625" style="788" bestFit="1" customWidth="1"/>
    <col min="33" max="33" width="3.83203125" bestFit="1" customWidth="1"/>
    <col min="34" max="35" width="4.6640625" bestFit="1" customWidth="1"/>
  </cols>
  <sheetData>
    <row r="1" spans="1:35" x14ac:dyDescent="0.2">
      <c r="A1" s="787" t="s">
        <v>20</v>
      </c>
      <c r="B1">
        <f ca="1">COUNTIF($F9:$F18,A1)</f>
        <v>1</v>
      </c>
      <c r="C1" s="787" t="s">
        <v>21</v>
      </c>
      <c r="D1">
        <f ca="1">COUNTIF($F9:$F18,C1)</f>
        <v>4</v>
      </c>
      <c r="E1" s="787" t="s">
        <v>22</v>
      </c>
      <c r="F1">
        <f ca="1">COUNTIF($F9:$F18,E1)</f>
        <v>1</v>
      </c>
      <c r="G1" s="787" t="s">
        <v>23</v>
      </c>
      <c r="H1">
        <f ca="1">COUNTIF($F9:$F18,G1)</f>
        <v>4</v>
      </c>
      <c r="I1" s="787" t="s">
        <v>15</v>
      </c>
      <c r="J1">
        <f ca="1">B1+F1</f>
        <v>2</v>
      </c>
      <c r="K1" s="787" t="s">
        <v>16</v>
      </c>
      <c r="L1">
        <f ca="1">D1+H1</f>
        <v>8</v>
      </c>
      <c r="M1" s="787" t="s">
        <v>18</v>
      </c>
      <c r="N1">
        <f ca="1">B1+D1</f>
        <v>5</v>
      </c>
      <c r="O1" s="787" t="s">
        <v>19</v>
      </c>
      <c r="P1">
        <f ca="1">F1+H1</f>
        <v>5</v>
      </c>
      <c r="Q1" s="787" t="s">
        <v>14</v>
      </c>
      <c r="R1">
        <f ca="1">B1+H1</f>
        <v>5</v>
      </c>
      <c r="S1" s="787" t="s">
        <v>17</v>
      </c>
      <c r="T1">
        <f ca="1">D1+F1</f>
        <v>5</v>
      </c>
      <c r="U1" s="787" t="s">
        <v>28</v>
      </c>
      <c r="V1">
        <f ca="1">B1+D1+F1+H1</f>
        <v>10</v>
      </c>
      <c r="W1" s="822" t="s">
        <v>807</v>
      </c>
      <c r="X1" s="793" t="str">
        <f>Y5&amp;" (k=1)"</f>
        <v>PREV (k=1)</v>
      </c>
      <c r="Y1" s="9">
        <f ca="1">J1/$V1</f>
        <v>0.2</v>
      </c>
      <c r="Z1" s="793" t="str">
        <f>AA5&amp;" (k=1)"</f>
        <v>BIAS (k=1)</v>
      </c>
      <c r="AA1" s="9">
        <f ca="1">N1/$V1</f>
        <v>0.5</v>
      </c>
      <c r="AB1" s="800" t="str">
        <f ca="1">AC5&amp;" (i=1..10, Sn="&amp;$V$4&amp;")"</f>
        <v>PREV (i=1..10, Sn=20)</v>
      </c>
      <c r="AC1" s="801">
        <f ca="1">J1/$V4</f>
        <v>0.1</v>
      </c>
      <c r="AD1" s="800" t="str">
        <f ca="1">AE5&amp;" (i=1..10, Sn="&amp;$V$4&amp;")"</f>
        <v>BIAS (i=1..10, Sn=20)</v>
      </c>
      <c r="AE1" s="801">
        <f ca="1">N1/$V4</f>
        <v>0.25</v>
      </c>
      <c r="AH1" s="789"/>
      <c r="AI1" s="789"/>
    </row>
    <row r="2" spans="1:35" x14ac:dyDescent="0.2">
      <c r="A2" s="787" t="s">
        <v>20</v>
      </c>
      <c r="B2">
        <f ca="1">COUNTIF($F19:$F28,A2)</f>
        <v>2</v>
      </c>
      <c r="C2" s="787" t="s">
        <v>21</v>
      </c>
      <c r="D2">
        <f ca="1">COUNTIF($F19:$F28,C2)</f>
        <v>2</v>
      </c>
      <c r="E2" s="787" t="s">
        <v>22</v>
      </c>
      <c r="F2">
        <f ca="1">COUNTIF($F19:$F28,E2)</f>
        <v>6</v>
      </c>
      <c r="G2" s="787" t="s">
        <v>23</v>
      </c>
      <c r="H2">
        <f ca="1">COUNTIF($F19:$F28,G2)</f>
        <v>0</v>
      </c>
      <c r="I2" s="787" t="s">
        <v>15</v>
      </c>
      <c r="J2">
        <f ca="1">B2+F2</f>
        <v>8</v>
      </c>
      <c r="K2" s="787" t="s">
        <v>16</v>
      </c>
      <c r="L2">
        <f ca="1">D2+H2</f>
        <v>2</v>
      </c>
      <c r="M2" s="787" t="s">
        <v>18</v>
      </c>
      <c r="N2">
        <f ca="1">B2+D2</f>
        <v>4</v>
      </c>
      <c r="O2" s="787" t="s">
        <v>19</v>
      </c>
      <c r="P2">
        <f ca="1">F2+H2</f>
        <v>6</v>
      </c>
      <c r="Q2" s="787" t="s">
        <v>14</v>
      </c>
      <c r="R2">
        <f ca="1">B2+H2</f>
        <v>2</v>
      </c>
      <c r="S2" s="787" t="s">
        <v>17</v>
      </c>
      <c r="T2">
        <f ca="1">D2+F2</f>
        <v>8</v>
      </c>
      <c r="U2" s="787" t="s">
        <v>28</v>
      </c>
      <c r="V2">
        <f ca="1">B2+D2+F2+H2</f>
        <v>10</v>
      </c>
      <c r="W2" s="822" t="s">
        <v>808</v>
      </c>
      <c r="X2" s="793" t="str">
        <f>Y5&amp;" (k=2)"</f>
        <v>PREV (k=2)</v>
      </c>
      <c r="Y2" s="9">
        <f ca="1">J2/$V2</f>
        <v>0.8</v>
      </c>
      <c r="Z2" s="793" t="str">
        <f>AA5&amp;" (k=2)"</f>
        <v>BIAS (k=2)</v>
      </c>
      <c r="AA2" s="9">
        <f ca="1">N2/$V2</f>
        <v>0.4</v>
      </c>
      <c r="AB2" s="800" t="str">
        <f ca="1">AC5&amp;" (i=11..20, Sn="&amp;$V$4&amp;")"</f>
        <v>PREV (i=11..20, Sn=20)</v>
      </c>
      <c r="AC2" s="801">
        <f ca="1">J2/$V4</f>
        <v>0.4</v>
      </c>
      <c r="AD2" s="800" t="str">
        <f ca="1">AE5&amp;" (i=11..20, Sn="&amp;$V$4&amp;")"</f>
        <v>BIAS (i=11..20, Sn=20)</v>
      </c>
      <c r="AE2" s="801">
        <f ca="1">N2/$V4</f>
        <v>0.2</v>
      </c>
      <c r="AH2" s="789"/>
      <c r="AI2" s="789"/>
    </row>
    <row r="3" spans="1:35" ht="17" x14ac:dyDescent="0.25">
      <c r="A3" s="1493" t="s">
        <v>806</v>
      </c>
      <c r="B3" s="1493"/>
      <c r="C3" s="1493"/>
      <c r="D3" s="1493"/>
      <c r="E3" s="1493"/>
      <c r="F3" s="1493"/>
      <c r="G3" s="1493"/>
      <c r="H3" s="1493"/>
      <c r="I3" s="1493"/>
      <c r="J3" s="1493"/>
      <c r="K3" s="1493"/>
      <c r="L3" s="1493"/>
      <c r="M3" s="1493"/>
      <c r="N3" s="1493"/>
      <c r="O3" s="1493"/>
      <c r="P3" s="1493"/>
      <c r="Q3" s="1493"/>
      <c r="R3" s="1493"/>
      <c r="S3" s="1493"/>
      <c r="T3" s="1493"/>
      <c r="U3" s="1493"/>
      <c r="V3" s="1493"/>
      <c r="W3" s="823"/>
      <c r="X3" s="794" t="str">
        <f>"Σ ("&amp;Y5&amp;")k"</f>
        <v>Σ (PREV)k</v>
      </c>
      <c r="Y3" s="9">
        <f ca="1">Y1+Y2</f>
        <v>1</v>
      </c>
      <c r="Z3" s="794" t="str">
        <f>"Σ ("&amp;AA5&amp;")k"</f>
        <v>Σ (BIAS)k</v>
      </c>
      <c r="AA3" s="9">
        <f ca="1">AA1+AA2</f>
        <v>0.9</v>
      </c>
      <c r="AB3" s="802" t="str">
        <f>"Σ ("&amp;AC5&amp;")k"</f>
        <v>Σ (PREV)k</v>
      </c>
      <c r="AC3" s="801">
        <f ca="1">AC1+AC2</f>
        <v>0.5</v>
      </c>
      <c r="AD3" s="802" t="str">
        <f>"Σ ("&amp;AE5&amp;")k"</f>
        <v>Σ (BIAS)k</v>
      </c>
      <c r="AE3" s="801">
        <f ca="1">AE1+AE2</f>
        <v>0.45</v>
      </c>
      <c r="AH3" s="789"/>
      <c r="AI3" s="789"/>
    </row>
    <row r="4" spans="1:35" s="791" customFormat="1" x14ac:dyDescent="0.2">
      <c r="A4" s="790" t="s">
        <v>20</v>
      </c>
      <c r="B4" s="791">
        <f ca="1">COUNTIF($F9:$F28,A4)</f>
        <v>3</v>
      </c>
      <c r="C4" s="790" t="s">
        <v>21</v>
      </c>
      <c r="D4" s="791">
        <f ca="1">COUNTIF($F9:$F28,C4)</f>
        <v>6</v>
      </c>
      <c r="E4" s="790" t="s">
        <v>22</v>
      </c>
      <c r="F4" s="791">
        <f ca="1">COUNTIF($F9:$F28,E4)</f>
        <v>7</v>
      </c>
      <c r="G4" s="790" t="s">
        <v>23</v>
      </c>
      <c r="H4" s="791">
        <f ca="1">COUNTIF($F9:$F28,G4)</f>
        <v>4</v>
      </c>
      <c r="I4" s="790" t="s">
        <v>15</v>
      </c>
      <c r="J4" s="791">
        <f ca="1">B4+F4</f>
        <v>10</v>
      </c>
      <c r="K4" s="790" t="s">
        <v>16</v>
      </c>
      <c r="L4" s="791">
        <f ca="1">D4+H4</f>
        <v>10</v>
      </c>
      <c r="M4" s="790" t="s">
        <v>18</v>
      </c>
      <c r="N4" s="791">
        <f ca="1">B4+D4</f>
        <v>9</v>
      </c>
      <c r="O4" s="790" t="s">
        <v>19</v>
      </c>
      <c r="P4" s="791">
        <f ca="1">F4+H4</f>
        <v>11</v>
      </c>
      <c r="Q4" s="790" t="s">
        <v>14</v>
      </c>
      <c r="R4" s="791">
        <f ca="1">B4+H4</f>
        <v>7</v>
      </c>
      <c r="S4" s="790" t="s">
        <v>17</v>
      </c>
      <c r="T4" s="791">
        <f ca="1">D4+F4</f>
        <v>13</v>
      </c>
      <c r="U4" s="790" t="s">
        <v>28</v>
      </c>
      <c r="V4" s="791">
        <f ca="1">B4+D4+F4+H4</f>
        <v>20</v>
      </c>
      <c r="W4" s="824" t="s">
        <v>809</v>
      </c>
      <c r="X4" s="790" t="str">
        <f ca="1">Y5&amp;" (i=1..20, Sn="&amp;$V$4&amp;")"</f>
        <v>PREV (i=1..20, Sn=20)</v>
      </c>
      <c r="Y4" s="791">
        <f ca="1">J4/$V4</f>
        <v>0.5</v>
      </c>
      <c r="Z4" s="790" t="str">
        <f ca="1">AA5&amp;" (i=1..20, Sn="&amp;$V$4&amp;")"</f>
        <v>BIAS (i=1..20, Sn=20)</v>
      </c>
      <c r="AA4" s="791">
        <f ca="1">N4/$V4</f>
        <v>0.45</v>
      </c>
      <c r="AB4" s="803" t="str">
        <f ca="1">AC5&amp;" (i=1..20, Sn="&amp;$V$4&amp;")"</f>
        <v>PREV (i=1..20, Sn=20)</v>
      </c>
      <c r="AC4" s="804">
        <f ca="1">J4/$V4</f>
        <v>0.5</v>
      </c>
      <c r="AD4" s="803" t="str">
        <f ca="1">AE5&amp;" (i=1..20, Sn="&amp;$V$4&amp;")"</f>
        <v>BIAS (i=1..20, Sn=20)</v>
      </c>
      <c r="AE4" s="804">
        <f ca="1">N4/$V4</f>
        <v>0.45</v>
      </c>
      <c r="AH4" s="792"/>
    </row>
    <row r="5" spans="1:35" x14ac:dyDescent="0.2">
      <c r="A5" s="1503" t="s">
        <v>818</v>
      </c>
      <c r="B5" s="1503"/>
      <c r="C5" s="1503"/>
      <c r="D5" s="1503"/>
      <c r="E5" s="1503"/>
      <c r="F5" s="1503"/>
      <c r="G5" s="1503"/>
      <c r="H5" s="1503"/>
      <c r="I5" s="1503"/>
      <c r="J5" s="1503"/>
      <c r="K5" s="1503"/>
      <c r="L5" s="1503"/>
      <c r="M5" s="1503"/>
      <c r="N5" s="1503"/>
      <c r="O5" s="1503"/>
      <c r="P5" s="1503"/>
      <c r="Q5" s="1503"/>
      <c r="R5" s="1503"/>
      <c r="S5" s="1503"/>
      <c r="T5" s="1503"/>
      <c r="U5" s="1503"/>
      <c r="V5" s="1503"/>
      <c r="X5" s="795" t="str">
        <f ca="1">IF(Y3=Y4,"Countable additivity",IF(Y3&gt;Y4,"Subadditivity", "Superadditivity"))</f>
        <v>Subadditivity</v>
      </c>
      <c r="Y5" s="794" t="s">
        <v>29</v>
      </c>
      <c r="Z5" s="795" t="str">
        <f ca="1">IF(AA3=AA4,"Countable additivity",IF(AA3&gt;AA4,"Subadditivity", "Superadditivity"))</f>
        <v>Subadditivity</v>
      </c>
      <c r="AA5" s="794" t="s">
        <v>30</v>
      </c>
      <c r="AB5" s="805" t="str">
        <f ca="1">IF(AC3=AC4,"Countable additivity",IF(AC3&gt;AC4,"Subadditivity", "Superadditivity"))</f>
        <v>Countable additivity</v>
      </c>
      <c r="AC5" s="802" t="s">
        <v>29</v>
      </c>
      <c r="AD5" s="805" t="str">
        <f ca="1">IF(AE3=AE4,"Countable additivity",IF(AE3&gt;AE4,"Subadditivity", "Superadditivity"))</f>
        <v>Countable additivity</v>
      </c>
      <c r="AE5" s="802" t="s">
        <v>30</v>
      </c>
    </row>
    <row r="7" spans="1:35" x14ac:dyDescent="0.2">
      <c r="D7" s="1492" t="s">
        <v>349</v>
      </c>
      <c r="E7" s="1492"/>
      <c r="F7" s="1492"/>
      <c r="I7" s="821" t="s">
        <v>805</v>
      </c>
      <c r="W7" s="822" t="s">
        <v>807</v>
      </c>
      <c r="X7" s="793" t="str">
        <f>Y11&amp;" (k=1)"</f>
        <v>NIR (k=1)</v>
      </c>
      <c r="Y7" s="9">
        <f ca="1">MAX(N1,P1)/$V1</f>
        <v>0.5</v>
      </c>
      <c r="Z7" s="793" t="str">
        <f>AA11&amp;" (k=1)"</f>
        <v>IMB (k=1)</v>
      </c>
      <c r="AA7" s="9">
        <f ca="1">J1/L1</f>
        <v>0.25</v>
      </c>
      <c r="AB7" s="800" t="str">
        <f ca="1">AC11&amp;" (i=1..10, Sn="&amp;$V$4&amp;")"</f>
        <v>NIR (i=1..10, Sn=20)</v>
      </c>
      <c r="AC7" s="801">
        <f ca="1">MAX(J1,L1)/$V4</f>
        <v>0.4</v>
      </c>
      <c r="AD7" s="800" t="str">
        <f ca="1">AE11&amp;" (i=1..10, Sn="&amp;$V$4&amp;")"</f>
        <v>IMB (i=1..10, Sn=20)</v>
      </c>
      <c r="AE7" s="801">
        <f ca="1">L1/J1</f>
        <v>4</v>
      </c>
    </row>
    <row r="8" spans="1:35" ht="19" thickBot="1" x14ac:dyDescent="0.3">
      <c r="A8" s="811"/>
      <c r="B8" s="816" t="s">
        <v>802</v>
      </c>
      <c r="C8" s="811" t="s">
        <v>103</v>
      </c>
      <c r="D8" s="811" t="s">
        <v>793</v>
      </c>
      <c r="E8" s="811" t="s">
        <v>794</v>
      </c>
      <c r="F8" s="811" t="s">
        <v>795</v>
      </c>
      <c r="I8" s="815" t="s">
        <v>801</v>
      </c>
      <c r="W8" s="822" t="s">
        <v>808</v>
      </c>
      <c r="X8" s="793" t="str">
        <f>Y11&amp;" (k=2)"</f>
        <v>NIR (k=2)</v>
      </c>
      <c r="Y8" s="9">
        <f ca="1">MAX(N2,P2)/$V2</f>
        <v>0.6</v>
      </c>
      <c r="Z8" s="793" t="str">
        <f>AA11&amp;" (k=2)"</f>
        <v>IMB (k=2)</v>
      </c>
      <c r="AA8" s="796">
        <f ca="1">J2/L2</f>
        <v>4</v>
      </c>
      <c r="AB8" s="800" t="str">
        <f ca="1">AC11&amp;" (i=11..20, Sn="&amp;$V$4&amp;")"</f>
        <v>NIR (i=11..20, Sn=20)</v>
      </c>
      <c r="AC8" s="801">
        <f ca="1">MAX(J2,L2)/$V4</f>
        <v>0.4</v>
      </c>
      <c r="AD8" s="800" t="str">
        <f ca="1">AE11&amp;" (i=11..20, Sn="&amp;$V$4&amp;")"</f>
        <v>IMB (i=11..20, Sn=20)</v>
      </c>
      <c r="AE8" s="801">
        <f ca="1">L2/J2</f>
        <v>0.25</v>
      </c>
    </row>
    <row r="9" spans="1:35" ht="18" customHeight="1" x14ac:dyDescent="0.2">
      <c r="A9" s="1494"/>
      <c r="B9" s="1498" t="s">
        <v>803</v>
      </c>
      <c r="C9">
        <v>1</v>
      </c>
      <c r="D9">
        <f ca="1">IF(RAND()&gt;=0.5,1,0)</f>
        <v>1</v>
      </c>
      <c r="E9">
        <f ca="1">IF(RAND()&gt;=0.5,1,0)</f>
        <v>1</v>
      </c>
      <c r="F9" s="786" t="str">
        <f ca="1">IF(D9=0,IF(E9=0,"TN", "FP"),IF(E9=1,"TP", "FN"))</f>
        <v>TP</v>
      </c>
      <c r="W9" s="823"/>
      <c r="X9" s="794" t="str">
        <f>"Σ ("&amp;Y11&amp;")k"</f>
        <v>Σ (NIR)k</v>
      </c>
      <c r="Y9" s="9">
        <f ca="1">Y7+Y8</f>
        <v>1.1000000000000001</v>
      </c>
      <c r="Z9" s="794" t="str">
        <f>"Σ ("&amp;AA11&amp;")k"</f>
        <v>Σ (IMB)k</v>
      </c>
      <c r="AA9" s="796">
        <f ca="1">AA7+AA8</f>
        <v>4.25</v>
      </c>
      <c r="AB9" s="802" t="str">
        <f>"Σ ("&amp;AC11&amp;")k"</f>
        <v>Σ (NIR)k</v>
      </c>
      <c r="AC9" s="801">
        <f ca="1">AC7+AC8</f>
        <v>0.8</v>
      </c>
      <c r="AD9" s="802" t="str">
        <f>"Σ ("&amp;AE11&amp;")k"</f>
        <v>Σ (IMB)k</v>
      </c>
      <c r="AE9" s="801">
        <f ca="1">AE7+AE8</f>
        <v>4.25</v>
      </c>
    </row>
    <row r="10" spans="1:35" ht="18" customHeight="1" x14ac:dyDescent="0.2">
      <c r="A10" s="1492"/>
      <c r="B10" s="1499"/>
      <c r="C10">
        <v>2</v>
      </c>
      <c r="D10">
        <f t="shared" ref="D10:E28" ca="1" si="0">IF(RAND()&gt;=0.5,1,0)</f>
        <v>1</v>
      </c>
      <c r="E10">
        <f t="shared" ca="1" si="0"/>
        <v>0</v>
      </c>
      <c r="F10" s="786" t="str">
        <f t="shared" ref="F10:F28" ca="1" si="1">IF(D10=0,IF(E10=0,"TN", "FP"),IF(E10=1,"TP", "FN"))</f>
        <v>FN</v>
      </c>
      <c r="I10" s="1504" t="s">
        <v>796</v>
      </c>
      <c r="J10" s="1504"/>
      <c r="K10" s="1504"/>
      <c r="L10" s="1504"/>
      <c r="M10" s="1504"/>
      <c r="N10" s="1504"/>
      <c r="O10" s="1504"/>
      <c r="W10" s="824" t="s">
        <v>809</v>
      </c>
      <c r="X10" s="790" t="str">
        <f ca="1">Y11&amp;" (i=1..20, Sn="&amp;$V$4&amp;")"</f>
        <v>NIR (i=1..20, Sn=20)</v>
      </c>
      <c r="Y10" s="791">
        <f ca="1">MAX(N4,P4)/$V4</f>
        <v>0.55000000000000004</v>
      </c>
      <c r="Z10" s="790" t="str">
        <f ca="1">AA11&amp;" (i=1..20, Sn="&amp;$V$4&amp;")"</f>
        <v>IMB (i=1..20, Sn=20)</v>
      </c>
      <c r="AA10" s="792">
        <f ca="1">J4/L4</f>
        <v>1</v>
      </c>
      <c r="AB10" s="803" t="str">
        <f ca="1">AC11&amp;" (i=1..20, Sn="&amp;$V$4&amp;")"</f>
        <v>NIR (i=1..20, Sn=20)</v>
      </c>
      <c r="AC10" s="804">
        <f ca="1">MAX(J4,L4)/$V4</f>
        <v>0.5</v>
      </c>
      <c r="AD10" s="803" t="str">
        <f ca="1">AE11&amp;" (i=1..20, Sn="&amp;$V$4&amp;")"</f>
        <v>IMB (i=1..20, Sn=20)</v>
      </c>
      <c r="AE10" s="806">
        <f ca="1">L4/J4</f>
        <v>1</v>
      </c>
    </row>
    <row r="11" spans="1:35" ht="18" customHeight="1" x14ac:dyDescent="0.2">
      <c r="A11" s="1492"/>
      <c r="B11" s="1499"/>
      <c r="C11">
        <v>3</v>
      </c>
      <c r="D11">
        <f t="shared" ca="1" si="0"/>
        <v>0</v>
      </c>
      <c r="E11">
        <f t="shared" ca="1" si="0"/>
        <v>0</v>
      </c>
      <c r="F11" s="786" t="str">
        <f t="shared" ca="1" si="1"/>
        <v>TN</v>
      </c>
      <c r="X11" s="797" t="str">
        <f ca="1">IF(Y9=Y10,"Countable additivity",IF(Y9&gt;Y10,"Subadditivity", "Superadditivity"))</f>
        <v>Subadditivity</v>
      </c>
      <c r="Y11" s="793" t="s">
        <v>47</v>
      </c>
      <c r="Z11" s="797" t="str">
        <f ca="1">IF(AA9=AA10,"Countable additivity",IF(AA9&gt;AA10,"Subadditivity", "Superadditivity"))</f>
        <v>Subadditivity</v>
      </c>
      <c r="AA11" s="793" t="s">
        <v>117</v>
      </c>
      <c r="AB11" s="805" t="str">
        <f ca="1">IF(AC9=AC10,"Countable additivity",IF(AC9&gt;AC10,"Subadditivity", "Superadditivity"))</f>
        <v>Subadditivity</v>
      </c>
      <c r="AC11" s="800" t="s">
        <v>47</v>
      </c>
      <c r="AD11" s="805" t="str">
        <f ca="1">IF(AE9=AE10,"Countable additivity",IF(AE9&gt;AE10,"Subadditivity", "Superadditivity"))</f>
        <v>Subadditivity</v>
      </c>
      <c r="AE11" s="800" t="s">
        <v>117</v>
      </c>
    </row>
    <row r="12" spans="1:35" ht="18" customHeight="1" x14ac:dyDescent="0.2">
      <c r="A12" s="1492"/>
      <c r="B12" s="1499"/>
      <c r="C12">
        <v>4</v>
      </c>
      <c r="D12">
        <f t="shared" ca="1" si="0"/>
        <v>0</v>
      </c>
      <c r="E12">
        <f t="shared" ca="1" si="0"/>
        <v>0</v>
      </c>
      <c r="F12" s="786" t="str">
        <f t="shared" ca="1" si="1"/>
        <v>TN</v>
      </c>
    </row>
    <row r="13" spans="1:35" ht="18" customHeight="1" x14ac:dyDescent="0.2">
      <c r="A13" s="1492"/>
      <c r="B13" s="1499"/>
      <c r="C13">
        <v>5</v>
      </c>
      <c r="D13">
        <f t="shared" ca="1" si="0"/>
        <v>0</v>
      </c>
      <c r="E13">
        <f t="shared" ca="1" si="0"/>
        <v>0</v>
      </c>
      <c r="F13" s="786" t="str">
        <f t="shared" ca="1" si="1"/>
        <v>TN</v>
      </c>
      <c r="W13" s="822" t="s">
        <v>807</v>
      </c>
      <c r="X13" s="793" t="str">
        <f>Y17&amp;" (k=1)"</f>
        <v>CKc (k=1)</v>
      </c>
      <c r="Y13" s="9">
        <f ca="1">(J1*N1+L1*P1)/V$1^2</f>
        <v>0.5</v>
      </c>
      <c r="Z13" s="793" t="str">
        <f>AA17&amp;" (k=1)"</f>
        <v>DET (k=1)</v>
      </c>
      <c r="AA13" s="9">
        <f ca="1">B1*H1-D1*F1</f>
        <v>0</v>
      </c>
      <c r="AB13" s="800" t="str">
        <f ca="1">AC17&amp;" (i=1..10, Sn="&amp;$V$4&amp;")"</f>
        <v>CKc (i=1..10, Sn=20)</v>
      </c>
      <c r="AC13" s="807">
        <f ca="1">(J1*N1+L1*P1)/V$4^2</f>
        <v>0.125</v>
      </c>
    </row>
    <row r="14" spans="1:35" ht="18" customHeight="1" x14ac:dyDescent="0.2">
      <c r="A14" s="1492"/>
      <c r="B14" s="1499"/>
      <c r="C14">
        <v>6</v>
      </c>
      <c r="D14">
        <f t="shared" ca="1" si="0"/>
        <v>0</v>
      </c>
      <c r="E14">
        <f t="shared" ca="1" si="0"/>
        <v>1</v>
      </c>
      <c r="F14" s="786" t="str">
        <f t="shared" ca="1" si="1"/>
        <v>FP</v>
      </c>
      <c r="W14" s="822" t="s">
        <v>808</v>
      </c>
      <c r="X14" s="793" t="str">
        <f>Y17&amp;" (k=2)"</f>
        <v>CKc (k=2)</v>
      </c>
      <c r="Y14" s="9">
        <f ca="1">(J2*N2+L2*P2)/V$2^2</f>
        <v>0.44</v>
      </c>
      <c r="Z14" s="793" t="str">
        <f>AA17&amp;" (k=2)"</f>
        <v>DET (k=2)</v>
      </c>
      <c r="AA14" s="9">
        <f ca="1">B2*H2-D2*F2</f>
        <v>-12</v>
      </c>
      <c r="AB14" s="800" t="str">
        <f ca="1">AC17&amp;" (i=11..20, Sn="&amp;$V$4&amp;")"</f>
        <v>CKc (i=11..20, Sn=20)</v>
      </c>
      <c r="AC14" s="807">
        <f ca="1">(J2*N2+L2*P2)/V$4^2</f>
        <v>0.11</v>
      </c>
    </row>
    <row r="15" spans="1:35" ht="18" customHeight="1" x14ac:dyDescent="0.2">
      <c r="A15" s="1492"/>
      <c r="B15" s="1499"/>
      <c r="C15">
        <v>7</v>
      </c>
      <c r="D15">
        <f t="shared" ca="1" si="0"/>
        <v>0</v>
      </c>
      <c r="E15">
        <f t="shared" ca="1" si="0"/>
        <v>0</v>
      </c>
      <c r="F15" s="786" t="str">
        <f t="shared" ca="1" si="1"/>
        <v>TN</v>
      </c>
      <c r="I15" s="1504" t="s">
        <v>797</v>
      </c>
      <c r="J15" s="1504"/>
      <c r="K15" s="1504"/>
      <c r="L15" s="1504"/>
      <c r="M15" s="1504"/>
      <c r="N15" s="1504"/>
      <c r="O15" s="1504"/>
      <c r="W15" s="823"/>
      <c r="X15" s="794" t="str">
        <f>"Σ ("&amp;Y17&amp;")k"</f>
        <v>Σ (CKc)k</v>
      </c>
      <c r="Y15" s="9">
        <f ca="1">Y13+Y14</f>
        <v>0.94</v>
      </c>
      <c r="Z15" s="794" t="str">
        <f>"Σ ("&amp;AA17&amp;")k"</f>
        <v>Σ (DET)k</v>
      </c>
      <c r="AA15" s="9">
        <f ca="1">AA13+AA14</f>
        <v>-12</v>
      </c>
      <c r="AB15" s="802" t="str">
        <f>"Σ ("&amp;AC17&amp;")k"</f>
        <v>Σ (CKc)k</v>
      </c>
      <c r="AC15" s="801">
        <f ca="1">AC13+AC14</f>
        <v>0.23499999999999999</v>
      </c>
    </row>
    <row r="16" spans="1:35" ht="18" customHeight="1" x14ac:dyDescent="0.2">
      <c r="A16" s="1492"/>
      <c r="B16" s="1499"/>
      <c r="C16">
        <v>8</v>
      </c>
      <c r="D16">
        <f t="shared" ca="1" si="0"/>
        <v>0</v>
      </c>
      <c r="E16">
        <f t="shared" ca="1" si="0"/>
        <v>1</v>
      </c>
      <c r="F16" s="786" t="str">
        <f t="shared" ca="1" si="1"/>
        <v>FP</v>
      </c>
      <c r="W16" s="824" t="s">
        <v>809</v>
      </c>
      <c r="X16" s="790" t="str">
        <f ca="1">Y17&amp;" (i=1..20, Sn="&amp;$V$4&amp;")"</f>
        <v>CKc (i=1..20, Sn=20)</v>
      </c>
      <c r="Y16" s="791">
        <f ca="1">(J4*N4+L4*P4)/V$4^2</f>
        <v>0.5</v>
      </c>
      <c r="Z16" s="790" t="str">
        <f ca="1">AA17&amp;" (i=1..20, Sn="&amp;$V$4&amp;")"</f>
        <v>DET (i=1..20, Sn=20)</v>
      </c>
      <c r="AA16" s="791">
        <f ca="1">B4*H4-D4*F4</f>
        <v>-30</v>
      </c>
      <c r="AB16" s="803" t="str">
        <f ca="1">AC17&amp;" (i=1..20, Sn="&amp;$V$4&amp;")"</f>
        <v>CKc (i=1..20, Sn=20)</v>
      </c>
      <c r="AC16" s="804">
        <f ca="1">(J4*N4+L4*P4)/V$4^2</f>
        <v>0.5</v>
      </c>
      <c r="AD16" s="808"/>
      <c r="AE16" s="804"/>
    </row>
    <row r="17" spans="1:31" ht="18" customHeight="1" x14ac:dyDescent="0.2">
      <c r="A17" s="1492"/>
      <c r="B17" s="1499"/>
      <c r="C17">
        <v>9</v>
      </c>
      <c r="D17">
        <f t="shared" ca="1" si="0"/>
        <v>0</v>
      </c>
      <c r="E17">
        <f t="shared" ca="1" si="0"/>
        <v>1</v>
      </c>
      <c r="F17" s="786" t="str">
        <f t="shared" ca="1" si="1"/>
        <v>FP</v>
      </c>
      <c r="X17" s="797" t="str">
        <f ca="1">IF(Y15=Y16,"Countable additivity",IF(Y15&gt;Y16,"Subadditivity", "Superadditivity"))</f>
        <v>Subadditivity</v>
      </c>
      <c r="Y17" s="793" t="s">
        <v>46</v>
      </c>
      <c r="Z17" s="797" t="str">
        <f ca="1">IF(AA15=AA16,"Countable additivity",IF(AA15&gt;AA16,"Subadditivity", "Superadditivity"))</f>
        <v>Subadditivity</v>
      </c>
      <c r="AA17" s="813" t="s">
        <v>50</v>
      </c>
      <c r="AB17" s="805" t="str">
        <f ca="1">IF(AC15=AC16,"Countable additivity",IF(AC15&gt;AC16,"Subadditivity", "Superadditivity"))</f>
        <v>Superadditivity</v>
      </c>
      <c r="AC17" s="800" t="s">
        <v>46</v>
      </c>
    </row>
    <row r="18" spans="1:31" ht="18" customHeight="1" x14ac:dyDescent="0.2">
      <c r="A18" s="1495"/>
      <c r="B18" s="1500"/>
      <c r="C18" s="817">
        <v>10</v>
      </c>
      <c r="D18" s="817">
        <f t="shared" ca="1" si="0"/>
        <v>0</v>
      </c>
      <c r="E18" s="817">
        <f t="shared" ca="1" si="0"/>
        <v>1</v>
      </c>
      <c r="F18" s="818" t="str">
        <f t="shared" ca="1" si="1"/>
        <v>FP</v>
      </c>
    </row>
    <row r="19" spans="1:31" ht="18" customHeight="1" x14ac:dyDescent="0.2">
      <c r="A19" s="1496"/>
      <c r="B19" s="1501" t="s">
        <v>804</v>
      </c>
      <c r="C19">
        <v>11</v>
      </c>
      <c r="D19">
        <f t="shared" ca="1" si="0"/>
        <v>0</v>
      </c>
      <c r="E19">
        <f t="shared" ca="1" si="0"/>
        <v>1</v>
      </c>
      <c r="F19" s="786" t="str">
        <f t="shared" ca="1" si="1"/>
        <v>FP</v>
      </c>
      <c r="W19" s="822" t="s">
        <v>807</v>
      </c>
      <c r="X19" s="793" t="str">
        <f>Y23&amp;" (k=1)"</f>
        <v>HC (k=1)</v>
      </c>
      <c r="Y19" s="796">
        <f ca="1">-(Y1*LOG(Y1,2)+(1-Y1)*LOG((1-Y1),2))</f>
        <v>0.72192809488736231</v>
      </c>
      <c r="Z19" s="793" t="str">
        <f>AA23&amp;" (k=1)"</f>
        <v>HO (k=1)</v>
      </c>
      <c r="AA19" s="796">
        <f ca="1">-(AA1*LOG(AA1,2)+(1-AA1)*LOG((1-AA1),2))</f>
        <v>1</v>
      </c>
      <c r="AB19" s="800" t="str">
        <f ca="1">AC23&amp;" (i=1..10, Sn="&amp;$V$4&amp;")"</f>
        <v>HC (i=1..10, Sn=20)</v>
      </c>
      <c r="AC19" s="807">
        <f ca="1">-(AC1*LOG(AC1,2)+(1-AC1)*LOG((1-AC1),2))</f>
        <v>0.46899559358928122</v>
      </c>
      <c r="AD19" s="800" t="str">
        <f ca="1">AE23&amp;" (i=1..10, Sn="&amp;$V$4&amp;")"</f>
        <v>HO (i=1..10, Sn=20)</v>
      </c>
      <c r="AE19" s="807">
        <f ca="1">-(AE1*LOG(AE1,2)+(1-AE1)*LOG((1-AE1),2))</f>
        <v>0.81127812445913283</v>
      </c>
    </row>
    <row r="20" spans="1:31" x14ac:dyDescent="0.2">
      <c r="A20" s="1492"/>
      <c r="B20" s="1499"/>
      <c r="C20">
        <v>12</v>
      </c>
      <c r="D20">
        <f t="shared" ca="1" si="0"/>
        <v>1</v>
      </c>
      <c r="E20">
        <f t="shared" ca="1" si="0"/>
        <v>0</v>
      </c>
      <c r="F20" s="786" t="str">
        <f t="shared" ca="1" si="1"/>
        <v>FN</v>
      </c>
      <c r="I20" s="1504" t="s">
        <v>798</v>
      </c>
      <c r="J20" s="1504"/>
      <c r="K20" s="1504"/>
      <c r="L20" s="1504"/>
      <c r="M20" s="1504"/>
      <c r="N20" s="1504"/>
      <c r="O20" s="1504"/>
      <c r="W20" s="822" t="s">
        <v>808</v>
      </c>
      <c r="X20" s="793" t="str">
        <f>Y23&amp;" (k=2)"</f>
        <v>HC (k=2)</v>
      </c>
      <c r="Y20" s="796">
        <f ca="1">-(Y2*LOG(Y2,2)+(1-Y2)*LOG((1-Y2),2))</f>
        <v>0.72192809488736231</v>
      </c>
      <c r="Z20" s="793" t="str">
        <f>AA23&amp;" (k=2)"</f>
        <v>HO (k=2)</v>
      </c>
      <c r="AA20" s="796">
        <f ca="1">-(AA2*LOG(AA2,2)+(1-AA2)*LOG((1-AA2),2))</f>
        <v>0.97095059445466858</v>
      </c>
      <c r="AB20" s="800" t="str">
        <f ca="1">AC23&amp;" (i=11..20, Sn="&amp;$V$4&amp;")"</f>
        <v>HC (i=11..20, Sn=20)</v>
      </c>
      <c r="AC20" s="807">
        <f ca="1">-(AC2*LOG(AC2,2)+(1-AC2)*LOG((1-AC2),2))</f>
        <v>0.97095059445466858</v>
      </c>
      <c r="AD20" s="800" t="str">
        <f ca="1">AE23&amp;" (i=11..20, Sn="&amp;$V$4&amp;")"</f>
        <v>HO (i=11..20, Sn=20)</v>
      </c>
      <c r="AE20" s="807">
        <f ca="1">-(AE2*LOG(AE2,2)+(1-AE2)*LOG((1-AE2),2))</f>
        <v>0.72192809488736231</v>
      </c>
    </row>
    <row r="21" spans="1:31" x14ac:dyDescent="0.2">
      <c r="A21" s="1492"/>
      <c r="B21" s="1499"/>
      <c r="C21">
        <v>13</v>
      </c>
      <c r="D21">
        <f t="shared" ca="1" si="0"/>
        <v>1</v>
      </c>
      <c r="E21">
        <f t="shared" ca="1" si="0"/>
        <v>0</v>
      </c>
      <c r="F21" s="786" t="str">
        <f t="shared" ca="1" si="1"/>
        <v>FN</v>
      </c>
      <c r="W21" s="823"/>
      <c r="X21" s="794" t="str">
        <f>"Σ ("&amp;Y23&amp;")k"</f>
        <v>Σ (HC)k</v>
      </c>
      <c r="Y21" s="798">
        <f ca="1">Y19+Y20</f>
        <v>1.4438561897747246</v>
      </c>
      <c r="Z21" s="794" t="str">
        <f>"Σ ("&amp;AA23&amp;")k"</f>
        <v>Σ (HO)k</v>
      </c>
      <c r="AA21" s="798">
        <f ca="1">AA19+AA20</f>
        <v>1.9709505944546686</v>
      </c>
      <c r="AB21" s="802" t="str">
        <f>"Σ ("&amp;AC23&amp;")k"</f>
        <v>Σ (HC)k</v>
      </c>
      <c r="AC21" s="809">
        <f ca="1">AC19+AC20</f>
        <v>1.4399461880439497</v>
      </c>
      <c r="AD21" s="802" t="str">
        <f>"Σ ("&amp;AE23&amp;")k"</f>
        <v>Σ (HO)k</v>
      </c>
      <c r="AE21" s="809">
        <f ca="1">AE19+AE20</f>
        <v>1.533206219346495</v>
      </c>
    </row>
    <row r="22" spans="1:31" x14ac:dyDescent="0.2">
      <c r="A22" s="1492"/>
      <c r="B22" s="1499"/>
      <c r="C22">
        <v>14</v>
      </c>
      <c r="D22">
        <f t="shared" ca="1" si="0"/>
        <v>1</v>
      </c>
      <c r="E22">
        <f t="shared" ca="1" si="0"/>
        <v>1</v>
      </c>
      <c r="F22" s="786" t="str">
        <f t="shared" ca="1" si="1"/>
        <v>TP</v>
      </c>
      <c r="W22" s="824" t="s">
        <v>809</v>
      </c>
      <c r="X22" s="790" t="str">
        <f ca="1">Y23&amp;" (i=1..20, Sn="&amp;$V$4&amp;")"</f>
        <v>HC (i=1..20, Sn=20)</v>
      </c>
      <c r="Y22" s="799">
        <f ca="1">-(Y4*LOG(Y4,2)+(1-Y4)*LOG((1-Y4),2))</f>
        <v>1</v>
      </c>
      <c r="Z22" s="790" t="str">
        <f ca="1">AA23&amp;" (i=1..20, Sn="&amp;$V$4&amp;")"</f>
        <v>HO (i=1..20, Sn=20)</v>
      </c>
      <c r="AA22" s="799">
        <f ca="1">-(AA4*LOG(AA4,2)+(1-AA4)*LOG((1-AA4),2))</f>
        <v>0.99277445398780839</v>
      </c>
      <c r="AB22" s="803" t="str">
        <f ca="1">AC23&amp;" (i=1..20, Sn="&amp;$V$4&amp;")"</f>
        <v>HC (i=1..20, Sn=20)</v>
      </c>
      <c r="AC22" s="810">
        <f ca="1">-(AC4*LOG(AC4,2)+(1-AC4)*LOG((1-AC4),2))</f>
        <v>1</v>
      </c>
      <c r="AD22" s="803" t="str">
        <f ca="1">AE23&amp;" (i=1..20, Sn="&amp;$V$4&amp;")"</f>
        <v>HO (i=1..20, Sn=20)</v>
      </c>
      <c r="AE22" s="810">
        <f ca="1">-(AE4*LOG(AE4,2)+(1-AE4)*LOG((1-AE4),2))</f>
        <v>0.99277445398780839</v>
      </c>
    </row>
    <row r="23" spans="1:31" x14ac:dyDescent="0.2">
      <c r="A23" s="1492"/>
      <c r="B23" s="1499"/>
      <c r="C23">
        <v>15</v>
      </c>
      <c r="D23">
        <f t="shared" ca="1" si="0"/>
        <v>1</v>
      </c>
      <c r="E23">
        <f t="shared" ca="1" si="0"/>
        <v>1</v>
      </c>
      <c r="F23" s="786" t="str">
        <f t="shared" ca="1" si="1"/>
        <v>TP</v>
      </c>
      <c r="X23" s="797" t="str">
        <f ca="1">IF(Y21=Y22,"Countable additivity",IF(Y21&gt;Y22,"Subadditivity", "Superadditivity"))</f>
        <v>Subadditivity</v>
      </c>
      <c r="Y23" s="793" t="s">
        <v>45</v>
      </c>
      <c r="Z23" s="797" t="str">
        <f ca="1">IF(AA21=AA22,"Countable additivity",IF(AA21&gt;AA22,"Subadditivity", "Superadditivity"))</f>
        <v>Subadditivity</v>
      </c>
      <c r="AA23" s="793" t="s">
        <v>44</v>
      </c>
      <c r="AB23" s="805" t="str">
        <f ca="1">IF(AC21=AC22,"Countable additivity",IF(AC21&gt;AC22,"Subadditivity", "Superadditivity"))</f>
        <v>Subadditivity</v>
      </c>
      <c r="AC23" s="800" t="s">
        <v>45</v>
      </c>
      <c r="AD23" s="805" t="str">
        <f ca="1">IF(AE21=AE22,"Countable additivity",IF(AE21&gt;AE22,"Subadditivity", "Superadditivity"))</f>
        <v>Subadditivity</v>
      </c>
      <c r="AE23" s="800" t="s">
        <v>44</v>
      </c>
    </row>
    <row r="24" spans="1:31" x14ac:dyDescent="0.2">
      <c r="A24" s="1492"/>
      <c r="B24" s="1499"/>
      <c r="C24">
        <v>16</v>
      </c>
      <c r="D24">
        <f t="shared" ca="1" si="0"/>
        <v>1</v>
      </c>
      <c r="E24">
        <f t="shared" ca="1" si="0"/>
        <v>0</v>
      </c>
      <c r="F24" s="786" t="str">
        <f t="shared" ca="1" si="1"/>
        <v>FN</v>
      </c>
    </row>
    <row r="25" spans="1:31" x14ac:dyDescent="0.2">
      <c r="A25" s="1492"/>
      <c r="B25" s="1499"/>
      <c r="C25">
        <v>17</v>
      </c>
      <c r="D25">
        <f t="shared" ca="1" si="0"/>
        <v>1</v>
      </c>
      <c r="E25">
        <f t="shared" ca="1" si="0"/>
        <v>0</v>
      </c>
      <c r="F25" s="786" t="str">
        <f t="shared" ca="1" si="1"/>
        <v>FN</v>
      </c>
      <c r="I25" t="s">
        <v>800</v>
      </c>
      <c r="W25" s="822" t="s">
        <v>807</v>
      </c>
      <c r="X25" s="793" t="str">
        <f>Y29&amp;" (k=1)"</f>
        <v>LRP (k=1)</v>
      </c>
      <c r="Y25" s="796">
        <f ca="1">B1*L1/(D1*J1)</f>
        <v>1</v>
      </c>
      <c r="Z25" s="793" t="str">
        <f>AA29&amp;" (k=1)"</f>
        <v>LRN (k=1)</v>
      </c>
      <c r="AA25" s="796">
        <f ca="1">F1*L1/(J1*H1)</f>
        <v>1</v>
      </c>
      <c r="AB25" s="800" t="str">
        <f ca="1">AC29&amp;" (i=1..10, Sn="&amp;$V$4&amp;")"</f>
        <v>LRP (i=1..10, Sn=20)</v>
      </c>
      <c r="AC25" s="807">
        <f ca="1">B1*L4/(D1*J4)</f>
        <v>0.25</v>
      </c>
      <c r="AD25" s="800" t="str">
        <f ca="1">AE29&amp;" (i=1..10, Sn="&amp;$V$1&amp;")"</f>
        <v>LRN (i=1..10, Sn=10)</v>
      </c>
      <c r="AE25" s="807">
        <f ca="1">J4*P1/(N1*L4)</f>
        <v>1</v>
      </c>
    </row>
    <row r="26" spans="1:31" ht="18" x14ac:dyDescent="0.25">
      <c r="A26" s="1492"/>
      <c r="B26" s="1499"/>
      <c r="C26">
        <v>18</v>
      </c>
      <c r="D26">
        <f t="shared" ca="1" si="0"/>
        <v>1</v>
      </c>
      <c r="E26">
        <f t="shared" ca="1" si="0"/>
        <v>0</v>
      </c>
      <c r="F26" s="786" t="str">
        <f t="shared" ca="1" si="1"/>
        <v>FN</v>
      </c>
      <c r="I26" s="1492" t="s">
        <v>812</v>
      </c>
      <c r="J26" s="1492"/>
      <c r="K26" s="1492"/>
      <c r="M26" s="1492" t="s">
        <v>810</v>
      </c>
      <c r="N26" s="1492"/>
      <c r="O26" s="1492"/>
      <c r="Q26" s="1492" t="s">
        <v>811</v>
      </c>
      <c r="R26" s="1492"/>
      <c r="W26" s="822" t="s">
        <v>808</v>
      </c>
      <c r="X26" s="793" t="str">
        <f>Y29&amp;" (k=2)"</f>
        <v>LRP (k=2)</v>
      </c>
      <c r="Y26" s="796">
        <f ca="1">B2*L2/(D2*J2)</f>
        <v>0.25</v>
      </c>
      <c r="Z26" s="793" t="str">
        <f>AA29&amp;" (k=2)"</f>
        <v>LRN (k=2)</v>
      </c>
      <c r="AA26" s="796" t="e">
        <f ca="1">F2*L2/(J2*H2)</f>
        <v>#DIV/0!</v>
      </c>
      <c r="AB26" s="800" t="str">
        <f ca="1">AC29&amp;" (i=11..20, Sn="&amp;$V$4&amp;")"</f>
        <v>LRP (i=11..20, Sn=20)</v>
      </c>
      <c r="AC26" s="807">
        <f ca="1">B2*L4/(D2*J4)</f>
        <v>1</v>
      </c>
      <c r="AD26" s="800" t="str">
        <f ca="1">AE29&amp;" (i=11..20, Sn="&amp;$V$2&amp;")"</f>
        <v>LRN (i=11..20, Sn=10)</v>
      </c>
      <c r="AE26" s="807">
        <f ca="1">J4*P2/(N2*L4)</f>
        <v>1.5</v>
      </c>
    </row>
    <row r="27" spans="1:31" x14ac:dyDescent="0.2">
      <c r="A27" s="1492"/>
      <c r="B27" s="1499"/>
      <c r="C27">
        <v>19</v>
      </c>
      <c r="D27">
        <f t="shared" ca="1" si="0"/>
        <v>0</v>
      </c>
      <c r="E27">
        <f t="shared" ca="1" si="0"/>
        <v>1</v>
      </c>
      <c r="F27" s="786" t="str">
        <f t="shared" ca="1" si="1"/>
        <v>FP</v>
      </c>
      <c r="I27" s="826">
        <f ca="1">B4</f>
        <v>3</v>
      </c>
      <c r="K27" s="827">
        <f ca="1">D4</f>
        <v>6</v>
      </c>
      <c r="M27" s="826">
        <f ca="1">B1</f>
        <v>1</v>
      </c>
      <c r="O27" s="827">
        <f ca="1">D1</f>
        <v>4</v>
      </c>
      <c r="Q27" s="826">
        <f ca="1">B2</f>
        <v>2</v>
      </c>
      <c r="S27" s="827">
        <f ca="1">D2</f>
        <v>2</v>
      </c>
      <c r="W27" s="823"/>
      <c r="X27" s="794" t="str">
        <f>"Σ ("&amp;Y29&amp;")k"</f>
        <v>Σ (LRP)k</v>
      </c>
      <c r="Y27" s="796">
        <f ca="1">Y25+Y26</f>
        <v>1.25</v>
      </c>
      <c r="Z27" s="794" t="str">
        <f>"Σ ("&amp;AA29&amp;")k"</f>
        <v>Σ (LRN)k</v>
      </c>
      <c r="AA27" s="796" t="e">
        <f ca="1">AA25+AA26</f>
        <v>#DIV/0!</v>
      </c>
      <c r="AB27" s="802" t="str">
        <f>"Σ ("&amp;AC29&amp;")k"</f>
        <v>Σ (LRP)k</v>
      </c>
      <c r="AC27" s="807">
        <f ca="1">AC25+AC26</f>
        <v>1.25</v>
      </c>
      <c r="AD27" s="802" t="str">
        <f>"Σ ("&amp;AE29&amp;")k"</f>
        <v>Σ (LRN)k</v>
      </c>
      <c r="AE27" s="807">
        <f ca="1">AE25+AE26</f>
        <v>2.5</v>
      </c>
    </row>
    <row r="28" spans="1:31" ht="17" thickBot="1" x14ac:dyDescent="0.25">
      <c r="A28" s="1497"/>
      <c r="B28" s="1502"/>
      <c r="C28" s="819">
        <v>20</v>
      </c>
      <c r="D28" s="819">
        <f t="shared" ca="1" si="0"/>
        <v>1</v>
      </c>
      <c r="E28" s="819">
        <f t="shared" ca="1" si="0"/>
        <v>0</v>
      </c>
      <c r="F28" s="820" t="str">
        <f t="shared" ca="1" si="1"/>
        <v>FN</v>
      </c>
      <c r="I28" s="826">
        <f ca="1">F4</f>
        <v>7</v>
      </c>
      <c r="K28" s="827">
        <f ca="1">H4</f>
        <v>4</v>
      </c>
      <c r="M28" s="826">
        <f ca="1">F1</f>
        <v>1</v>
      </c>
      <c r="O28" s="827">
        <f ca="1">H1</f>
        <v>4</v>
      </c>
      <c r="Q28" s="826">
        <f ca="1">F2</f>
        <v>6</v>
      </c>
      <c r="S28" s="827">
        <f ca="1">H2</f>
        <v>0</v>
      </c>
      <c r="W28" s="824" t="s">
        <v>809</v>
      </c>
      <c r="X28" s="790" t="str">
        <f ca="1">Y29&amp;" (i=1..20, Sn="&amp;$V$4&amp;")"</f>
        <v>LRP (i=1..20, Sn=20)</v>
      </c>
      <c r="Y28" s="799">
        <f ca="1">(B4/J4)/(D4/L4)</f>
        <v>0.5</v>
      </c>
      <c r="Z28" s="790" t="str">
        <f ca="1">AA29&amp;" (i=1..20, Sn="&amp;$V$4&amp;")"</f>
        <v>LRN (i=1..20, Sn=20)</v>
      </c>
      <c r="AA28" s="799">
        <f ca="1">F4*L4/(J4*H4)</f>
        <v>1.75</v>
      </c>
      <c r="AB28" s="803" t="str">
        <f ca="1">AC29&amp;" (i=1..20, Sn="&amp;$V$4&amp;")"</f>
        <v>LRP (i=1..20, Sn=20)</v>
      </c>
      <c r="AC28" s="810">
        <f ca="1">(B4/J4)/(D4/L4)</f>
        <v>0.5</v>
      </c>
      <c r="AD28" s="803" t="str">
        <f ca="1">AE29&amp;" (i=1..10, Sn="&amp;$V$4&amp;")"</f>
        <v>LRN (i=1..10, Sn=20)</v>
      </c>
      <c r="AE28" s="810">
        <f ca="1">F4*L4/(J4*H4)</f>
        <v>1.75</v>
      </c>
    </row>
    <row r="29" spans="1:31" ht="18" x14ac:dyDescent="0.25">
      <c r="I29" s="1492" t="s">
        <v>815</v>
      </c>
      <c r="J29" s="1492"/>
      <c r="K29" s="1492"/>
      <c r="L29" s="814" t="s">
        <v>817</v>
      </c>
      <c r="M29" s="1492" t="s">
        <v>813</v>
      </c>
      <c r="N29" s="1492"/>
      <c r="O29" s="1492"/>
      <c r="P29" s="828" t="s">
        <v>816</v>
      </c>
      <c r="Q29" s="1492" t="s">
        <v>814</v>
      </c>
      <c r="R29" s="1492"/>
      <c r="S29" s="1492"/>
      <c r="X29" s="797" t="str">
        <f ca="1">IF(Y27=Y28,"Countable additivity",IF(Y27&gt;Y28,"Subadditivity", "Superadditivity"))</f>
        <v>Subadditivity</v>
      </c>
      <c r="Y29" s="793" t="s">
        <v>40</v>
      </c>
      <c r="Z29" s="797" t="e">
        <f ca="1">IF(AA27=AA28,"Countable additivity",IF(AA27&gt;AA28,"Subadditivity", "Superadditivity"))</f>
        <v>#DIV/0!</v>
      </c>
      <c r="AA29" s="793" t="s">
        <v>41</v>
      </c>
      <c r="AB29" s="805" t="str">
        <f ca="1">IF(AC27=AC28,"Countable additivity",IF(AC27&gt;AC28,"Subadditivity", "Superadditivity"))</f>
        <v>Subadditivity</v>
      </c>
      <c r="AC29" s="800" t="s">
        <v>40</v>
      </c>
      <c r="AD29" s="805" t="str">
        <f ca="1">IF(AE27=AE28,"Countable additivity",IF(AE27&gt;AE28,"Subadditivity", "Superadditivity"))</f>
        <v>Subadditivity</v>
      </c>
      <c r="AE29" s="800" t="s">
        <v>41</v>
      </c>
    </row>
    <row r="30" spans="1:31" x14ac:dyDescent="0.2">
      <c r="I30" s="1492">
        <f ca="1">AA16</f>
        <v>-30</v>
      </c>
      <c r="J30" s="1492"/>
      <c r="K30" s="1492"/>
      <c r="L30" s="814" t="s">
        <v>817</v>
      </c>
      <c r="M30" s="1492">
        <f ca="1">AA13</f>
        <v>0</v>
      </c>
      <c r="N30" s="1492"/>
      <c r="O30" s="1492"/>
      <c r="P30" s="828" t="s">
        <v>816</v>
      </c>
      <c r="Q30" s="1492">
        <f ca="1">AA14</f>
        <v>-12</v>
      </c>
      <c r="R30" s="1492"/>
      <c r="S30" s="1492"/>
    </row>
    <row r="31" spans="1:31" x14ac:dyDescent="0.2">
      <c r="I31" s="1492">
        <f ca="1">I30</f>
        <v>-30</v>
      </c>
      <c r="J31" s="1492"/>
      <c r="K31" s="1492"/>
      <c r="L31" s="814" t="str">
        <f ca="1">IF(M31=I31,"=",IF(M31&gt;I31,"≤", "≥"))</f>
        <v>≤</v>
      </c>
      <c r="M31" s="1492">
        <f ca="1">M30+Q30</f>
        <v>-12</v>
      </c>
      <c r="N31" s="1492"/>
      <c r="O31" s="1492"/>
      <c r="P31" s="1492"/>
      <c r="Q31" s="1492"/>
      <c r="R31" s="1492"/>
      <c r="S31" s="1492"/>
      <c r="W31" s="822" t="s">
        <v>807</v>
      </c>
      <c r="X31" s="793" t="str">
        <f>Y35&amp;" (k=1)"</f>
        <v>DPR (k=1)</v>
      </c>
      <c r="Y31" s="796">
        <f ca="1">NORMSINV(B1/J1)-NORMSINV(D1/L1)</f>
        <v>0</v>
      </c>
      <c r="Z31" s="793" t="str">
        <f>AA35&amp;" (k=1)"</f>
        <v>LIFT (k=1)</v>
      </c>
      <c r="AA31" s="796">
        <f ca="1">D1/L1/AA1</f>
        <v>1</v>
      </c>
    </row>
    <row r="32" spans="1:31" ht="16" customHeight="1" x14ac:dyDescent="0.2">
      <c r="I32" s="1491" t="str">
        <f ca="1">IF(M31=I31,"Countable additivity",IF(M31&gt;I31,"Subadditivity", "Superadditivity"))</f>
        <v>Subadditivity</v>
      </c>
      <c r="J32" s="1491"/>
      <c r="K32" s="1491"/>
      <c r="L32" s="1491"/>
      <c r="M32" s="1491"/>
      <c r="N32" s="1491"/>
      <c r="O32" s="1491"/>
      <c r="P32" s="1491"/>
      <c r="Q32" s="1491"/>
      <c r="R32" s="1491"/>
      <c r="S32" s="1491"/>
      <c r="W32" s="822" t="s">
        <v>808</v>
      </c>
      <c r="X32" s="793" t="str">
        <f>Y35&amp;" (k=2)"</f>
        <v>DPR (k=2)</v>
      </c>
      <c r="Y32" s="796" t="e">
        <f ca="1">NORMSINV(B2/J2)-NORMSINV(D2/L2)</f>
        <v>#NUM!</v>
      </c>
      <c r="Z32" s="793" t="str">
        <f>AA35&amp;" (k=2)"</f>
        <v>LIFT (k=2)</v>
      </c>
      <c r="AA32" s="796">
        <f ca="1">D2/L2/AA2</f>
        <v>2.5</v>
      </c>
    </row>
    <row r="33" spans="15:27" x14ac:dyDescent="0.2">
      <c r="W33" s="823"/>
      <c r="X33" s="794" t="str">
        <f>"Σ ("&amp;Y35&amp;")k"</f>
        <v>Σ (DPR)k</v>
      </c>
      <c r="Y33" s="796" t="e">
        <f ca="1">Y31+Y32</f>
        <v>#NUM!</v>
      </c>
      <c r="Z33" s="794" t="str">
        <f>"Σ ("&amp;AA35&amp;")k"</f>
        <v>Σ (LIFT)k</v>
      </c>
      <c r="AA33" s="796">
        <f ca="1">AA31+AA32</f>
        <v>3.5</v>
      </c>
    </row>
    <row r="34" spans="15:27" x14ac:dyDescent="0.2">
      <c r="W34" s="824" t="s">
        <v>809</v>
      </c>
      <c r="X34" s="790" t="str">
        <f ca="1">Y35&amp;" (i=1..20, Sn="&amp;$V$4&amp;")"</f>
        <v>DPR (i=1..20, Sn=20)</v>
      </c>
      <c r="Y34" s="799">
        <f ca="1">NORMSINV(B4/J4)-NORMSINV(D4/L4)</f>
        <v>-0.77774761584384067</v>
      </c>
      <c r="Z34" s="790" t="str">
        <f ca="1">AA35&amp;" (i=1..20, Sn="&amp;$V$4&amp;")"</f>
        <v>LIFT (i=1..20, Sn=20)</v>
      </c>
      <c r="AA34" s="799">
        <f ca="1">D4/L4/AA4</f>
        <v>1.3333333333333333</v>
      </c>
    </row>
    <row r="35" spans="15:27" x14ac:dyDescent="0.2">
      <c r="X35" s="797" t="e">
        <f ca="1">IF(Y33=Y34,"Countable additivity",IF(Y33&gt;Y34,"Subadditivity", "Superadditivity"))</f>
        <v>#NUM!</v>
      </c>
      <c r="Y35" s="812" t="s">
        <v>39</v>
      </c>
      <c r="Z35" s="797" t="str">
        <f ca="1">IF(AA33=AA34,"Countable additivity",IF(AA33&gt;AA34,"Subadditivity", "Superadditivity"))</f>
        <v>Subadditivity</v>
      </c>
      <c r="AA35" s="793" t="s">
        <v>752</v>
      </c>
    </row>
    <row r="37" spans="15:27" x14ac:dyDescent="0.2">
      <c r="W37" s="822" t="s">
        <v>807</v>
      </c>
      <c r="X37" s="793" t="str">
        <f>Y41&amp;" (k=1)"</f>
        <v>OR (k=1)</v>
      </c>
      <c r="Y37" s="796">
        <f ca="1">B1*H1/(D1*F1)</f>
        <v>1</v>
      </c>
      <c r="Z37" s="793" t="str">
        <f>AA41&amp;" (k=1)"</f>
        <v>DP (k=1)</v>
      </c>
      <c r="AA37" s="796">
        <f ca="1">SQRT(3)/PI()*LOG10(Y37)</f>
        <v>0</v>
      </c>
    </row>
    <row r="38" spans="15:27" x14ac:dyDescent="0.2">
      <c r="W38" s="822" t="s">
        <v>808</v>
      </c>
      <c r="X38" s="793" t="str">
        <f>Y41&amp;" (k=2)"</f>
        <v>OR (k=2)</v>
      </c>
      <c r="Y38" s="796">
        <f ca="1">B2*H2/(D2*F2)</f>
        <v>0</v>
      </c>
      <c r="Z38" s="793" t="str">
        <f>AA41&amp;" (k=2)"</f>
        <v>DP (k=2)</v>
      </c>
      <c r="AA38" s="796" t="e">
        <f ca="1">SQRT(3)/PI()*LOG10(Y38)</f>
        <v>#NUM!</v>
      </c>
    </row>
    <row r="39" spans="15:27" x14ac:dyDescent="0.2">
      <c r="W39" s="823"/>
      <c r="X39" s="794" t="str">
        <f>"Σ ("&amp;Y41&amp;")k"</f>
        <v>Σ (OR)k</v>
      </c>
      <c r="Y39" s="796">
        <f ca="1">Y37+Y38</f>
        <v>1</v>
      </c>
      <c r="Z39" s="794" t="str">
        <f>"Σ ("&amp;AA41&amp;")k"</f>
        <v>Σ (DP)k</v>
      </c>
      <c r="AA39" s="796" t="e">
        <f ca="1">AA37+AA38</f>
        <v>#NUM!</v>
      </c>
    </row>
    <row r="40" spans="15:27" x14ac:dyDescent="0.2">
      <c r="W40" s="824" t="s">
        <v>809</v>
      </c>
      <c r="X40" s="790" t="str">
        <f ca="1">Y41&amp;" (i=1..20, Sn="&amp;$V$4&amp;")"</f>
        <v>OR (i=1..20, Sn=20)</v>
      </c>
      <c r="Y40" s="799">
        <f ca="1">B4*H4/(D4*F4)</f>
        <v>0.2857142857142857</v>
      </c>
      <c r="Z40" s="790" t="str">
        <f ca="1">AA41&amp;" (i=1..20, Sn="&amp;$V$4&amp;")"</f>
        <v>DP (i=1..20, Sn=20)</v>
      </c>
      <c r="AA40" s="799">
        <f ca="1">SQRT(3)/PI()*LOG10(Y40)</f>
        <v>-0.29996043392593208</v>
      </c>
    </row>
    <row r="41" spans="15:27" x14ac:dyDescent="0.2">
      <c r="X41" s="797" t="str">
        <f ca="1">IF(Y39=Y40,"Countable additivity",IF(Y39&gt;Y40,"Subadditivity", "Superadditivity"))</f>
        <v>Subadditivity</v>
      </c>
      <c r="Y41" s="793" t="s">
        <v>42</v>
      </c>
      <c r="Z41" s="797" t="e">
        <f ca="1">IF(AA39=AA40,"Countable additivity",IF(AA39&gt;AA40,"Subadditivity", "Superadditivity"))</f>
        <v>#NUM!</v>
      </c>
      <c r="AA41" s="812" t="s">
        <v>43</v>
      </c>
    </row>
    <row r="43" spans="15:27" x14ac:dyDescent="0.2">
      <c r="O43" t="str">
        <f ca="1">IF(M31=I31,"=",IF(M31&gt;I31,"Subadditivity", "Superadditivity"))</f>
        <v>Subadditivity</v>
      </c>
    </row>
  </sheetData>
  <mergeCells count="22">
    <mergeCell ref="A3:V3"/>
    <mergeCell ref="A9:A18"/>
    <mergeCell ref="A19:A28"/>
    <mergeCell ref="B9:B18"/>
    <mergeCell ref="B19:B28"/>
    <mergeCell ref="M26:O26"/>
    <mergeCell ref="Q26:R26"/>
    <mergeCell ref="I26:K26"/>
    <mergeCell ref="A5:V5"/>
    <mergeCell ref="D7:F7"/>
    <mergeCell ref="I10:O10"/>
    <mergeCell ref="I15:O15"/>
    <mergeCell ref="I20:O20"/>
    <mergeCell ref="I32:S32"/>
    <mergeCell ref="I31:K31"/>
    <mergeCell ref="Q30:S30"/>
    <mergeCell ref="M31:S31"/>
    <mergeCell ref="M29:O29"/>
    <mergeCell ref="Q29:S29"/>
    <mergeCell ref="I29:K29"/>
    <mergeCell ref="M30:O30"/>
    <mergeCell ref="I30:K30"/>
  </mergeCells>
  <phoneticPr fontId="163" type="noConversion"/>
  <conditionalFormatting sqref="X5 Z5 X11 Z11 X17 Z17 X23 Z23 X29 Z29 X35 Z35 AB5 AD5 AB11 AD11 AB17 AB23 AD23 AB29 AD29 I10 I15 I20">
    <cfRule type="containsText" dxfId="11" priority="10" operator="containsText" text="Superadditivity">
      <formula>NOT(ISERROR(SEARCH("Superadditivity",I5)))</formula>
    </cfRule>
    <cfRule type="containsText" dxfId="10" priority="11" operator="containsText" text="Subadditivity">
      <formula>NOT(ISERROR(SEARCH("Subadditivity",I5)))</formula>
    </cfRule>
    <cfRule type="containsText" dxfId="9" priority="12" operator="containsText" text="Countable additivity">
      <formula>NOT(ISERROR(SEARCH("Countable additivity",I5)))</formula>
    </cfRule>
  </conditionalFormatting>
  <conditionalFormatting sqref="X41">
    <cfRule type="containsText" dxfId="8" priority="7" operator="containsText" text="Superadditivity">
      <formula>NOT(ISERROR(SEARCH("Superadditivity",X41)))</formula>
    </cfRule>
    <cfRule type="containsText" dxfId="7" priority="8" operator="containsText" text="Subadditivity">
      <formula>NOT(ISERROR(SEARCH("Subadditivity",X41)))</formula>
    </cfRule>
    <cfRule type="containsText" dxfId="6" priority="9" operator="containsText" text="Countable additivity">
      <formula>NOT(ISERROR(SEARCH("Countable additivity",X41)))</formula>
    </cfRule>
  </conditionalFormatting>
  <conditionalFormatting sqref="Z41">
    <cfRule type="containsText" dxfId="5" priority="4" operator="containsText" text="Superadditivity">
      <formula>NOT(ISERROR(SEARCH("Superadditivity",Z41)))</formula>
    </cfRule>
    <cfRule type="containsText" dxfId="4" priority="5" operator="containsText" text="Subadditivity">
      <formula>NOT(ISERROR(SEARCH("Subadditivity",Z41)))</formula>
    </cfRule>
    <cfRule type="containsText" dxfId="3" priority="6" operator="containsText" text="Countable additivity">
      <formula>NOT(ISERROR(SEARCH("Countable additivity",Z41)))</formula>
    </cfRule>
  </conditionalFormatting>
  <conditionalFormatting sqref="I32">
    <cfRule type="containsText" dxfId="2" priority="1" operator="containsText" text="Superadditivity">
      <formula>NOT(ISERROR(SEARCH("Superadditivity",I32)))</formula>
    </cfRule>
    <cfRule type="containsText" dxfId="1" priority="2" operator="containsText" text="Subadditivity">
      <formula>NOT(ISERROR(SEARCH("Subadditivity",I32)))</formula>
    </cfRule>
    <cfRule type="containsText" dxfId="0" priority="3" operator="containsText" text="Countable additivity">
      <formula>NOT(ISERROR(SEARCH("Countable additivity",I32)))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5" tint="0.59999389629810485"/>
  </sheetPr>
  <dimension ref="B1:R16"/>
  <sheetViews>
    <sheetView workbookViewId="0">
      <selection activeCell="B2" sqref="B2"/>
    </sheetView>
  </sheetViews>
  <sheetFormatPr baseColWidth="10" defaultColWidth="8.83203125" defaultRowHeight="16" x14ac:dyDescent="0.2"/>
  <sheetData>
    <row r="1" spans="2:18" ht="27.75" customHeight="1" x14ac:dyDescent="0.2"/>
    <row r="2" spans="2:18" x14ac:dyDescent="0.2">
      <c r="B2" s="531" t="s">
        <v>422</v>
      </c>
      <c r="R2" s="604" t="s">
        <v>421</v>
      </c>
    </row>
    <row r="4" spans="2:18" ht="17" thickBot="1" x14ac:dyDescent="0.25">
      <c r="B4" s="1505" t="s">
        <v>420</v>
      </c>
      <c r="C4" s="1505"/>
      <c r="D4" s="1505"/>
      <c r="E4" s="1505"/>
      <c r="F4" s="1505"/>
      <c r="G4" s="1505"/>
      <c r="H4" s="1505"/>
      <c r="I4" s="1505"/>
      <c r="J4" s="1505"/>
      <c r="K4" s="1505"/>
      <c r="L4" s="1505"/>
      <c r="M4" s="1505"/>
      <c r="N4" s="1505"/>
      <c r="O4" s="1505"/>
      <c r="P4" s="1505"/>
      <c r="Q4" s="1505"/>
      <c r="R4" s="1505"/>
    </row>
    <row r="5" spans="2:18" x14ac:dyDescent="0.2">
      <c r="B5" s="1506" t="s">
        <v>471</v>
      </c>
      <c r="C5" s="1507"/>
      <c r="D5" s="1507"/>
      <c r="E5" s="1507"/>
      <c r="F5" s="1507"/>
      <c r="G5" s="1507"/>
      <c r="H5" s="1507"/>
      <c r="I5" s="1507"/>
      <c r="J5" s="1507"/>
      <c r="K5" s="1507"/>
      <c r="L5" s="1507"/>
      <c r="M5" s="1507"/>
      <c r="N5" s="1507"/>
      <c r="O5" s="1507"/>
      <c r="P5" s="1507"/>
      <c r="Q5" s="1507"/>
      <c r="R5" s="1508"/>
    </row>
    <row r="6" spans="2:18" x14ac:dyDescent="0.2">
      <c r="B6" s="1509"/>
      <c r="C6" s="1510"/>
      <c r="D6" s="1510"/>
      <c r="E6" s="1510"/>
      <c r="F6" s="1510"/>
      <c r="G6" s="1510"/>
      <c r="H6" s="1510"/>
      <c r="I6" s="1510"/>
      <c r="J6" s="1510"/>
      <c r="K6" s="1510"/>
      <c r="L6" s="1510"/>
      <c r="M6" s="1510"/>
      <c r="N6" s="1510"/>
      <c r="O6" s="1510"/>
      <c r="P6" s="1510"/>
      <c r="Q6" s="1510"/>
      <c r="R6" s="1511"/>
    </row>
    <row r="7" spans="2:18" x14ac:dyDescent="0.2">
      <c r="B7" s="1509"/>
      <c r="C7" s="1510"/>
      <c r="D7" s="1510"/>
      <c r="E7" s="1510"/>
      <c r="F7" s="1510"/>
      <c r="G7" s="1510"/>
      <c r="H7" s="1510"/>
      <c r="I7" s="1510"/>
      <c r="J7" s="1510"/>
      <c r="K7" s="1510"/>
      <c r="L7" s="1510"/>
      <c r="M7" s="1510"/>
      <c r="N7" s="1510"/>
      <c r="O7" s="1510"/>
      <c r="P7" s="1510"/>
      <c r="Q7" s="1510"/>
      <c r="R7" s="1511"/>
    </row>
    <row r="8" spans="2:18" x14ac:dyDescent="0.2">
      <c r="B8" s="1509"/>
      <c r="C8" s="1510"/>
      <c r="D8" s="1510"/>
      <c r="E8" s="1510"/>
      <c r="F8" s="1510"/>
      <c r="G8" s="1510"/>
      <c r="H8" s="1510"/>
      <c r="I8" s="1510"/>
      <c r="J8" s="1510"/>
      <c r="K8" s="1510"/>
      <c r="L8" s="1510"/>
      <c r="M8" s="1510"/>
      <c r="N8" s="1510"/>
      <c r="O8" s="1510"/>
      <c r="P8" s="1510"/>
      <c r="Q8" s="1510"/>
      <c r="R8" s="1511"/>
    </row>
    <row r="9" spans="2:18" x14ac:dyDescent="0.2">
      <c r="B9" s="1509"/>
      <c r="C9" s="1510"/>
      <c r="D9" s="1510"/>
      <c r="E9" s="1510"/>
      <c r="F9" s="1510"/>
      <c r="G9" s="1510"/>
      <c r="H9" s="1510"/>
      <c r="I9" s="1510"/>
      <c r="J9" s="1510"/>
      <c r="K9" s="1510"/>
      <c r="L9" s="1510"/>
      <c r="M9" s="1510"/>
      <c r="N9" s="1510"/>
      <c r="O9" s="1510"/>
      <c r="P9" s="1510"/>
      <c r="Q9" s="1510"/>
      <c r="R9" s="1511"/>
    </row>
    <row r="10" spans="2:18" x14ac:dyDescent="0.2">
      <c r="B10" s="1509"/>
      <c r="C10" s="1510"/>
      <c r="D10" s="1510"/>
      <c r="E10" s="1510"/>
      <c r="F10" s="1510"/>
      <c r="G10" s="1510"/>
      <c r="H10" s="1510"/>
      <c r="I10" s="1510"/>
      <c r="J10" s="1510"/>
      <c r="K10" s="1510"/>
      <c r="L10" s="1510"/>
      <c r="M10" s="1510"/>
      <c r="N10" s="1510"/>
      <c r="O10" s="1510"/>
      <c r="P10" s="1510"/>
      <c r="Q10" s="1510"/>
      <c r="R10" s="1511"/>
    </row>
    <row r="11" spans="2:18" x14ac:dyDescent="0.2">
      <c r="B11" s="1509"/>
      <c r="C11" s="1510"/>
      <c r="D11" s="1510"/>
      <c r="E11" s="1510"/>
      <c r="F11" s="1510"/>
      <c r="G11" s="1510"/>
      <c r="H11" s="1510"/>
      <c r="I11" s="1510"/>
      <c r="J11" s="1510"/>
      <c r="K11" s="1510"/>
      <c r="L11" s="1510"/>
      <c r="M11" s="1510"/>
      <c r="N11" s="1510"/>
      <c r="O11" s="1510"/>
      <c r="P11" s="1510"/>
      <c r="Q11" s="1510"/>
      <c r="R11" s="1511"/>
    </row>
    <row r="12" spans="2:18" ht="17" thickBot="1" x14ac:dyDescent="0.25">
      <c r="B12" s="1512"/>
      <c r="C12" s="1513"/>
      <c r="D12" s="1513"/>
      <c r="E12" s="1513"/>
      <c r="F12" s="1513"/>
      <c r="G12" s="1513"/>
      <c r="H12" s="1513"/>
      <c r="I12" s="1513"/>
      <c r="J12" s="1513"/>
      <c r="K12" s="1513"/>
      <c r="L12" s="1513"/>
      <c r="M12" s="1513"/>
      <c r="N12" s="1513"/>
      <c r="O12" s="1513"/>
      <c r="P12" s="1513"/>
      <c r="Q12" s="1513"/>
      <c r="R12" s="1514"/>
    </row>
    <row r="14" spans="2:18" x14ac:dyDescent="0.2">
      <c r="B14" t="s">
        <v>472</v>
      </c>
    </row>
    <row r="15" spans="2:18" x14ac:dyDescent="0.2">
      <c r="B15" s="531" t="s">
        <v>473</v>
      </c>
    </row>
    <row r="16" spans="2:18" x14ac:dyDescent="0.2">
      <c r="B16" s="531" t="s">
        <v>767</v>
      </c>
    </row>
  </sheetData>
  <mergeCells count="2">
    <mergeCell ref="B4:R4"/>
    <mergeCell ref="B5:R12"/>
  </mergeCells>
  <hyperlinks>
    <hyperlink ref="B2" r:id="rId1" xr:uid="{00000000-0004-0000-0C00-000000000000}"/>
    <hyperlink ref="R2" r:id="rId2" xr:uid="{00000000-0004-0000-0C00-000001000000}"/>
    <hyperlink ref="B15" r:id="rId3" xr:uid="{00000000-0004-0000-0C00-000002000000}"/>
    <hyperlink ref="B16" r:id="rId4" xr:uid="{00000000-0004-0000-0C00-000003000000}"/>
  </hyperlinks>
  <pageMargins left="0.7" right="0.7" top="0.75" bottom="0.75" header="0.3" footer="0.3"/>
  <pageSetup paperSize="9" orientation="portrait" horizontalDpi="0" verticalDpi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  <pageSetUpPr fitToPage="1"/>
  </sheetPr>
  <dimension ref="B1:AM41"/>
  <sheetViews>
    <sheetView showGridLines="0" showRowColHeaders="0" topLeftCell="A19" zoomScaleNormal="100" workbookViewId="0">
      <selection activeCell="R43" sqref="R43"/>
    </sheetView>
  </sheetViews>
  <sheetFormatPr baseColWidth="10" defaultColWidth="10.83203125" defaultRowHeight="24" x14ac:dyDescent="0.2"/>
  <cols>
    <col min="1" max="1" width="0.83203125" style="9" customWidth="1"/>
    <col min="2" max="2" width="6.1640625" style="10" customWidth="1"/>
    <col min="3" max="3" width="7" style="10" customWidth="1"/>
    <col min="4" max="4" width="6.1640625" style="74" customWidth="1"/>
    <col min="5" max="5" width="6.1640625" style="10" customWidth="1"/>
    <col min="6" max="6" width="7" style="10" customWidth="1"/>
    <col min="7" max="7" width="6.1640625" style="74" customWidth="1"/>
    <col min="8" max="8" width="6.1640625" style="10" customWidth="1"/>
    <col min="9" max="9" width="7" style="10" customWidth="1"/>
    <col min="10" max="10" width="6.1640625" style="74" customWidth="1"/>
    <col min="11" max="11" width="6.1640625" style="10" customWidth="1"/>
    <col min="12" max="12" width="7" style="10" customWidth="1"/>
    <col min="13" max="13" width="6.83203125" style="74" customWidth="1"/>
    <col min="14" max="14" width="6.1640625" style="10" customWidth="1"/>
    <col min="15" max="15" width="7" style="10" customWidth="1"/>
    <col min="16" max="16" width="6.1640625" style="74" customWidth="1"/>
    <col min="17" max="17" width="6.1640625" style="10" customWidth="1"/>
    <col min="18" max="18" width="7" style="10" customWidth="1"/>
    <col min="19" max="19" width="6.1640625" style="74" customWidth="1"/>
    <col min="20" max="20" width="6.1640625" style="10" customWidth="1"/>
    <col min="21" max="21" width="7" style="10" customWidth="1"/>
    <col min="22" max="22" width="6.1640625" style="74" customWidth="1"/>
    <col min="23" max="23" width="6.1640625" style="10" customWidth="1"/>
    <col min="24" max="24" width="7" style="10" customWidth="1"/>
    <col min="25" max="25" width="6.1640625" style="74" customWidth="1"/>
    <col min="26" max="26" width="6.1640625" style="10" customWidth="1"/>
    <col min="27" max="27" width="7" style="10" customWidth="1"/>
    <col min="28" max="28" width="6.1640625" style="74" customWidth="1"/>
    <col min="29" max="29" width="6.1640625" style="10" customWidth="1"/>
    <col min="30" max="30" width="7" style="10" customWidth="1"/>
    <col min="31" max="31" width="6.1640625" style="74" customWidth="1"/>
    <col min="32" max="32" width="6.1640625" style="10" customWidth="1"/>
    <col min="33" max="33" width="6.6640625" style="10" customWidth="1"/>
    <col min="34" max="34" width="6.1640625" style="89" customWidth="1"/>
    <col min="35" max="37" width="8" style="11" customWidth="1"/>
    <col min="38" max="39" width="7.33203125" style="11" customWidth="1"/>
    <col min="40" max="51" width="7.33203125" style="9" customWidth="1"/>
    <col min="52" max="16384" width="10.83203125" style="9"/>
  </cols>
  <sheetData>
    <row r="1" spans="2:39" ht="5" customHeight="1" x14ac:dyDescent="0.2"/>
    <row r="2" spans="2:39" s="12" customFormat="1" ht="16" customHeight="1" x14ac:dyDescent="0.2">
      <c r="B2" s="15">
        <v>23</v>
      </c>
      <c r="C2" s="129" t="s">
        <v>253</v>
      </c>
      <c r="D2" s="1112" t="s">
        <v>51</v>
      </c>
      <c r="E2" s="7"/>
      <c r="F2" s="7"/>
      <c r="G2" s="72"/>
      <c r="H2" s="7"/>
      <c r="I2" s="7"/>
      <c r="J2" s="72"/>
      <c r="K2" s="7"/>
      <c r="L2" s="7"/>
      <c r="M2" s="72"/>
      <c r="N2" s="7"/>
      <c r="O2" s="7"/>
      <c r="P2" s="72"/>
      <c r="Q2" s="319"/>
      <c r="R2" s="319"/>
      <c r="S2" s="320"/>
      <c r="T2" s="557"/>
      <c r="U2" s="558"/>
      <c r="V2" s="559"/>
      <c r="W2" s="324"/>
      <c r="X2" s="320"/>
      <c r="Y2" s="1104"/>
      <c r="Z2" s="332"/>
      <c r="AA2" s="332"/>
      <c r="AB2" s="332"/>
      <c r="AC2" s="57"/>
      <c r="AD2" s="57"/>
      <c r="AE2" s="82"/>
      <c r="AF2" s="13"/>
      <c r="AG2" s="13"/>
      <c r="AH2" s="13"/>
      <c r="AI2" s="13"/>
      <c r="AJ2" s="13"/>
    </row>
    <row r="3" spans="2:39" ht="24" customHeight="1" x14ac:dyDescent="0.2">
      <c r="B3" s="1108" t="s">
        <v>99</v>
      </c>
      <c r="C3" s="1109"/>
      <c r="D3" s="1113"/>
      <c r="E3" s="3"/>
      <c r="F3" s="3"/>
      <c r="G3" s="73"/>
      <c r="H3" s="3"/>
      <c r="I3" s="3"/>
      <c r="J3" s="73"/>
      <c r="K3" s="3"/>
      <c r="L3" s="3"/>
      <c r="M3" s="73"/>
      <c r="N3" s="3"/>
      <c r="O3" s="3"/>
      <c r="P3" s="73"/>
      <c r="Q3" s="319"/>
      <c r="R3" s="319"/>
      <c r="S3" s="320"/>
      <c r="T3" s="1106"/>
      <c r="U3" s="1106"/>
      <c r="V3" s="1107"/>
      <c r="W3" s="1107"/>
      <c r="X3" s="1107"/>
      <c r="Y3" s="1104"/>
      <c r="Z3" s="333"/>
      <c r="AA3" s="333"/>
      <c r="AB3" s="334"/>
      <c r="AC3" s="57"/>
      <c r="AD3" s="57"/>
      <c r="AE3" s="82"/>
      <c r="AF3" s="11"/>
      <c r="AG3" s="11"/>
      <c r="AH3" s="11"/>
      <c r="AK3" s="9"/>
      <c r="AL3" s="9"/>
      <c r="AM3" s="9"/>
    </row>
    <row r="4" spans="2:39" s="14" customFormat="1" ht="36" customHeight="1" x14ac:dyDescent="0.2">
      <c r="B4" s="127"/>
      <c r="C4" s="128"/>
      <c r="D4" s="1114"/>
      <c r="E4" s="94"/>
      <c r="F4" s="94"/>
      <c r="G4" s="109"/>
      <c r="H4" s="94"/>
      <c r="I4" s="94"/>
      <c r="J4" s="109"/>
      <c r="K4" s="94"/>
      <c r="L4" s="94"/>
      <c r="M4" s="109"/>
      <c r="N4" s="94"/>
      <c r="O4" s="94"/>
      <c r="P4" s="109"/>
      <c r="Q4" s="319"/>
      <c r="R4" s="319"/>
      <c r="S4" s="320"/>
      <c r="T4" s="560"/>
      <c r="U4" s="555"/>
      <c r="V4" s="556"/>
      <c r="W4" s="555"/>
      <c r="X4" s="555"/>
      <c r="Y4" s="1105"/>
      <c r="Z4" s="335"/>
      <c r="AA4" s="335"/>
      <c r="AB4" s="335"/>
      <c r="AC4" s="57"/>
      <c r="AD4" s="57"/>
      <c r="AE4" s="82"/>
      <c r="AF4" s="100"/>
      <c r="AG4" s="100"/>
      <c r="AH4" s="100"/>
      <c r="AI4" s="100"/>
      <c r="AJ4" s="100"/>
    </row>
    <row r="5" spans="2:39" s="12" customFormat="1" ht="15" customHeight="1" x14ac:dyDescent="0.2">
      <c r="B5" s="7"/>
      <c r="C5" s="7"/>
      <c r="D5" s="72"/>
      <c r="E5" s="16">
        <v>20</v>
      </c>
      <c r="F5" s="93" t="s">
        <v>253</v>
      </c>
      <c r="G5" s="1110" t="s">
        <v>132</v>
      </c>
      <c r="H5" s="16" t="s">
        <v>271</v>
      </c>
      <c r="I5" s="328"/>
      <c r="J5" s="1051" t="s">
        <v>104</v>
      </c>
      <c r="K5" s="6"/>
      <c r="L5" s="6"/>
      <c r="M5" s="308"/>
      <c r="N5" s="308"/>
      <c r="O5" s="308"/>
      <c r="P5" s="76"/>
      <c r="Q5" s="600" t="s">
        <v>272</v>
      </c>
      <c r="R5" s="712" t="s">
        <v>222</v>
      </c>
      <c r="S5" s="1068" t="s">
        <v>248</v>
      </c>
      <c r="T5" s="231">
        <v>15</v>
      </c>
      <c r="U5" s="715"/>
      <c r="V5" s="715"/>
      <c r="W5" s="715"/>
      <c r="X5" s="233" t="s">
        <v>672</v>
      </c>
      <c r="Y5" s="1081" t="s">
        <v>262</v>
      </c>
      <c r="Z5" s="706" t="s">
        <v>659</v>
      </c>
      <c r="AA5" s="317" t="s">
        <v>251</v>
      </c>
      <c r="AB5" s="1063" t="s">
        <v>317</v>
      </c>
      <c r="AC5" s="57"/>
      <c r="AD5" s="57"/>
      <c r="AE5" s="82"/>
      <c r="AF5" s="13"/>
      <c r="AJ5" s="13"/>
    </row>
    <row r="6" spans="2:39" ht="24" customHeight="1" x14ac:dyDescent="0.2">
      <c r="B6" s="3"/>
      <c r="C6" s="3"/>
      <c r="D6" s="73"/>
      <c r="E6" s="1073" t="s">
        <v>100</v>
      </c>
      <c r="F6" s="1074"/>
      <c r="G6" s="1052"/>
      <c r="H6" s="951" t="s">
        <v>126</v>
      </c>
      <c r="I6" s="937"/>
      <c r="J6" s="1052"/>
      <c r="K6" s="203"/>
      <c r="L6" s="203"/>
      <c r="M6" s="311"/>
      <c r="N6" s="318"/>
      <c r="O6" s="318"/>
      <c r="P6" s="77"/>
      <c r="Q6" s="951" t="s">
        <v>247</v>
      </c>
      <c r="R6" s="937"/>
      <c r="S6" s="1069"/>
      <c r="T6" s="1073" t="s">
        <v>263</v>
      </c>
      <c r="U6" s="1074"/>
      <c r="V6" s="1074"/>
      <c r="W6" s="1074"/>
      <c r="X6" s="1074"/>
      <c r="Y6" s="1082"/>
      <c r="Z6" s="707" t="s">
        <v>316</v>
      </c>
      <c r="AA6" s="708"/>
      <c r="AB6" s="1064"/>
      <c r="AC6" s="200"/>
      <c r="AD6" s="200"/>
      <c r="AE6" s="87"/>
      <c r="AF6" s="11"/>
      <c r="AK6" s="9"/>
      <c r="AL6" s="9"/>
      <c r="AM6" s="9"/>
    </row>
    <row r="7" spans="2:39" s="14" customFormat="1" ht="36" customHeight="1" x14ac:dyDescent="0.2">
      <c r="B7" s="94"/>
      <c r="C7" s="94"/>
      <c r="D7" s="109"/>
      <c r="E7" s="132"/>
      <c r="F7" s="131"/>
      <c r="G7" s="1052"/>
      <c r="H7" s="336"/>
      <c r="I7" s="130"/>
      <c r="J7" s="1053"/>
      <c r="K7" s="206"/>
      <c r="L7" s="206"/>
      <c r="M7" s="310"/>
      <c r="N7" s="310"/>
      <c r="O7" s="310"/>
      <c r="P7" s="111"/>
      <c r="Q7" s="1071" t="s">
        <v>673</v>
      </c>
      <c r="R7" s="1072"/>
      <c r="S7" s="1070"/>
      <c r="T7" s="1075" t="s">
        <v>55</v>
      </c>
      <c r="U7" s="1076"/>
      <c r="V7" s="1076"/>
      <c r="W7" s="1076"/>
      <c r="X7" s="1076"/>
      <c r="Y7" s="1083"/>
      <c r="Z7" s="1066"/>
      <c r="AA7" s="1067"/>
      <c r="AB7" s="1065"/>
      <c r="AC7" s="207"/>
      <c r="AD7" s="207"/>
      <c r="AE7" s="110"/>
      <c r="AF7" s="100"/>
      <c r="AJ7" s="100"/>
    </row>
    <row r="8" spans="2:39" s="12" customFormat="1" ht="16" customHeight="1" x14ac:dyDescent="0.2">
      <c r="B8" s="7"/>
      <c r="C8" s="7"/>
      <c r="D8" s="72"/>
      <c r="E8" s="16">
        <v>21</v>
      </c>
      <c r="F8" s="327" t="s">
        <v>253</v>
      </c>
      <c r="G8" s="1117" t="s">
        <v>259</v>
      </c>
      <c r="H8" s="331">
        <v>21.2</v>
      </c>
      <c r="I8" s="327" t="s">
        <v>253</v>
      </c>
      <c r="J8" s="1119" t="s">
        <v>260</v>
      </c>
      <c r="K8" s="6"/>
      <c r="L8" s="6"/>
      <c r="M8" s="76"/>
      <c r="N8" s="308"/>
      <c r="O8" s="308"/>
      <c r="P8" s="308"/>
      <c r="Q8" s="600" t="s">
        <v>273</v>
      </c>
      <c r="R8" s="712" t="s">
        <v>222</v>
      </c>
      <c r="S8" s="1068" t="s">
        <v>309</v>
      </c>
      <c r="T8" s="231">
        <v>16</v>
      </c>
      <c r="U8" s="236" t="s">
        <v>102</v>
      </c>
      <c r="V8" s="1081" t="s">
        <v>111</v>
      </c>
      <c r="W8" s="231">
        <v>17</v>
      </c>
      <c r="X8" s="236" t="s">
        <v>102</v>
      </c>
      <c r="Y8" s="1084" t="s">
        <v>56</v>
      </c>
      <c r="Z8" s="595" t="s">
        <v>467</v>
      </c>
      <c r="AA8" s="317" t="s">
        <v>251</v>
      </c>
      <c r="AB8" s="1090"/>
      <c r="AC8" s="57"/>
      <c r="AD8" s="57"/>
      <c r="AE8" s="82"/>
      <c r="AF8" s="13"/>
      <c r="AG8" s="14"/>
      <c r="AH8" s="14"/>
      <c r="AI8" s="14"/>
      <c r="AJ8" s="13"/>
    </row>
    <row r="9" spans="2:39" ht="24" customHeight="1" x14ac:dyDescent="0.2">
      <c r="B9" s="3"/>
      <c r="C9" s="3"/>
      <c r="D9" s="73"/>
      <c r="E9" s="870" t="s">
        <v>3</v>
      </c>
      <c r="F9" s="871"/>
      <c r="G9" s="1118"/>
      <c r="H9" s="871" t="s">
        <v>4</v>
      </c>
      <c r="I9" s="871"/>
      <c r="J9" s="1120"/>
      <c r="K9" s="203"/>
      <c r="L9" s="203"/>
      <c r="M9" s="77"/>
      <c r="N9" s="537"/>
      <c r="O9" s="537"/>
      <c r="P9" s="311"/>
      <c r="Q9" s="951" t="s">
        <v>308</v>
      </c>
      <c r="R9" s="937"/>
      <c r="S9" s="1069"/>
      <c r="T9" s="1086" t="s">
        <v>32</v>
      </c>
      <c r="U9" s="1087"/>
      <c r="V9" s="1082"/>
      <c r="W9" s="870" t="s">
        <v>252</v>
      </c>
      <c r="X9" s="871"/>
      <c r="Y9" s="1052"/>
      <c r="Z9" s="931" t="s">
        <v>246</v>
      </c>
      <c r="AA9" s="1093"/>
      <c r="AB9" s="1091"/>
      <c r="AC9" s="200"/>
      <c r="AD9" s="200"/>
      <c r="AE9" s="87"/>
      <c r="AF9" s="11"/>
      <c r="AG9" s="14"/>
      <c r="AH9" s="14"/>
      <c r="AI9" s="14"/>
      <c r="AK9" s="9"/>
      <c r="AL9" s="9"/>
      <c r="AM9" s="9"/>
    </row>
    <row r="10" spans="2:39" s="14" customFormat="1" ht="36" customHeight="1" x14ac:dyDescent="0.15">
      <c r="B10" s="94"/>
      <c r="C10" s="94"/>
      <c r="D10" s="109"/>
      <c r="E10" s="132"/>
      <c r="F10" s="131"/>
      <c r="G10" s="1118"/>
      <c r="H10" s="105"/>
      <c r="I10" s="105"/>
      <c r="J10" s="1120"/>
      <c r="K10" s="206"/>
      <c r="L10" s="206"/>
      <c r="M10" s="111"/>
      <c r="N10" s="310"/>
      <c r="O10" s="310"/>
      <c r="P10" s="310"/>
      <c r="Q10" s="1071" t="s">
        <v>666</v>
      </c>
      <c r="R10" s="1072"/>
      <c r="S10" s="1070"/>
      <c r="T10" s="234"/>
      <c r="U10" s="235"/>
      <c r="V10" s="1083"/>
      <c r="W10" s="234"/>
      <c r="X10" s="235"/>
      <c r="Y10" s="1085"/>
      <c r="Z10" s="1061" t="s">
        <v>250</v>
      </c>
      <c r="AA10" s="1062"/>
      <c r="AB10" s="1092"/>
      <c r="AC10" s="207"/>
      <c r="AD10" s="207"/>
      <c r="AE10" s="110"/>
      <c r="AF10" s="100"/>
      <c r="AJ10" s="100"/>
    </row>
    <row r="11" spans="2:39" s="12" customFormat="1" ht="16" customHeight="1" x14ac:dyDescent="0.2">
      <c r="B11" s="7"/>
      <c r="C11" s="7"/>
      <c r="D11" s="72"/>
      <c r="E11" s="329">
        <v>21.3</v>
      </c>
      <c r="F11" s="326" t="s">
        <v>253</v>
      </c>
      <c r="G11" s="1115" t="s">
        <v>261</v>
      </c>
      <c r="H11" s="330">
        <v>21.1</v>
      </c>
      <c r="I11" s="76" t="s">
        <v>253</v>
      </c>
      <c r="J11" s="1111" t="s">
        <v>278</v>
      </c>
      <c r="K11" s="211"/>
      <c r="L11" s="211"/>
      <c r="M11" s="209"/>
      <c r="N11" s="308"/>
      <c r="O11" s="308"/>
      <c r="P11" s="308"/>
      <c r="Q11" s="325" t="s">
        <v>435</v>
      </c>
      <c r="R11" s="712" t="s">
        <v>222</v>
      </c>
      <c r="S11" s="1081" t="s">
        <v>434</v>
      </c>
      <c r="T11" s="231">
        <v>18</v>
      </c>
      <c r="U11" s="232"/>
      <c r="V11" s="238" t="s">
        <v>102</v>
      </c>
      <c r="W11" s="325" t="s">
        <v>270</v>
      </c>
      <c r="X11" s="236" t="s">
        <v>106</v>
      </c>
      <c r="Y11" s="1125" t="s">
        <v>131</v>
      </c>
      <c r="Z11" s="243">
        <v>18</v>
      </c>
      <c r="AA11" s="1088" t="s">
        <v>786</v>
      </c>
      <c r="AB11" s="1089"/>
      <c r="AC11" s="53"/>
      <c r="AD11" s="53"/>
      <c r="AE11" s="88"/>
      <c r="AF11" s="13"/>
      <c r="AG11" s="14"/>
      <c r="AH11" s="14"/>
      <c r="AI11" s="14"/>
      <c r="AJ11" s="13"/>
    </row>
    <row r="12" spans="2:39" ht="24" customHeight="1" x14ac:dyDescent="0.2">
      <c r="B12" s="3"/>
      <c r="C12" s="3"/>
      <c r="D12" s="73"/>
      <c r="E12" s="870" t="s">
        <v>5</v>
      </c>
      <c r="F12" s="871"/>
      <c r="G12" s="1115"/>
      <c r="H12" s="871" t="s">
        <v>90</v>
      </c>
      <c r="I12" s="871"/>
      <c r="J12" s="1052"/>
      <c r="K12" s="937"/>
      <c r="L12" s="937"/>
      <c r="M12" s="937"/>
      <c r="N12" s="537"/>
      <c r="O12" s="537"/>
      <c r="P12" s="311"/>
      <c r="Q12" s="1077" t="s">
        <v>351</v>
      </c>
      <c r="R12" s="1078"/>
      <c r="S12" s="1082"/>
      <c r="T12" s="870" t="s">
        <v>33</v>
      </c>
      <c r="U12" s="871"/>
      <c r="V12" s="872"/>
      <c r="W12" s="1079" t="s">
        <v>125</v>
      </c>
      <c r="X12" s="1080"/>
      <c r="Y12" s="1120"/>
      <c r="Z12" s="837" t="s">
        <v>39</v>
      </c>
      <c r="AA12" s="977"/>
      <c r="AB12" s="838"/>
      <c r="AC12" s="200"/>
      <c r="AD12" s="200"/>
      <c r="AE12" s="87"/>
      <c r="AF12" s="11"/>
      <c r="AG12" s="14"/>
      <c r="AH12" s="14"/>
      <c r="AI12" s="14"/>
      <c r="AK12" s="9"/>
      <c r="AL12" s="9"/>
      <c r="AM12" s="9"/>
    </row>
    <row r="13" spans="2:39" s="107" customFormat="1" ht="34" customHeight="1" x14ac:dyDescent="0.2">
      <c r="B13" s="103"/>
      <c r="C13" s="103"/>
      <c r="D13" s="112"/>
      <c r="E13" s="133"/>
      <c r="F13" s="134"/>
      <c r="G13" s="1116"/>
      <c r="H13" s="130"/>
      <c r="I13" s="130"/>
      <c r="J13" s="1053"/>
      <c r="K13" s="1054"/>
      <c r="L13" s="1054"/>
      <c r="M13" s="1054"/>
      <c r="N13" s="309"/>
      <c r="O13" s="309"/>
      <c r="P13" s="309"/>
      <c r="Q13" s="337"/>
      <c r="R13" s="235"/>
      <c r="S13" s="1083"/>
      <c r="T13" s="1055" t="s">
        <v>116</v>
      </c>
      <c r="U13" s="1056"/>
      <c r="V13" s="1057"/>
      <c r="W13" s="776" t="s">
        <v>822</v>
      </c>
      <c r="X13" s="237"/>
      <c r="Y13" s="1126"/>
      <c r="Z13" s="1058" t="s">
        <v>81</v>
      </c>
      <c r="AA13" s="1059"/>
      <c r="AB13" s="1060"/>
      <c r="AC13" s="113"/>
      <c r="AD13" s="113"/>
      <c r="AE13" s="114"/>
      <c r="AF13" s="106"/>
      <c r="AG13" s="14"/>
      <c r="AH13" s="14"/>
      <c r="AI13" s="14"/>
    </row>
    <row r="14" spans="2:39" s="12" customFormat="1" ht="16" customHeight="1" x14ac:dyDescent="0.2">
      <c r="B14" s="7"/>
      <c r="C14" s="7"/>
      <c r="D14" s="72"/>
      <c r="E14" s="1124" t="s">
        <v>474</v>
      </c>
      <c r="F14" s="1124"/>
      <c r="G14" s="1124"/>
      <c r="H14" s="1124"/>
      <c r="I14" s="1124"/>
      <c r="J14" s="1124"/>
      <c r="K14" s="17">
        <v>9</v>
      </c>
      <c r="L14" s="126"/>
      <c r="M14" s="1094" t="s">
        <v>112</v>
      </c>
      <c r="N14" s="17">
        <v>10</v>
      </c>
      <c r="O14" s="538" t="s">
        <v>254</v>
      </c>
      <c r="P14" s="1094" t="s">
        <v>269</v>
      </c>
      <c r="Q14" s="8"/>
      <c r="R14" s="8"/>
      <c r="S14" s="79"/>
      <c r="T14" s="239">
        <v>1</v>
      </c>
      <c r="U14" s="240"/>
      <c r="V14" s="1097" t="s">
        <v>114</v>
      </c>
      <c r="W14" s="239">
        <v>2</v>
      </c>
      <c r="X14" s="240" t="s">
        <v>788</v>
      </c>
      <c r="Y14" s="1097" t="s">
        <v>127</v>
      </c>
      <c r="Z14" s="243">
        <v>19</v>
      </c>
      <c r="AA14" s="1102" t="s">
        <v>784</v>
      </c>
      <c r="AB14" s="1103"/>
      <c r="AC14" s="59">
        <v>26</v>
      </c>
      <c r="AD14" s="1046" t="s">
        <v>255</v>
      </c>
      <c r="AE14" s="1047"/>
      <c r="AF14" s="13"/>
    </row>
    <row r="15" spans="2:39" ht="24" customHeight="1" x14ac:dyDescent="0.2">
      <c r="B15" s="3"/>
      <c r="C15" s="3"/>
      <c r="D15" s="73"/>
      <c r="E15" s="678"/>
      <c r="F15" s="678"/>
      <c r="G15" s="311"/>
      <c r="H15" s="678"/>
      <c r="I15" s="678"/>
      <c r="J15" s="311"/>
      <c r="K15" s="857" t="s">
        <v>6</v>
      </c>
      <c r="L15" s="862"/>
      <c r="M15" s="1095"/>
      <c r="N15" s="857" t="s">
        <v>38</v>
      </c>
      <c r="O15" s="862"/>
      <c r="P15" s="1095"/>
      <c r="Q15" s="201"/>
      <c r="R15" s="201"/>
      <c r="S15" s="80"/>
      <c r="T15" s="857" t="s">
        <v>10</v>
      </c>
      <c r="U15" s="862"/>
      <c r="V15" s="1095"/>
      <c r="W15" s="857" t="s">
        <v>11</v>
      </c>
      <c r="X15" s="862"/>
      <c r="Y15" s="1095"/>
      <c r="Z15" s="837" t="s">
        <v>40</v>
      </c>
      <c r="AA15" s="977"/>
      <c r="AB15" s="838"/>
      <c r="AC15" s="841" t="s">
        <v>42</v>
      </c>
      <c r="AD15" s="925"/>
      <c r="AE15" s="842"/>
      <c r="AF15" s="11"/>
      <c r="AM15" s="9"/>
    </row>
    <row r="16" spans="2:39" s="14" customFormat="1" ht="34" customHeight="1" x14ac:dyDescent="0.15">
      <c r="B16" s="94"/>
      <c r="C16" s="94"/>
      <c r="D16" s="109"/>
      <c r="E16" s="310"/>
      <c r="F16" s="310"/>
      <c r="G16" s="310"/>
      <c r="H16" s="310"/>
      <c r="I16" s="310"/>
      <c r="J16" s="310"/>
      <c r="K16" s="135"/>
      <c r="L16" s="136"/>
      <c r="M16" s="1096"/>
      <c r="N16" s="135"/>
      <c r="O16" s="136"/>
      <c r="P16" s="1096"/>
      <c r="Q16" s="202"/>
      <c r="R16" s="202"/>
      <c r="S16" s="115"/>
      <c r="T16" s="241"/>
      <c r="U16" s="242"/>
      <c r="V16" s="1098"/>
      <c r="W16" s="241"/>
      <c r="X16" s="242"/>
      <c r="Y16" s="1098"/>
      <c r="Z16" s="982" t="s">
        <v>120</v>
      </c>
      <c r="AA16" s="983"/>
      <c r="AB16" s="984"/>
      <c r="AC16" s="1048" t="s">
        <v>83</v>
      </c>
      <c r="AD16" s="1049"/>
      <c r="AE16" s="1050"/>
      <c r="AF16" s="100"/>
    </row>
    <row r="17" spans="2:39" s="12" customFormat="1" ht="16" customHeight="1" x14ac:dyDescent="0.2">
      <c r="B17" s="7"/>
      <c r="C17" s="7"/>
      <c r="D17" s="72"/>
      <c r="E17" s="308"/>
      <c r="F17" s="308"/>
      <c r="G17" s="308"/>
      <c r="H17" s="308"/>
      <c r="I17" s="308"/>
      <c r="J17" s="308"/>
      <c r="K17" s="17">
        <v>11</v>
      </c>
      <c r="L17" s="126"/>
      <c r="M17" s="1094" t="s">
        <v>58</v>
      </c>
      <c r="N17" s="17">
        <v>12</v>
      </c>
      <c r="O17" s="126"/>
      <c r="P17" s="1094" t="s">
        <v>59</v>
      </c>
      <c r="Q17" s="8"/>
      <c r="R17" s="8"/>
      <c r="S17" s="79"/>
      <c r="T17" s="239">
        <v>3</v>
      </c>
      <c r="U17" s="240" t="s">
        <v>789</v>
      </c>
      <c r="V17" s="1097" t="s">
        <v>119</v>
      </c>
      <c r="W17" s="239">
        <v>4</v>
      </c>
      <c r="X17" s="240"/>
      <c r="Y17" s="1097" t="s">
        <v>115</v>
      </c>
      <c r="Z17" s="229">
        <v>20</v>
      </c>
      <c r="AA17" s="1102" t="s">
        <v>783</v>
      </c>
      <c r="AB17" s="1103"/>
      <c r="AC17" s="59">
        <v>27</v>
      </c>
      <c r="AD17" s="1046" t="s">
        <v>787</v>
      </c>
      <c r="AE17" s="1047"/>
      <c r="AF17" s="13"/>
    </row>
    <row r="18" spans="2:39" ht="24" customHeight="1" x14ac:dyDescent="0.2">
      <c r="B18" s="3"/>
      <c r="C18" s="3"/>
      <c r="D18" s="73"/>
      <c r="E18" s="203"/>
      <c r="F18" s="203"/>
      <c r="G18" s="77"/>
      <c r="H18" s="203"/>
      <c r="I18" s="203"/>
      <c r="J18" s="77"/>
      <c r="K18" s="857" t="s">
        <v>8</v>
      </c>
      <c r="L18" s="862"/>
      <c r="M18" s="1095"/>
      <c r="N18" s="857" t="s">
        <v>9</v>
      </c>
      <c r="O18" s="862"/>
      <c r="P18" s="1095"/>
      <c r="Q18" s="201"/>
      <c r="R18" s="201"/>
      <c r="S18" s="80"/>
      <c r="T18" s="857" t="s">
        <v>12</v>
      </c>
      <c r="U18" s="862"/>
      <c r="V18" s="1095"/>
      <c r="W18" s="857" t="s">
        <v>13</v>
      </c>
      <c r="X18" s="862"/>
      <c r="Y18" s="1095"/>
      <c r="Z18" s="837" t="s">
        <v>41</v>
      </c>
      <c r="AA18" s="977"/>
      <c r="AB18" s="838"/>
      <c r="AC18" s="841" t="s">
        <v>43</v>
      </c>
      <c r="AD18" s="925"/>
      <c r="AE18" s="842"/>
      <c r="AF18" s="11"/>
      <c r="AM18" s="9"/>
    </row>
    <row r="19" spans="2:39" s="14" customFormat="1" ht="36" customHeight="1" x14ac:dyDescent="0.15">
      <c r="B19" s="94"/>
      <c r="C19" s="94"/>
      <c r="D19" s="109"/>
      <c r="E19" s="1123"/>
      <c r="F19" s="1123"/>
      <c r="G19" s="1123"/>
      <c r="H19" s="206"/>
      <c r="I19" s="206"/>
      <c r="J19" s="111"/>
      <c r="K19" s="135"/>
      <c r="L19" s="136"/>
      <c r="M19" s="1096"/>
      <c r="N19" s="135"/>
      <c r="O19" s="136"/>
      <c r="P19" s="1096"/>
      <c r="Q19" s="202"/>
      <c r="R19" s="202"/>
      <c r="S19" s="115"/>
      <c r="T19" s="241"/>
      <c r="U19" s="242"/>
      <c r="V19" s="1098"/>
      <c r="W19" s="241"/>
      <c r="X19" s="242"/>
      <c r="Y19" s="1098"/>
      <c r="Z19" s="1099" t="s">
        <v>121</v>
      </c>
      <c r="AA19" s="1100"/>
      <c r="AB19" s="1101"/>
      <c r="AC19" s="1048" t="s">
        <v>82</v>
      </c>
      <c r="AD19" s="1049"/>
      <c r="AE19" s="1050"/>
      <c r="AF19" s="100"/>
    </row>
    <row r="20" spans="2:39" s="12" customFormat="1" ht="17" x14ac:dyDescent="0.2">
      <c r="B20" s="7"/>
      <c r="C20" s="7"/>
      <c r="D20" s="72"/>
      <c r="E20" s="1123"/>
      <c r="F20" s="1123"/>
      <c r="G20" s="1123"/>
      <c r="H20" s="6"/>
      <c r="I20" s="6"/>
      <c r="J20" s="76"/>
      <c r="K20" s="8"/>
      <c r="L20" s="8"/>
      <c r="M20" s="79"/>
      <c r="N20" s="8"/>
      <c r="O20" s="8"/>
      <c r="P20" s="79"/>
      <c r="Q20" s="48">
        <v>9</v>
      </c>
      <c r="R20" s="123"/>
      <c r="S20" s="81" t="s">
        <v>780</v>
      </c>
      <c r="T20" s="254">
        <v>5</v>
      </c>
      <c r="U20" s="255"/>
      <c r="V20" s="256" t="s">
        <v>780</v>
      </c>
      <c r="W20" s="254">
        <v>6</v>
      </c>
      <c r="X20" s="255"/>
      <c r="Y20" s="256" t="s">
        <v>780</v>
      </c>
      <c r="Z20" s="48">
        <v>10</v>
      </c>
      <c r="AA20" s="123"/>
      <c r="AB20" s="81" t="s">
        <v>782</v>
      </c>
      <c r="AC20" s="59">
        <v>25</v>
      </c>
      <c r="AD20" s="1046" t="s">
        <v>792</v>
      </c>
      <c r="AE20" s="1047"/>
      <c r="AF20" s="13"/>
      <c r="AG20" s="13"/>
      <c r="AH20" s="13"/>
      <c r="AI20" s="13"/>
      <c r="AJ20" s="13"/>
    </row>
    <row r="21" spans="2:39" ht="24" customHeight="1" x14ac:dyDescent="0.2">
      <c r="B21" s="3"/>
      <c r="C21" s="3"/>
      <c r="D21" s="73"/>
      <c r="E21" s="1123"/>
      <c r="F21" s="1123"/>
      <c r="G21" s="1123"/>
      <c r="H21" s="203"/>
      <c r="I21" s="203"/>
      <c r="J21" s="77"/>
      <c r="K21" s="201"/>
      <c r="L21" s="201"/>
      <c r="M21" s="80"/>
      <c r="N21" s="201"/>
      <c r="O21" s="201"/>
      <c r="P21" s="80"/>
      <c r="Q21" s="978" t="s">
        <v>14</v>
      </c>
      <c r="R21" s="979"/>
      <c r="S21" s="980"/>
      <c r="T21" s="978" t="s">
        <v>15</v>
      </c>
      <c r="U21" s="979"/>
      <c r="V21" s="980"/>
      <c r="W21" s="978" t="s">
        <v>16</v>
      </c>
      <c r="X21" s="979"/>
      <c r="Y21" s="980"/>
      <c r="Z21" s="978" t="s">
        <v>17</v>
      </c>
      <c r="AA21" s="979"/>
      <c r="AB21" s="980"/>
      <c r="AC21" s="841" t="s">
        <v>752</v>
      </c>
      <c r="AD21" s="925"/>
      <c r="AE21" s="842"/>
      <c r="AF21" s="11"/>
      <c r="AG21" s="11"/>
      <c r="AH21" s="11"/>
      <c r="AK21" s="9"/>
      <c r="AL21" s="9"/>
      <c r="AM21" s="9"/>
    </row>
    <row r="22" spans="2:39" s="14" customFormat="1" ht="36" customHeight="1" x14ac:dyDescent="0.15">
      <c r="B22" s="94"/>
      <c r="C22" s="94"/>
      <c r="D22" s="109"/>
      <c r="E22" s="310"/>
      <c r="F22" s="310"/>
      <c r="G22" s="310"/>
      <c r="H22" s="206"/>
      <c r="I22" s="206"/>
      <c r="J22" s="111"/>
      <c r="K22" s="202"/>
      <c r="L22" s="202"/>
      <c r="M22" s="115"/>
      <c r="N22" s="202"/>
      <c r="O22" s="202"/>
      <c r="P22" s="115"/>
      <c r="Q22" s="1041" t="s">
        <v>62</v>
      </c>
      <c r="R22" s="1015"/>
      <c r="S22" s="1042"/>
      <c r="T22" s="1043" t="s">
        <v>63</v>
      </c>
      <c r="U22" s="1044"/>
      <c r="V22" s="1045"/>
      <c r="W22" s="1043" t="s">
        <v>64</v>
      </c>
      <c r="X22" s="1044"/>
      <c r="Y22" s="1045"/>
      <c r="Z22" s="1041" t="s">
        <v>65</v>
      </c>
      <c r="AA22" s="1015"/>
      <c r="AB22" s="1042"/>
      <c r="AC22" s="1048" t="s">
        <v>753</v>
      </c>
      <c r="AD22" s="1049"/>
      <c r="AE22" s="1050"/>
      <c r="AF22" s="100"/>
      <c r="AG22" s="100"/>
      <c r="AH22" s="100"/>
      <c r="AI22" s="100"/>
      <c r="AJ22" s="100"/>
    </row>
    <row r="23" spans="2:39" s="12" customFormat="1" ht="15" customHeight="1" x14ac:dyDescent="0.2">
      <c r="B23" s="7"/>
      <c r="C23" s="7"/>
      <c r="D23" s="72"/>
      <c r="E23" s="308"/>
      <c r="F23" s="308"/>
      <c r="G23" s="308"/>
      <c r="H23" s="262">
        <v>19</v>
      </c>
      <c r="I23" s="139"/>
      <c r="J23" s="263" t="s">
        <v>257</v>
      </c>
      <c r="K23" s="259">
        <v>5</v>
      </c>
      <c r="L23" s="138"/>
      <c r="M23" s="1033" t="s">
        <v>109</v>
      </c>
      <c r="N23" s="259">
        <v>6</v>
      </c>
      <c r="O23" s="138" t="s">
        <v>790</v>
      </c>
      <c r="P23" s="1036" t="s">
        <v>77</v>
      </c>
      <c r="Q23" s="257">
        <v>7</v>
      </c>
      <c r="R23" s="123"/>
      <c r="S23" s="258" t="s">
        <v>780</v>
      </c>
      <c r="T23" s="70">
        <v>1</v>
      </c>
      <c r="U23" s="70"/>
      <c r="V23" s="85" t="s">
        <v>780</v>
      </c>
      <c r="W23" s="228">
        <v>2</v>
      </c>
      <c r="X23" s="70"/>
      <c r="Y23" s="85" t="s">
        <v>780</v>
      </c>
      <c r="Z23" s="266">
        <v>17</v>
      </c>
      <c r="AA23" s="124"/>
      <c r="AB23" s="267" t="s">
        <v>97</v>
      </c>
      <c r="AC23" s="272">
        <v>24</v>
      </c>
      <c r="AD23" s="121"/>
      <c r="AE23" s="273" t="s">
        <v>94</v>
      </c>
      <c r="AF23" s="13"/>
      <c r="AG23" s="13"/>
      <c r="AH23" s="13"/>
      <c r="AI23" s="13"/>
      <c r="AJ23" s="13"/>
    </row>
    <row r="24" spans="2:39" ht="24" customHeight="1" x14ac:dyDescent="0.2">
      <c r="B24" s="3"/>
      <c r="C24" s="3"/>
      <c r="D24" s="73"/>
      <c r="E24" s="212"/>
      <c r="F24" s="212"/>
      <c r="G24" s="311"/>
      <c r="H24" s="264"/>
      <c r="I24" s="4"/>
      <c r="J24" s="265"/>
      <c r="K24" s="1011" t="s">
        <v>24</v>
      </c>
      <c r="L24" s="862"/>
      <c r="M24" s="1034"/>
      <c r="N24" s="1011" t="s">
        <v>25</v>
      </c>
      <c r="O24" s="862"/>
      <c r="P24" s="1037"/>
      <c r="Q24" s="1039" t="s">
        <v>18</v>
      </c>
      <c r="R24" s="1012"/>
      <c r="S24" s="1040"/>
      <c r="T24" s="970" t="s">
        <v>20</v>
      </c>
      <c r="U24" s="970"/>
      <c r="V24" s="970"/>
      <c r="W24" s="969" t="s">
        <v>21</v>
      </c>
      <c r="X24" s="970"/>
      <c r="Y24" s="970"/>
      <c r="Z24" s="268"/>
      <c r="AA24" s="213"/>
      <c r="AB24" s="269"/>
      <c r="AC24" s="274"/>
      <c r="AD24" s="122"/>
      <c r="AE24" s="275"/>
      <c r="AF24" s="11"/>
      <c r="AG24" s="11"/>
      <c r="AH24" s="11"/>
      <c r="AK24" s="9"/>
      <c r="AL24" s="9"/>
      <c r="AM24" s="9"/>
    </row>
    <row r="25" spans="2:39" s="107" customFormat="1" ht="36" customHeight="1" x14ac:dyDescent="0.15">
      <c r="B25" s="103"/>
      <c r="C25" s="103"/>
      <c r="D25" s="112"/>
      <c r="E25" s="309"/>
      <c r="F25" s="309"/>
      <c r="G25" s="309"/>
      <c r="H25" s="1021" t="s">
        <v>98</v>
      </c>
      <c r="I25" s="1022"/>
      <c r="J25" s="1023"/>
      <c r="K25" s="260"/>
      <c r="L25" s="137"/>
      <c r="M25" s="1035"/>
      <c r="N25" s="260"/>
      <c r="O25" s="137"/>
      <c r="P25" s="1038"/>
      <c r="Q25" s="1024" t="s">
        <v>66</v>
      </c>
      <c r="R25" s="1025"/>
      <c r="S25" s="1026"/>
      <c r="T25" s="1027" t="s">
        <v>228</v>
      </c>
      <c r="U25" s="1027"/>
      <c r="V25" s="1027"/>
      <c r="W25" s="1028" t="s">
        <v>225</v>
      </c>
      <c r="X25" s="1029"/>
      <c r="Y25" s="1029"/>
      <c r="Z25" s="1030" t="s">
        <v>30</v>
      </c>
      <c r="AA25" s="1031"/>
      <c r="AB25" s="1032"/>
      <c r="AC25" s="994" t="s">
        <v>44</v>
      </c>
      <c r="AD25" s="995"/>
      <c r="AE25" s="996"/>
      <c r="AF25" s="106"/>
      <c r="AG25" s="106"/>
      <c r="AH25" s="106"/>
      <c r="AI25" s="106"/>
      <c r="AJ25" s="106"/>
    </row>
    <row r="26" spans="2:39" s="12" customFormat="1" ht="15" customHeight="1" x14ac:dyDescent="0.2">
      <c r="B26" s="7"/>
      <c r="C26" s="7"/>
      <c r="D26" s="72"/>
      <c r="E26" s="308"/>
      <c r="F26" s="308"/>
      <c r="G26" s="308"/>
      <c r="H26" s="997" t="s">
        <v>113</v>
      </c>
      <c r="I26" s="998"/>
      <c r="J26" s="999"/>
      <c r="K26" s="259">
        <v>7</v>
      </c>
      <c r="L26" s="138" t="s">
        <v>791</v>
      </c>
      <c r="M26" s="1002" t="s">
        <v>123</v>
      </c>
      <c r="N26" s="259">
        <v>8</v>
      </c>
      <c r="O26" s="138"/>
      <c r="P26" s="1002" t="s">
        <v>79</v>
      </c>
      <c r="Q26" s="123">
        <v>8</v>
      </c>
      <c r="R26" s="123"/>
      <c r="S26" s="230" t="s">
        <v>780</v>
      </c>
      <c r="T26" s="125">
        <v>3</v>
      </c>
      <c r="U26" s="125"/>
      <c r="V26" s="90" t="s">
        <v>780</v>
      </c>
      <c r="W26" s="831">
        <v>4</v>
      </c>
      <c r="X26" s="125"/>
      <c r="Y26" s="832" t="s">
        <v>780</v>
      </c>
      <c r="Z26" s="1005" t="s">
        <v>84</v>
      </c>
      <c r="AA26" s="1006"/>
      <c r="AB26" s="1007"/>
      <c r="AC26" s="1008" t="s">
        <v>88</v>
      </c>
      <c r="AD26" s="1009"/>
      <c r="AE26" s="1010"/>
      <c r="AF26" s="13"/>
      <c r="AG26" s="13"/>
      <c r="AH26" s="13"/>
      <c r="AI26" s="13"/>
      <c r="AJ26" s="13"/>
    </row>
    <row r="27" spans="2:39" ht="24" customHeight="1" x14ac:dyDescent="0.2">
      <c r="B27" s="3"/>
      <c r="C27" s="3"/>
      <c r="D27" s="73"/>
      <c r="E27" s="212"/>
      <c r="F27" s="212"/>
      <c r="G27" s="311"/>
      <c r="H27" s="997"/>
      <c r="I27" s="998"/>
      <c r="J27" s="999"/>
      <c r="K27" s="1011" t="s">
        <v>26</v>
      </c>
      <c r="L27" s="862"/>
      <c r="M27" s="1003"/>
      <c r="N27" s="1011" t="s">
        <v>27</v>
      </c>
      <c r="O27" s="862"/>
      <c r="P27" s="1003"/>
      <c r="Q27" s="1012" t="s">
        <v>19</v>
      </c>
      <c r="R27" s="1012"/>
      <c r="S27" s="1012"/>
      <c r="T27" s="970" t="s">
        <v>22</v>
      </c>
      <c r="U27" s="970"/>
      <c r="V27" s="1013"/>
      <c r="W27" s="969" t="s">
        <v>23</v>
      </c>
      <c r="X27" s="970"/>
      <c r="Y27" s="1014"/>
      <c r="Z27" s="268"/>
      <c r="AA27" s="213"/>
      <c r="AB27" s="269"/>
      <c r="AC27" s="1008"/>
      <c r="AD27" s="1009"/>
      <c r="AE27" s="1010"/>
      <c r="AF27" s="11"/>
      <c r="AG27" s="11"/>
      <c r="AH27" s="11"/>
      <c r="AK27" s="9"/>
      <c r="AL27" s="9"/>
      <c r="AM27" s="9"/>
    </row>
    <row r="28" spans="2:39" s="14" customFormat="1" ht="36" customHeight="1" x14ac:dyDescent="0.15">
      <c r="B28" s="94"/>
      <c r="C28" s="94"/>
      <c r="D28" s="109"/>
      <c r="E28" s="310"/>
      <c r="F28" s="310"/>
      <c r="G28" s="310"/>
      <c r="H28" s="1000"/>
      <c r="I28" s="963"/>
      <c r="J28" s="1001"/>
      <c r="K28" s="261"/>
      <c r="L28" s="136"/>
      <c r="M28" s="1004"/>
      <c r="N28" s="261"/>
      <c r="O28" s="136"/>
      <c r="P28" s="1004"/>
      <c r="Q28" s="1015" t="s">
        <v>67</v>
      </c>
      <c r="R28" s="1015"/>
      <c r="S28" s="1015"/>
      <c r="T28" s="1016" t="s">
        <v>226</v>
      </c>
      <c r="U28" s="1016"/>
      <c r="V28" s="1017"/>
      <c r="W28" s="1018" t="s">
        <v>227</v>
      </c>
      <c r="X28" s="1019"/>
      <c r="Y28" s="1020"/>
      <c r="Z28" s="270"/>
      <c r="AA28" s="215"/>
      <c r="AB28" s="271"/>
      <c r="AC28" s="276"/>
      <c r="AD28" s="214"/>
      <c r="AE28" s="277"/>
      <c r="AF28" s="100"/>
      <c r="AG28" s="100"/>
      <c r="AH28" s="100"/>
      <c r="AI28" s="100"/>
      <c r="AJ28" s="100"/>
    </row>
    <row r="29" spans="2:39" s="12" customFormat="1" ht="16" customHeight="1" x14ac:dyDescent="0.2">
      <c r="B29" s="7"/>
      <c r="C29" s="7"/>
      <c r="D29" s="72"/>
      <c r="E29" s="6"/>
      <c r="F29" s="6"/>
      <c r="G29" s="76"/>
      <c r="H29" s="6"/>
      <c r="I29" s="6"/>
      <c r="J29" s="76"/>
      <c r="K29" s="8"/>
      <c r="L29" s="8"/>
      <c r="M29" s="79"/>
      <c r="N29" s="8"/>
      <c r="O29" s="8"/>
      <c r="P29" s="79"/>
      <c r="Q29" s="48">
        <v>11</v>
      </c>
      <c r="R29" s="123"/>
      <c r="S29" s="81" t="s">
        <v>780</v>
      </c>
      <c r="T29" s="243">
        <v>12</v>
      </c>
      <c r="U29" s="244"/>
      <c r="V29" s="246" t="s">
        <v>96</v>
      </c>
      <c r="W29" s="229">
        <v>13</v>
      </c>
      <c r="X29" s="829"/>
      <c r="Y29" s="830"/>
      <c r="Z29" s="52">
        <v>21</v>
      </c>
      <c r="AA29" s="967" t="s">
        <v>799</v>
      </c>
      <c r="AB29" s="968" t="s">
        <v>781</v>
      </c>
      <c r="AC29" s="57"/>
      <c r="AD29" s="57"/>
      <c r="AE29" s="82"/>
      <c r="AF29" s="13"/>
      <c r="AG29" s="13"/>
      <c r="AH29" s="13"/>
      <c r="AI29" s="13"/>
      <c r="AJ29" s="13"/>
    </row>
    <row r="30" spans="2:39" ht="24" customHeight="1" x14ac:dyDescent="0.2">
      <c r="B30" s="3"/>
      <c r="C30" s="3"/>
      <c r="D30" s="73"/>
      <c r="E30" s="203"/>
      <c r="F30" s="203"/>
      <c r="G30" s="77"/>
      <c r="H30" s="203"/>
      <c r="I30" s="203"/>
      <c r="J30" s="77"/>
      <c r="K30" s="201"/>
      <c r="L30" s="201"/>
      <c r="M30" s="80"/>
      <c r="N30" s="201"/>
      <c r="O30" s="201"/>
      <c r="P30" s="80"/>
      <c r="Q30" s="978" t="s">
        <v>28</v>
      </c>
      <c r="R30" s="979"/>
      <c r="S30" s="980"/>
      <c r="T30" s="837" t="s">
        <v>29</v>
      </c>
      <c r="U30" s="977"/>
      <c r="V30" s="838"/>
      <c r="W30" s="837" t="s">
        <v>48</v>
      </c>
      <c r="X30" s="977"/>
      <c r="Y30" s="838"/>
      <c r="Z30" s="910" t="s">
        <v>50</v>
      </c>
      <c r="AA30" s="981"/>
      <c r="AB30" s="911"/>
      <c r="AC30" s="200"/>
      <c r="AD30" s="200"/>
      <c r="AE30" s="87"/>
      <c r="AF30" s="11"/>
      <c r="AG30" s="11"/>
      <c r="AH30" s="11"/>
      <c r="AK30" s="9"/>
      <c r="AL30" s="9"/>
      <c r="AM30" s="9"/>
    </row>
    <row r="31" spans="2:39" s="14" customFormat="1" ht="36" customHeight="1" x14ac:dyDescent="0.15">
      <c r="B31" s="94"/>
      <c r="C31" s="94"/>
      <c r="D31" s="109"/>
      <c r="E31" s="206"/>
      <c r="F31" s="206"/>
      <c r="G31" s="111"/>
      <c r="H31" s="206"/>
      <c r="I31" s="206"/>
      <c r="J31" s="111"/>
      <c r="K31" s="202"/>
      <c r="L31" s="202"/>
      <c r="M31" s="115"/>
      <c r="N31" s="202"/>
      <c r="O31" s="202"/>
      <c r="P31" s="115"/>
      <c r="Q31" s="988" t="s">
        <v>70</v>
      </c>
      <c r="R31" s="989"/>
      <c r="S31" s="990"/>
      <c r="T31" s="982" t="s">
        <v>71</v>
      </c>
      <c r="U31" s="983"/>
      <c r="V31" s="984"/>
      <c r="W31" s="991" t="s">
        <v>86</v>
      </c>
      <c r="X31" s="992"/>
      <c r="Y31" s="993"/>
      <c r="Z31" s="985" t="s">
        <v>72</v>
      </c>
      <c r="AA31" s="986"/>
      <c r="AB31" s="987"/>
      <c r="AC31" s="207"/>
      <c r="AD31" s="207"/>
      <c r="AE31" s="110"/>
      <c r="AF31" s="100"/>
      <c r="AG31" s="100"/>
      <c r="AH31" s="100"/>
      <c r="AI31" s="100"/>
      <c r="AJ31" s="100"/>
    </row>
    <row r="32" spans="2:39" s="12" customFormat="1" ht="15" x14ac:dyDescent="0.2">
      <c r="B32" s="7"/>
      <c r="C32" s="7"/>
      <c r="D32" s="72"/>
      <c r="E32" s="6"/>
      <c r="F32" s="6"/>
      <c r="G32" s="76"/>
      <c r="H32" s="6"/>
      <c r="I32" s="6"/>
      <c r="J32" s="76"/>
      <c r="K32" s="8"/>
      <c r="L32" s="8"/>
      <c r="M32" s="79"/>
      <c r="N32" s="8"/>
      <c r="O32" s="8"/>
      <c r="P32" s="79"/>
      <c r="Q32" s="52">
        <v>14</v>
      </c>
      <c r="R32" s="124"/>
      <c r="S32" s="86" t="s">
        <v>206</v>
      </c>
      <c r="T32" s="243">
        <v>15</v>
      </c>
      <c r="U32" s="244"/>
      <c r="V32" s="781" t="s">
        <v>101</v>
      </c>
      <c r="W32" s="243">
        <v>16</v>
      </c>
      <c r="X32" s="244"/>
      <c r="Y32" s="245" t="s">
        <v>101</v>
      </c>
      <c r="Z32" s="52">
        <v>22</v>
      </c>
      <c r="AA32" s="124"/>
      <c r="AB32" s="86"/>
      <c r="AC32" s="57"/>
      <c r="AD32" s="57"/>
      <c r="AE32" s="82"/>
      <c r="AF32" s="13"/>
      <c r="AG32" s="13"/>
      <c r="AH32" s="13"/>
      <c r="AI32" s="13"/>
      <c r="AJ32" s="13"/>
    </row>
    <row r="33" spans="2:39" ht="24" customHeight="1" x14ac:dyDescent="0.2">
      <c r="B33" s="3"/>
      <c r="C33" s="3"/>
      <c r="D33" s="73"/>
      <c r="E33" s="203"/>
      <c r="F33" s="203"/>
      <c r="G33" s="77"/>
      <c r="H33" s="203"/>
      <c r="I33" s="203"/>
      <c r="J33" s="77"/>
      <c r="K33" s="862"/>
      <c r="L33" s="862"/>
      <c r="M33" s="862"/>
      <c r="N33" s="862"/>
      <c r="O33" s="862"/>
      <c r="P33" s="862"/>
      <c r="Q33" s="837" t="s">
        <v>47</v>
      </c>
      <c r="R33" s="977"/>
      <c r="S33" s="838"/>
      <c r="T33" s="837" t="s">
        <v>117</v>
      </c>
      <c r="U33" s="977"/>
      <c r="V33" s="838"/>
      <c r="W33" s="837" t="s">
        <v>49</v>
      </c>
      <c r="X33" s="977"/>
      <c r="Y33" s="838"/>
      <c r="Z33" s="837" t="s">
        <v>46</v>
      </c>
      <c r="AA33" s="977"/>
      <c r="AB33" s="838"/>
      <c r="AC33" s="200"/>
      <c r="AD33" s="200"/>
      <c r="AE33" s="87"/>
      <c r="AF33" s="11"/>
      <c r="AG33" s="11"/>
      <c r="AH33" s="11"/>
      <c r="AK33" s="9"/>
      <c r="AL33" s="9"/>
      <c r="AM33" s="9"/>
    </row>
    <row r="34" spans="2:39" s="14" customFormat="1" ht="36" customHeight="1" x14ac:dyDescent="0.15">
      <c r="B34" s="94"/>
      <c r="C34" s="94"/>
      <c r="D34" s="109"/>
      <c r="E34" s="206"/>
      <c r="F34" s="206"/>
      <c r="G34" s="111"/>
      <c r="H34" s="206"/>
      <c r="I34" s="206"/>
      <c r="J34" s="111"/>
      <c r="K34" s="861"/>
      <c r="L34" s="861"/>
      <c r="M34" s="861"/>
      <c r="N34" s="861"/>
      <c r="O34" s="861"/>
      <c r="P34" s="861"/>
      <c r="Q34" s="982" t="s">
        <v>85</v>
      </c>
      <c r="R34" s="983"/>
      <c r="S34" s="984"/>
      <c r="T34" s="982" t="s">
        <v>118</v>
      </c>
      <c r="U34" s="983"/>
      <c r="V34" s="984"/>
      <c r="W34" s="982" t="s">
        <v>73</v>
      </c>
      <c r="X34" s="983"/>
      <c r="Y34" s="984"/>
      <c r="Z34" s="985" t="s">
        <v>74</v>
      </c>
      <c r="AA34" s="986"/>
      <c r="AB34" s="987"/>
      <c r="AC34" s="207"/>
      <c r="AD34" s="207"/>
      <c r="AE34" s="110"/>
      <c r="AF34" s="100"/>
      <c r="AG34" s="100"/>
      <c r="AH34" s="100"/>
      <c r="AI34" s="100"/>
      <c r="AJ34" s="100"/>
    </row>
    <row r="35" spans="2:39" s="12" customFormat="1" ht="16" customHeight="1" x14ac:dyDescent="0.2">
      <c r="B35" s="7"/>
      <c r="C35" s="7"/>
      <c r="D35" s="72"/>
      <c r="E35" s="16">
        <v>22</v>
      </c>
      <c r="F35" s="751"/>
      <c r="G35" s="751"/>
      <c r="H35" s="686"/>
      <c r="I35" s="93" t="s">
        <v>253</v>
      </c>
      <c r="J35" s="959" t="s">
        <v>716</v>
      </c>
      <c r="K35" s="17">
        <v>13</v>
      </c>
      <c r="L35" s="1121" t="s">
        <v>256</v>
      </c>
      <c r="M35" s="1122"/>
      <c r="N35" s="17">
        <v>14</v>
      </c>
      <c r="O35" s="126"/>
      <c r="P35" s="78" t="s">
        <v>222</v>
      </c>
      <c r="Q35" s="57"/>
      <c r="R35" s="57"/>
      <c r="S35" s="82"/>
      <c r="T35" s="247">
        <v>23</v>
      </c>
      <c r="U35" s="248"/>
      <c r="V35" s="249"/>
      <c r="W35" s="250"/>
      <c r="X35" s="251" t="s">
        <v>95</v>
      </c>
      <c r="Y35" s="971" t="s">
        <v>89</v>
      </c>
      <c r="Z35" s="57"/>
      <c r="AA35" s="57"/>
      <c r="AB35" s="82"/>
      <c r="AC35" s="57"/>
      <c r="AD35" s="57"/>
      <c r="AE35" s="82"/>
      <c r="AF35" s="13"/>
      <c r="AG35" s="13"/>
      <c r="AH35" s="13"/>
      <c r="AI35" s="13"/>
      <c r="AJ35" s="13"/>
    </row>
    <row r="36" spans="2:39" ht="24" customHeight="1" x14ac:dyDescent="0.2">
      <c r="B36" s="3"/>
      <c r="C36" s="3"/>
      <c r="D36" s="73"/>
      <c r="E36" s="870" t="s">
        <v>2</v>
      </c>
      <c r="F36" s="871"/>
      <c r="G36" s="4"/>
      <c r="H36" s="679"/>
      <c r="I36" s="679"/>
      <c r="J36" s="960"/>
      <c r="K36" s="857" t="s">
        <v>36</v>
      </c>
      <c r="L36" s="862"/>
      <c r="M36" s="858"/>
      <c r="N36" s="857" t="s">
        <v>37</v>
      </c>
      <c r="O36" s="862"/>
      <c r="P36" s="858"/>
      <c r="Q36" s="200"/>
      <c r="R36" s="200"/>
      <c r="S36" s="83"/>
      <c r="T36" s="841" t="s">
        <v>45</v>
      </c>
      <c r="U36" s="925"/>
      <c r="V36" s="925"/>
      <c r="W36" s="925"/>
      <c r="X36" s="925"/>
      <c r="Y36" s="972"/>
      <c r="Z36" s="200"/>
      <c r="AA36" s="200"/>
      <c r="AB36" s="83"/>
      <c r="AC36" s="200"/>
      <c r="AD36" s="200"/>
      <c r="AE36" s="87"/>
      <c r="AF36" s="11"/>
      <c r="AG36" s="11"/>
      <c r="AH36" s="11"/>
      <c r="AK36" s="9"/>
      <c r="AL36" s="9"/>
      <c r="AM36" s="9"/>
    </row>
    <row r="37" spans="2:39" s="14" customFormat="1" ht="36" customHeight="1" x14ac:dyDescent="0.15">
      <c r="B37" s="94"/>
      <c r="C37" s="94"/>
      <c r="D37" s="109"/>
      <c r="E37" s="962"/>
      <c r="F37" s="963"/>
      <c r="G37" s="752"/>
      <c r="H37" s="682"/>
      <c r="I37" s="682"/>
      <c r="J37" s="961"/>
      <c r="K37" s="974" t="s">
        <v>75</v>
      </c>
      <c r="L37" s="975"/>
      <c r="M37" s="976"/>
      <c r="N37" s="974" t="s">
        <v>76</v>
      </c>
      <c r="O37" s="975"/>
      <c r="P37" s="976"/>
      <c r="Q37" s="207"/>
      <c r="R37" s="207"/>
      <c r="S37" s="110"/>
      <c r="T37" s="252"/>
      <c r="U37" s="253"/>
      <c r="V37" s="253"/>
      <c r="W37" s="253"/>
      <c r="X37" s="253"/>
      <c r="Y37" s="973"/>
      <c r="Z37" s="207"/>
      <c r="AA37" s="207"/>
      <c r="AB37" s="110"/>
      <c r="AC37" s="207"/>
      <c r="AD37" s="207"/>
      <c r="AE37" s="110"/>
      <c r="AF37" s="100"/>
      <c r="AG37" s="100"/>
      <c r="AH37" s="100"/>
      <c r="AI37" s="100"/>
      <c r="AJ37" s="100"/>
    </row>
    <row r="38" spans="2:39" s="118" customFormat="1" ht="5" customHeight="1" x14ac:dyDescent="0.15">
      <c r="B38" s="119"/>
      <c r="C38" s="119"/>
      <c r="D38" s="120"/>
      <c r="E38" s="119"/>
      <c r="F38" s="119"/>
      <c r="G38" s="120"/>
      <c r="H38" s="119"/>
      <c r="I38" s="119"/>
      <c r="J38" s="120"/>
      <c r="K38" s="119"/>
      <c r="L38" s="119"/>
      <c r="M38" s="120"/>
      <c r="N38" s="119"/>
      <c r="O38" s="119"/>
      <c r="P38" s="120"/>
      <c r="Q38" s="119"/>
      <c r="R38" s="119"/>
      <c r="S38" s="120"/>
      <c r="T38" s="119"/>
      <c r="U38" s="119"/>
      <c r="V38" s="119"/>
      <c r="W38" s="119"/>
      <c r="X38" s="119"/>
      <c r="Y38" s="119"/>
      <c r="Z38" s="119"/>
      <c r="AA38" s="119"/>
      <c r="AB38" s="120"/>
      <c r="AC38" s="119"/>
      <c r="AD38" s="119"/>
      <c r="AE38" s="120"/>
      <c r="AF38" s="119"/>
      <c r="AG38" s="119"/>
      <c r="AH38" s="120"/>
      <c r="AI38" s="119"/>
      <c r="AJ38" s="119"/>
      <c r="AK38" s="119"/>
      <c r="AL38" s="119"/>
      <c r="AM38" s="119"/>
    </row>
    <row r="39" spans="2:39" ht="19" customHeight="1" x14ac:dyDescent="0.2">
      <c r="B39" s="912" t="s">
        <v>92</v>
      </c>
      <c r="C39" s="913"/>
      <c r="D39" s="913"/>
      <c r="E39" s="914" t="s">
        <v>91</v>
      </c>
      <c r="F39" s="914"/>
      <c r="G39" s="914"/>
      <c r="H39" s="914"/>
      <c r="I39" s="914"/>
      <c r="J39" s="914"/>
      <c r="K39" s="922" t="s">
        <v>128</v>
      </c>
      <c r="L39" s="922"/>
      <c r="M39" s="922"/>
      <c r="N39" s="965" t="s">
        <v>129</v>
      </c>
      <c r="O39" s="965"/>
      <c r="P39" s="966"/>
      <c r="Q39" s="916" t="s">
        <v>130</v>
      </c>
      <c r="R39" s="916"/>
      <c r="S39" s="916"/>
      <c r="T39" s="899" t="s">
        <v>128</v>
      </c>
      <c r="U39" s="899"/>
      <c r="V39" s="899"/>
      <c r="W39" s="917" t="s">
        <v>91</v>
      </c>
      <c r="X39" s="917"/>
      <c r="Y39" s="917"/>
      <c r="Z39" s="928" t="s">
        <v>92</v>
      </c>
      <c r="AA39" s="928"/>
      <c r="AB39" s="928"/>
      <c r="AC39" s="935" t="s">
        <v>93</v>
      </c>
      <c r="AD39" s="935"/>
      <c r="AE39" s="936"/>
      <c r="AF39" s="11"/>
      <c r="AG39" s="11"/>
      <c r="AH39" s="11"/>
      <c r="AK39" s="9"/>
      <c r="AL39" s="9"/>
      <c r="AM39" s="9"/>
    </row>
    <row r="40" spans="2:39" ht="16" x14ac:dyDescent="0.2">
      <c r="B40" s="964" t="str">
        <f>'1.PToPI plain'!B40:U40</f>
        <v>PToPI, Periodic Table of Performance Instruments: 29 measures and 28 metrics. Online: github.com/gurol/ptopi by (CC) Gürol CANBEK v4.4.13, July 2020</v>
      </c>
      <c r="C40" s="964"/>
      <c r="D40" s="964"/>
      <c r="E40" s="964"/>
      <c r="F40" s="964"/>
      <c r="G40" s="964"/>
      <c r="H40" s="964"/>
      <c r="I40" s="964"/>
      <c r="J40" s="964"/>
      <c r="K40" s="964"/>
      <c r="L40" s="964"/>
      <c r="M40" s="964"/>
      <c r="N40" s="964"/>
      <c r="O40" s="964"/>
      <c r="P40" s="964"/>
      <c r="Q40" s="964"/>
      <c r="R40" s="964"/>
      <c r="S40" s="964"/>
      <c r="T40" s="964"/>
      <c r="U40" s="964"/>
      <c r="V40" s="964"/>
      <c r="W40" s="964"/>
      <c r="X40" s="964"/>
      <c r="Y40" s="964"/>
      <c r="Z40" s="964"/>
      <c r="AA40" s="964"/>
      <c r="AB40" s="964"/>
      <c r="AC40" s="964"/>
      <c r="AD40" s="964"/>
      <c r="AE40" s="964"/>
      <c r="AF40" s="314"/>
      <c r="AG40" s="314"/>
      <c r="AH40" s="314"/>
      <c r="AI40" s="116"/>
      <c r="AJ40" s="116"/>
      <c r="AK40" s="116"/>
      <c r="AL40" s="116"/>
    </row>
    <row r="41" spans="2:39" ht="17" customHeight="1" x14ac:dyDescent="0.2">
      <c r="B41" s="883" t="str">
        <f>'1.PToPI plain'!B41:K41</f>
        <v>PToPI by Gürol Canbek is licensed under CC BY-NC-ND 4.0</v>
      </c>
      <c r="C41" s="883"/>
      <c r="D41" s="883"/>
      <c r="E41" s="883"/>
      <c r="F41" s="883"/>
      <c r="G41" s="883"/>
      <c r="H41" s="883"/>
      <c r="I41" s="883"/>
      <c r="J41" s="883"/>
      <c r="K41" s="883"/>
      <c r="L41" s="883"/>
      <c r="M41" s="883"/>
      <c r="N41" s="883"/>
      <c r="O41" s="883"/>
      <c r="P41" s="883"/>
      <c r="Q41" s="313"/>
      <c r="R41" s="313"/>
      <c r="S41" s="532" t="s">
        <v>423</v>
      </c>
      <c r="T41" s="313"/>
      <c r="U41" s="313"/>
      <c r="V41" s="315"/>
      <c r="W41" s="315"/>
      <c r="X41" s="315"/>
      <c r="Y41" s="315"/>
      <c r="Z41" s="315"/>
      <c r="AA41" s="315"/>
      <c r="AB41" s="315"/>
      <c r="AC41" s="315"/>
      <c r="AD41" s="315"/>
      <c r="AE41" s="315"/>
      <c r="AF41" s="315"/>
      <c r="AG41" s="315"/>
      <c r="AH41" s="315"/>
      <c r="AI41" s="117"/>
      <c r="AJ41" s="117"/>
      <c r="AK41" s="117"/>
      <c r="AL41" s="117"/>
    </row>
  </sheetData>
  <mergeCells count="155">
    <mergeCell ref="Y2:Y4"/>
    <mergeCell ref="T3:U3"/>
    <mergeCell ref="V3:X3"/>
    <mergeCell ref="S11:S13"/>
    <mergeCell ref="B41:P41"/>
    <mergeCell ref="B3:C3"/>
    <mergeCell ref="G5:G7"/>
    <mergeCell ref="E6:F6"/>
    <mergeCell ref="J11:J13"/>
    <mergeCell ref="H12:I12"/>
    <mergeCell ref="D2:D4"/>
    <mergeCell ref="E12:F12"/>
    <mergeCell ref="G11:G13"/>
    <mergeCell ref="H6:I6"/>
    <mergeCell ref="E9:F9"/>
    <mergeCell ref="G8:G10"/>
    <mergeCell ref="J8:J10"/>
    <mergeCell ref="L35:M35"/>
    <mergeCell ref="E19:G21"/>
    <mergeCell ref="K15:L15"/>
    <mergeCell ref="E14:J14"/>
    <mergeCell ref="W9:X9"/>
    <mergeCell ref="Y11:Y13"/>
    <mergeCell ref="Y5:Y7"/>
    <mergeCell ref="H9:I9"/>
    <mergeCell ref="K12:M12"/>
    <mergeCell ref="T12:V12"/>
    <mergeCell ref="AC18:AE18"/>
    <mergeCell ref="Z15:AB15"/>
    <mergeCell ref="AC15:AE15"/>
    <mergeCell ref="Z16:AB16"/>
    <mergeCell ref="AC16:AE16"/>
    <mergeCell ref="M17:M19"/>
    <mergeCell ref="P17:P19"/>
    <mergeCell ref="V17:V19"/>
    <mergeCell ref="Y17:Y19"/>
    <mergeCell ref="Z19:AB19"/>
    <mergeCell ref="AC19:AE19"/>
    <mergeCell ref="M14:M16"/>
    <mergeCell ref="P14:P16"/>
    <mergeCell ref="V14:V16"/>
    <mergeCell ref="Y14:Y16"/>
    <mergeCell ref="K18:L18"/>
    <mergeCell ref="AD14:AE14"/>
    <mergeCell ref="AD17:AE17"/>
    <mergeCell ref="AA17:AB17"/>
    <mergeCell ref="AA14:AB14"/>
    <mergeCell ref="T15:U15"/>
    <mergeCell ref="J5:J7"/>
    <mergeCell ref="Z12:AB12"/>
    <mergeCell ref="K13:M13"/>
    <mergeCell ref="T13:V13"/>
    <mergeCell ref="Z13:AB13"/>
    <mergeCell ref="Z10:AA10"/>
    <mergeCell ref="AB5:AB7"/>
    <mergeCell ref="Z7:AA7"/>
    <mergeCell ref="S5:S7"/>
    <mergeCell ref="Q7:R7"/>
    <mergeCell ref="Q6:R6"/>
    <mergeCell ref="S8:S10"/>
    <mergeCell ref="Q9:R9"/>
    <mergeCell ref="Q10:R10"/>
    <mergeCell ref="T6:X6"/>
    <mergeCell ref="T7:X7"/>
    <mergeCell ref="Q12:R12"/>
    <mergeCell ref="W12:X12"/>
    <mergeCell ref="V8:V10"/>
    <mergeCell ref="Y8:Y10"/>
    <mergeCell ref="T9:U9"/>
    <mergeCell ref="AA11:AB11"/>
    <mergeCell ref="AB8:AB10"/>
    <mergeCell ref="Z9:AA9"/>
    <mergeCell ref="AD20:AE20"/>
    <mergeCell ref="AC21:AE21"/>
    <mergeCell ref="AC22:AE22"/>
    <mergeCell ref="N18:O18"/>
    <mergeCell ref="T18:U18"/>
    <mergeCell ref="W18:X18"/>
    <mergeCell ref="Z18:AB18"/>
    <mergeCell ref="Q21:S21"/>
    <mergeCell ref="T21:V21"/>
    <mergeCell ref="W21:Y21"/>
    <mergeCell ref="M23:M25"/>
    <mergeCell ref="P23:P25"/>
    <mergeCell ref="K24:L24"/>
    <mergeCell ref="N24:O24"/>
    <mergeCell ref="Q24:S24"/>
    <mergeCell ref="W15:X15"/>
    <mergeCell ref="N15:O15"/>
    <mergeCell ref="Z21:AB21"/>
    <mergeCell ref="Q22:S22"/>
    <mergeCell ref="T22:V22"/>
    <mergeCell ref="W22:Y22"/>
    <mergeCell ref="Z22:AB22"/>
    <mergeCell ref="Z31:AB31"/>
    <mergeCell ref="K34:M34"/>
    <mergeCell ref="N34:P34"/>
    <mergeCell ref="Q34:S34"/>
    <mergeCell ref="T34:V34"/>
    <mergeCell ref="AC25:AE25"/>
    <mergeCell ref="H26:J28"/>
    <mergeCell ref="M26:M28"/>
    <mergeCell ref="P26:P28"/>
    <mergeCell ref="Z26:AB26"/>
    <mergeCell ref="AC26:AE27"/>
    <mergeCell ref="K27:L27"/>
    <mergeCell ref="N27:O27"/>
    <mergeCell ref="Q27:S27"/>
    <mergeCell ref="T27:V27"/>
    <mergeCell ref="W27:Y27"/>
    <mergeCell ref="Q28:S28"/>
    <mergeCell ref="T28:V28"/>
    <mergeCell ref="W28:Y28"/>
    <mergeCell ref="H25:J25"/>
    <mergeCell ref="Q25:S25"/>
    <mergeCell ref="T25:V25"/>
    <mergeCell ref="W25:Y25"/>
    <mergeCell ref="Z25:AB25"/>
    <mergeCell ref="AA29:AB29"/>
    <mergeCell ref="W24:Y24"/>
    <mergeCell ref="T24:V24"/>
    <mergeCell ref="Y35:Y37"/>
    <mergeCell ref="K36:M36"/>
    <mergeCell ref="N36:P36"/>
    <mergeCell ref="T36:X36"/>
    <mergeCell ref="K37:M37"/>
    <mergeCell ref="N37:P37"/>
    <mergeCell ref="Z33:AB33"/>
    <mergeCell ref="Q30:S30"/>
    <mergeCell ref="T30:V30"/>
    <mergeCell ref="W30:Y30"/>
    <mergeCell ref="Z30:AB30"/>
    <mergeCell ref="W34:Y34"/>
    <mergeCell ref="K33:M33"/>
    <mergeCell ref="N33:P33"/>
    <mergeCell ref="Q33:S33"/>
    <mergeCell ref="T33:V33"/>
    <mergeCell ref="W33:Y33"/>
    <mergeCell ref="Z34:AB34"/>
    <mergeCell ref="Q31:S31"/>
    <mergeCell ref="T31:V31"/>
    <mergeCell ref="W31:Y31"/>
    <mergeCell ref="J35:J37"/>
    <mergeCell ref="E36:F36"/>
    <mergeCell ref="E37:F37"/>
    <mergeCell ref="B40:AE40"/>
    <mergeCell ref="W39:Y39"/>
    <mergeCell ref="Z39:AB39"/>
    <mergeCell ref="AC39:AE39"/>
    <mergeCell ref="B39:D39"/>
    <mergeCell ref="E39:J39"/>
    <mergeCell ref="K39:M39"/>
    <mergeCell ref="N39:P39"/>
    <mergeCell ref="Q39:S39"/>
    <mergeCell ref="T39:V39"/>
  </mergeCells>
  <hyperlinks>
    <hyperlink ref="S41" location="'licence for use'!A1" display="See &quot;Licence for use&quot;" xr:uid="{00000000-0004-0000-0100-000000000000}"/>
  </hyperlinks>
  <pageMargins left="0.25" right="0.25" top="0.75" bottom="0.75" header="0.3" footer="0.3"/>
  <pageSetup paperSize="9" scale="54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249977111117893"/>
  </sheetPr>
  <dimension ref="A1:W60"/>
  <sheetViews>
    <sheetView workbookViewId="0">
      <pane xSplit="4" ySplit="2" topLeftCell="F3" activePane="bottomRight" state="frozenSplit"/>
      <selection pane="topRight" activeCell="E1" sqref="E1"/>
      <selection pane="bottomLeft" activeCell="A2" sqref="A2"/>
      <selection pane="bottomRight" activeCell="J52" sqref="J52"/>
    </sheetView>
  </sheetViews>
  <sheetFormatPr baseColWidth="10" defaultColWidth="11" defaultRowHeight="16" x14ac:dyDescent="0.2"/>
  <cols>
    <col min="1" max="1" width="8.83203125" style="140" bestFit="1" customWidth="1"/>
    <col min="2" max="2" width="5.1640625" style="140" bestFit="1" customWidth="1"/>
    <col min="3" max="3" width="5.1640625" style="140" customWidth="1"/>
    <col min="4" max="4" width="9.83203125" style="159" bestFit="1" customWidth="1"/>
    <col min="5" max="5" width="29.1640625" style="159" customWidth="1"/>
    <col min="6" max="6" width="10.83203125" style="178" customWidth="1"/>
    <col min="7" max="7" width="12.1640625" style="178" customWidth="1"/>
    <col min="8" max="8" width="10.83203125" style="178" customWidth="1"/>
    <col min="9" max="9" width="9.5" style="180" customWidth="1"/>
    <col min="10" max="10" width="30.1640625" style="140" bestFit="1" customWidth="1"/>
    <col min="11" max="11" width="50.33203125" style="140" bestFit="1" customWidth="1"/>
    <col min="12" max="12" width="5" style="140" bestFit="1" customWidth="1"/>
    <col min="13" max="13" width="7.33203125" style="496" bestFit="1" customWidth="1"/>
    <col min="14" max="15" width="7.33203125" style="496" customWidth="1"/>
    <col min="16" max="16" width="11" style="140"/>
    <col min="17" max="17" width="14.5" style="140" bestFit="1" customWidth="1"/>
    <col min="18" max="19" width="14.1640625" style="140" customWidth="1"/>
    <col min="20" max="20" width="20.1640625" style="140" customWidth="1"/>
    <col min="21" max="21" width="23" style="140" customWidth="1"/>
    <col min="22" max="22" width="34.83203125" style="770" customWidth="1"/>
    <col min="23" max="16384" width="11" style="140"/>
  </cols>
  <sheetData>
    <row r="1" spans="1:23" x14ac:dyDescent="0.2">
      <c r="A1" s="496" t="s">
        <v>213</v>
      </c>
      <c r="B1" s="777">
        <f>E1+G1</f>
        <v>57</v>
      </c>
      <c r="D1" s="496" t="s">
        <v>727</v>
      </c>
      <c r="E1" s="777">
        <f>COUNTIF($A$2:$A$200,D1)</f>
        <v>29</v>
      </c>
      <c r="F1" s="496" t="s">
        <v>164</v>
      </c>
      <c r="G1" s="777">
        <f>COUNTIF($A$2:$A$200,F1)</f>
        <v>28</v>
      </c>
      <c r="K1" s="140" t="s">
        <v>770</v>
      </c>
      <c r="L1" s="140" t="str">
        <f>B1+SUM(W:W)&amp;" ("&amp;SUM(W:W)&amp;")"</f>
        <v>69 (12)</v>
      </c>
    </row>
    <row r="2" spans="1:23" s="504" customFormat="1" ht="31" customHeight="1" x14ac:dyDescent="0.2">
      <c r="A2" s="498" t="s">
        <v>264</v>
      </c>
      <c r="B2" s="498" t="s">
        <v>139</v>
      </c>
      <c r="C2" s="498" t="s">
        <v>140</v>
      </c>
      <c r="D2" s="381" t="s">
        <v>141</v>
      </c>
      <c r="E2" s="381" t="s">
        <v>152</v>
      </c>
      <c r="F2" s="499" t="s">
        <v>265</v>
      </c>
      <c r="G2" s="499" t="s">
        <v>182</v>
      </c>
      <c r="H2" s="499" t="s">
        <v>183</v>
      </c>
      <c r="I2" s="500" t="s">
        <v>186</v>
      </c>
      <c r="J2" s="498" t="s">
        <v>151</v>
      </c>
      <c r="K2" s="498" t="s">
        <v>142</v>
      </c>
      <c r="L2" s="498" t="s">
        <v>102</v>
      </c>
      <c r="M2" s="501" t="s">
        <v>196</v>
      </c>
      <c r="N2" s="502" t="s">
        <v>395</v>
      </c>
      <c r="O2" s="502" t="s">
        <v>396</v>
      </c>
      <c r="P2" s="498" t="s">
        <v>195</v>
      </c>
      <c r="Q2" s="498"/>
      <c r="R2" s="503" t="s">
        <v>748</v>
      </c>
      <c r="S2" s="503" t="s">
        <v>749</v>
      </c>
      <c r="T2" s="503" t="s">
        <v>219</v>
      </c>
      <c r="U2" s="503" t="s">
        <v>208</v>
      </c>
      <c r="V2" s="503" t="s">
        <v>728</v>
      </c>
      <c r="W2" s="503" t="s">
        <v>769</v>
      </c>
    </row>
    <row r="3" spans="1:23" ht="17" x14ac:dyDescent="0.2">
      <c r="A3" s="140" t="s">
        <v>727</v>
      </c>
      <c r="B3" s="142" t="s">
        <v>137</v>
      </c>
      <c r="C3" s="143">
        <v>1</v>
      </c>
      <c r="D3" s="145" t="s">
        <v>20</v>
      </c>
      <c r="E3" s="159" t="s">
        <v>407</v>
      </c>
      <c r="F3" s="185"/>
      <c r="G3" s="164"/>
      <c r="H3" s="164"/>
      <c r="I3" s="179" t="s">
        <v>187</v>
      </c>
      <c r="J3" s="146" t="s">
        <v>136</v>
      </c>
      <c r="K3" s="140" t="s">
        <v>202</v>
      </c>
      <c r="M3" s="496" t="s">
        <v>101</v>
      </c>
      <c r="N3" s="497"/>
      <c r="O3" s="497"/>
      <c r="P3" s="140" t="s">
        <v>193</v>
      </c>
      <c r="Q3" s="140" t="s">
        <v>750</v>
      </c>
      <c r="R3" s="140" t="s">
        <v>590</v>
      </c>
      <c r="S3" s="140" t="s">
        <v>590</v>
      </c>
    </row>
    <row r="4" spans="1:23" ht="17" x14ac:dyDescent="0.2">
      <c r="A4" s="140" t="s">
        <v>727</v>
      </c>
      <c r="B4" s="142" t="s">
        <v>137</v>
      </c>
      <c r="C4" s="143">
        <v>2</v>
      </c>
      <c r="D4" s="147" t="s">
        <v>21</v>
      </c>
      <c r="E4" s="159" t="s">
        <v>407</v>
      </c>
      <c r="F4" s="186"/>
      <c r="G4" s="165"/>
      <c r="H4" s="165"/>
      <c r="I4" s="179" t="s">
        <v>187</v>
      </c>
      <c r="J4" s="146" t="s">
        <v>134</v>
      </c>
      <c r="K4" s="140" t="s">
        <v>204</v>
      </c>
      <c r="M4" s="496" t="s">
        <v>101</v>
      </c>
      <c r="N4" s="497" t="s">
        <v>220</v>
      </c>
      <c r="O4" s="497"/>
      <c r="P4" s="140" t="s">
        <v>193</v>
      </c>
      <c r="Q4" s="140" t="s">
        <v>750</v>
      </c>
      <c r="R4" s="140" t="s">
        <v>590</v>
      </c>
      <c r="S4" s="140" t="s">
        <v>590</v>
      </c>
    </row>
    <row r="5" spans="1:23" ht="17" x14ac:dyDescent="0.2">
      <c r="A5" s="140" t="s">
        <v>727</v>
      </c>
      <c r="B5" s="142" t="s">
        <v>137</v>
      </c>
      <c r="C5" s="143">
        <v>3</v>
      </c>
      <c r="D5" s="148" t="s">
        <v>22</v>
      </c>
      <c r="E5" s="159" t="s">
        <v>407</v>
      </c>
      <c r="F5" s="187"/>
      <c r="G5" s="166"/>
      <c r="H5" s="166"/>
      <c r="I5" s="179" t="s">
        <v>187</v>
      </c>
      <c r="J5" s="146" t="s">
        <v>133</v>
      </c>
      <c r="K5" s="140" t="s">
        <v>205</v>
      </c>
      <c r="M5" s="496" t="s">
        <v>101</v>
      </c>
      <c r="N5" s="497"/>
      <c r="O5" s="497" t="s">
        <v>221</v>
      </c>
      <c r="P5" s="140" t="s">
        <v>193</v>
      </c>
      <c r="Q5" s="140" t="s">
        <v>750</v>
      </c>
      <c r="R5" s="140" t="s">
        <v>590</v>
      </c>
      <c r="S5" s="140" t="s">
        <v>590</v>
      </c>
    </row>
    <row r="6" spans="1:23" ht="17" x14ac:dyDescent="0.2">
      <c r="A6" s="140" t="s">
        <v>727</v>
      </c>
      <c r="B6" s="142" t="s">
        <v>137</v>
      </c>
      <c r="C6" s="143">
        <v>4</v>
      </c>
      <c r="D6" s="149" t="s">
        <v>23</v>
      </c>
      <c r="E6" s="159" t="s">
        <v>407</v>
      </c>
      <c r="F6" s="188"/>
      <c r="G6" s="167"/>
      <c r="H6" s="167"/>
      <c r="I6" s="179" t="s">
        <v>187</v>
      </c>
      <c r="J6" s="146" t="s">
        <v>135</v>
      </c>
      <c r="K6" s="140" t="s">
        <v>203</v>
      </c>
      <c r="M6" s="496" t="s">
        <v>101</v>
      </c>
      <c r="N6" s="497"/>
      <c r="O6" s="497"/>
      <c r="P6" s="140" t="s">
        <v>193</v>
      </c>
      <c r="Q6" s="140" t="s">
        <v>750</v>
      </c>
      <c r="R6" s="140" t="s">
        <v>590</v>
      </c>
      <c r="S6" s="140" t="s">
        <v>590</v>
      </c>
    </row>
    <row r="7" spans="1:23" ht="17" x14ac:dyDescent="0.2">
      <c r="A7" s="140" t="s">
        <v>727</v>
      </c>
      <c r="B7" s="144" t="s">
        <v>150</v>
      </c>
      <c r="C7" s="143">
        <v>5</v>
      </c>
      <c r="D7" s="150" t="s">
        <v>15</v>
      </c>
      <c r="E7" s="159" t="s">
        <v>407</v>
      </c>
      <c r="F7" s="189"/>
      <c r="G7" s="168"/>
      <c r="H7" s="168"/>
      <c r="I7" s="179" t="s">
        <v>188</v>
      </c>
      <c r="J7" s="146" t="s">
        <v>144</v>
      </c>
      <c r="M7" s="496" t="s">
        <v>101</v>
      </c>
      <c r="N7" s="497"/>
      <c r="O7" s="497"/>
      <c r="P7" s="140" t="s">
        <v>193</v>
      </c>
      <c r="Q7" s="140" t="s">
        <v>750</v>
      </c>
      <c r="R7" s="140" t="s">
        <v>590</v>
      </c>
      <c r="S7" s="140" t="s">
        <v>590</v>
      </c>
    </row>
    <row r="8" spans="1:23" ht="17" x14ac:dyDescent="0.2">
      <c r="A8" s="140" t="s">
        <v>727</v>
      </c>
      <c r="B8" s="144" t="s">
        <v>150</v>
      </c>
      <c r="C8" s="143">
        <v>6</v>
      </c>
      <c r="D8" s="151" t="s">
        <v>16</v>
      </c>
      <c r="E8" s="159" t="s">
        <v>407</v>
      </c>
      <c r="F8" s="190"/>
      <c r="G8" s="169"/>
      <c r="H8" s="169"/>
      <c r="I8" s="179" t="s">
        <v>188</v>
      </c>
      <c r="J8" s="146" t="s">
        <v>143</v>
      </c>
      <c r="M8" s="496" t="s">
        <v>101</v>
      </c>
      <c r="N8" s="497"/>
      <c r="O8" s="497"/>
      <c r="P8" s="140" t="s">
        <v>193</v>
      </c>
      <c r="Q8" s="140" t="s">
        <v>750</v>
      </c>
      <c r="R8" s="140" t="s">
        <v>590</v>
      </c>
      <c r="S8" s="140" t="s">
        <v>590</v>
      </c>
    </row>
    <row r="9" spans="1:23" ht="17" x14ac:dyDescent="0.2">
      <c r="A9" s="140" t="s">
        <v>727</v>
      </c>
      <c r="B9" s="144" t="s">
        <v>150</v>
      </c>
      <c r="C9" s="143">
        <v>7</v>
      </c>
      <c r="D9" s="152" t="s">
        <v>18</v>
      </c>
      <c r="E9" s="159" t="s">
        <v>407</v>
      </c>
      <c r="F9" s="191"/>
      <c r="G9" s="170"/>
      <c r="H9" s="170"/>
      <c r="I9" s="179" t="s">
        <v>189</v>
      </c>
      <c r="J9" s="146" t="s">
        <v>146</v>
      </c>
      <c r="M9" s="496" t="s">
        <v>101</v>
      </c>
      <c r="N9" s="497"/>
      <c r="O9" s="497"/>
      <c r="P9" s="140" t="s">
        <v>193</v>
      </c>
      <c r="Q9" s="140" t="s">
        <v>750</v>
      </c>
      <c r="R9" s="140" t="s">
        <v>590</v>
      </c>
      <c r="S9" s="140" t="s">
        <v>590</v>
      </c>
    </row>
    <row r="10" spans="1:23" ht="17" x14ac:dyDescent="0.2">
      <c r="A10" s="140" t="s">
        <v>727</v>
      </c>
      <c r="B10" s="144" t="s">
        <v>150</v>
      </c>
      <c r="C10" s="143">
        <v>8</v>
      </c>
      <c r="D10" s="153" t="s">
        <v>19</v>
      </c>
      <c r="E10" s="159" t="s">
        <v>407</v>
      </c>
      <c r="F10" s="192"/>
      <c r="G10" s="171"/>
      <c r="H10" s="171"/>
      <c r="I10" s="179" t="s">
        <v>189</v>
      </c>
      <c r="J10" s="146" t="s">
        <v>145</v>
      </c>
      <c r="M10" s="496" t="s">
        <v>101</v>
      </c>
      <c r="N10" s="497"/>
      <c r="O10" s="497"/>
      <c r="P10" s="140" t="s">
        <v>193</v>
      </c>
      <c r="Q10" s="140" t="s">
        <v>750</v>
      </c>
      <c r="R10" s="140" t="s">
        <v>590</v>
      </c>
      <c r="S10" s="140" t="s">
        <v>590</v>
      </c>
    </row>
    <row r="11" spans="1:23" ht="17" x14ac:dyDescent="0.2">
      <c r="A11" s="140" t="s">
        <v>727</v>
      </c>
      <c r="B11" s="144" t="s">
        <v>150</v>
      </c>
      <c r="C11" s="143">
        <v>9</v>
      </c>
      <c r="D11" s="154" t="s">
        <v>14</v>
      </c>
      <c r="E11" s="159" t="s">
        <v>407</v>
      </c>
      <c r="F11" s="193"/>
      <c r="G11" s="172"/>
      <c r="H11" s="172"/>
      <c r="I11" s="179" t="s">
        <v>187</v>
      </c>
      <c r="J11" s="146" t="s">
        <v>148</v>
      </c>
      <c r="M11" s="496" t="s">
        <v>101</v>
      </c>
      <c r="N11" s="497"/>
      <c r="O11" s="497"/>
      <c r="P11" s="140" t="s">
        <v>193</v>
      </c>
      <c r="Q11" s="140" t="s">
        <v>750</v>
      </c>
      <c r="R11" s="140" t="s">
        <v>590</v>
      </c>
      <c r="S11" s="140" t="s">
        <v>590</v>
      </c>
    </row>
    <row r="12" spans="1:23" ht="17" x14ac:dyDescent="0.2">
      <c r="A12" s="140" t="s">
        <v>727</v>
      </c>
      <c r="B12" s="144" t="s">
        <v>150</v>
      </c>
      <c r="C12" s="143">
        <v>10</v>
      </c>
      <c r="D12" s="155" t="s">
        <v>17</v>
      </c>
      <c r="E12" s="159" t="s">
        <v>407</v>
      </c>
      <c r="F12" s="194"/>
      <c r="G12" s="173"/>
      <c r="H12" s="173"/>
      <c r="I12" s="179" t="s">
        <v>187</v>
      </c>
      <c r="J12" s="146" t="s">
        <v>147</v>
      </c>
      <c r="M12" s="496" t="s">
        <v>101</v>
      </c>
      <c r="N12" s="497"/>
      <c r="O12" s="497"/>
      <c r="P12" s="140" t="s">
        <v>193</v>
      </c>
      <c r="Q12" s="140" t="s">
        <v>750</v>
      </c>
      <c r="R12" s="140" t="s">
        <v>590</v>
      </c>
      <c r="S12" s="140" t="s">
        <v>590</v>
      </c>
    </row>
    <row r="13" spans="1:23" ht="17" x14ac:dyDescent="0.2">
      <c r="A13" s="140" t="s">
        <v>727</v>
      </c>
      <c r="B13" s="144" t="s">
        <v>150</v>
      </c>
      <c r="C13" s="143">
        <v>11</v>
      </c>
      <c r="D13" s="156" t="s">
        <v>28</v>
      </c>
      <c r="E13" s="159" t="s">
        <v>407</v>
      </c>
      <c r="F13" s="195"/>
      <c r="G13" s="174"/>
      <c r="H13" s="174"/>
      <c r="I13" s="179" t="s">
        <v>187</v>
      </c>
      <c r="J13" s="146" t="s">
        <v>149</v>
      </c>
      <c r="M13" s="496" t="s">
        <v>101</v>
      </c>
      <c r="N13" s="497"/>
      <c r="O13" s="497"/>
      <c r="P13" s="140" t="s">
        <v>193</v>
      </c>
      <c r="Q13" s="140" t="s">
        <v>750</v>
      </c>
      <c r="R13" s="140" t="s">
        <v>590</v>
      </c>
      <c r="S13" s="140" t="s">
        <v>590</v>
      </c>
    </row>
    <row r="14" spans="1:23" ht="17" x14ac:dyDescent="0.2">
      <c r="A14" s="140" t="s">
        <v>727</v>
      </c>
      <c r="B14" s="161" t="s">
        <v>156</v>
      </c>
      <c r="C14" s="143">
        <v>12</v>
      </c>
      <c r="D14" s="157" t="s">
        <v>29</v>
      </c>
      <c r="E14" s="159" t="s">
        <v>407</v>
      </c>
      <c r="G14" s="198" t="s">
        <v>48</v>
      </c>
      <c r="H14" s="197" t="s">
        <v>30</v>
      </c>
      <c r="I14" s="180" t="s">
        <v>188</v>
      </c>
      <c r="J14" s="140" t="s">
        <v>71</v>
      </c>
      <c r="M14" s="505" t="s">
        <v>199</v>
      </c>
      <c r="N14" s="497"/>
      <c r="O14" s="497"/>
      <c r="P14" s="140" t="s">
        <v>194</v>
      </c>
      <c r="R14" s="140" t="s">
        <v>590</v>
      </c>
      <c r="S14" s="140" t="s">
        <v>590</v>
      </c>
    </row>
    <row r="15" spans="1:23" ht="17" x14ac:dyDescent="0.2">
      <c r="A15" s="140" t="s">
        <v>727</v>
      </c>
      <c r="B15" s="161" t="s">
        <v>156</v>
      </c>
      <c r="C15" s="143">
        <v>13</v>
      </c>
      <c r="D15" s="158" t="s">
        <v>48</v>
      </c>
      <c r="E15" s="382" t="s">
        <v>407</v>
      </c>
      <c r="F15" s="196"/>
      <c r="G15" s="198" t="s">
        <v>29</v>
      </c>
      <c r="H15" s="176"/>
      <c r="I15" s="179" t="s">
        <v>188</v>
      </c>
      <c r="J15" s="140" t="s">
        <v>86</v>
      </c>
      <c r="M15" s="505" t="s">
        <v>199</v>
      </c>
      <c r="N15" s="497"/>
      <c r="O15" s="497"/>
      <c r="P15" s="140" t="s">
        <v>194</v>
      </c>
      <c r="R15" s="140" t="s">
        <v>590</v>
      </c>
      <c r="S15" s="140" t="s">
        <v>590</v>
      </c>
    </row>
    <row r="16" spans="1:23" x14ac:dyDescent="0.2">
      <c r="A16" s="140" t="s">
        <v>727</v>
      </c>
      <c r="B16" s="161" t="s">
        <v>156</v>
      </c>
      <c r="C16" s="143">
        <v>14</v>
      </c>
      <c r="D16" s="157" t="s">
        <v>47</v>
      </c>
      <c r="E16" s="159" t="s">
        <v>407</v>
      </c>
      <c r="G16" s="175"/>
      <c r="H16" s="175"/>
      <c r="I16" s="180" t="s">
        <v>188</v>
      </c>
      <c r="J16" s="140" t="s">
        <v>85</v>
      </c>
      <c r="K16" s="140" t="s">
        <v>155</v>
      </c>
      <c r="M16" s="497" t="s">
        <v>206</v>
      </c>
      <c r="N16" s="497"/>
      <c r="O16" s="497"/>
      <c r="P16" s="140" t="s">
        <v>194</v>
      </c>
      <c r="R16" s="140" t="s">
        <v>590</v>
      </c>
      <c r="S16" s="140" t="s">
        <v>590</v>
      </c>
    </row>
    <row r="17" spans="1:23" x14ac:dyDescent="0.2">
      <c r="A17" s="140" t="s">
        <v>727</v>
      </c>
      <c r="B17" s="161" t="s">
        <v>156</v>
      </c>
      <c r="C17" s="143">
        <v>15</v>
      </c>
      <c r="D17" s="157" t="s">
        <v>117</v>
      </c>
      <c r="E17" s="159" t="s">
        <v>407</v>
      </c>
      <c r="G17" s="175"/>
      <c r="H17" s="175"/>
      <c r="I17" s="180" t="s">
        <v>188</v>
      </c>
      <c r="J17" s="140" t="s">
        <v>118</v>
      </c>
      <c r="M17" s="505" t="s">
        <v>199</v>
      </c>
      <c r="N17" s="497"/>
      <c r="O17" s="497"/>
      <c r="P17" s="140" t="s">
        <v>194</v>
      </c>
      <c r="R17" s="140" t="s">
        <v>590</v>
      </c>
      <c r="S17" s="140" t="s">
        <v>590</v>
      </c>
    </row>
    <row r="18" spans="1:23" x14ac:dyDescent="0.2">
      <c r="A18" s="140" t="s">
        <v>727</v>
      </c>
      <c r="B18" s="161" t="s">
        <v>156</v>
      </c>
      <c r="C18" s="143">
        <v>16</v>
      </c>
      <c r="D18" s="157" t="s">
        <v>49</v>
      </c>
      <c r="E18" s="159" t="s">
        <v>407</v>
      </c>
      <c r="G18" s="175"/>
      <c r="H18" s="175"/>
      <c r="I18" s="180" t="s">
        <v>188</v>
      </c>
      <c r="J18" s="140" t="s">
        <v>154</v>
      </c>
      <c r="M18" s="496" t="s">
        <v>101</v>
      </c>
      <c r="N18" s="497"/>
      <c r="O18" s="497"/>
      <c r="P18" s="140" t="s">
        <v>194</v>
      </c>
      <c r="R18" s="140" t="s">
        <v>590</v>
      </c>
      <c r="S18" s="140" t="s">
        <v>590</v>
      </c>
    </row>
    <row r="19" spans="1:23" x14ac:dyDescent="0.2">
      <c r="A19" s="140" t="s">
        <v>727</v>
      </c>
      <c r="B19" s="161" t="s">
        <v>156</v>
      </c>
      <c r="C19" s="143">
        <v>17</v>
      </c>
      <c r="D19" s="157" t="s">
        <v>30</v>
      </c>
      <c r="E19" s="159" t="s">
        <v>407</v>
      </c>
      <c r="H19" s="197" t="s">
        <v>29</v>
      </c>
      <c r="I19" s="180" t="s">
        <v>189</v>
      </c>
      <c r="J19" s="140" t="s">
        <v>84</v>
      </c>
      <c r="M19" s="505" t="s">
        <v>199</v>
      </c>
      <c r="N19" s="497"/>
      <c r="O19" s="497"/>
      <c r="P19" s="140" t="s">
        <v>194</v>
      </c>
      <c r="R19" s="140" t="s">
        <v>590</v>
      </c>
      <c r="S19" s="140" t="s">
        <v>590</v>
      </c>
    </row>
    <row r="20" spans="1:23" x14ac:dyDescent="0.2">
      <c r="A20" s="140" t="s">
        <v>727</v>
      </c>
      <c r="B20" s="161" t="s">
        <v>156</v>
      </c>
      <c r="C20" s="143">
        <v>18</v>
      </c>
      <c r="D20" s="157" t="s">
        <v>39</v>
      </c>
      <c r="E20" s="159" t="s">
        <v>407</v>
      </c>
      <c r="G20" s="175"/>
      <c r="H20" s="175"/>
      <c r="I20" s="180" t="s">
        <v>188</v>
      </c>
      <c r="J20" s="140" t="s">
        <v>153</v>
      </c>
      <c r="K20" s="140" t="s">
        <v>190</v>
      </c>
      <c r="M20" s="496" t="s">
        <v>197</v>
      </c>
      <c r="N20" s="497"/>
      <c r="O20" s="497"/>
      <c r="P20" s="140" t="s">
        <v>194</v>
      </c>
      <c r="Q20" s="140" t="s">
        <v>751</v>
      </c>
      <c r="R20" s="140" t="s">
        <v>747</v>
      </c>
      <c r="T20" s="140" t="s">
        <v>397</v>
      </c>
      <c r="U20" s="140" t="s">
        <v>209</v>
      </c>
    </row>
    <row r="21" spans="1:23" x14ac:dyDescent="0.2">
      <c r="A21" s="140" t="s">
        <v>727</v>
      </c>
      <c r="B21" s="161" t="s">
        <v>156</v>
      </c>
      <c r="C21" s="143">
        <v>19</v>
      </c>
      <c r="D21" s="157" t="s">
        <v>40</v>
      </c>
      <c r="E21" s="159" t="s">
        <v>407</v>
      </c>
      <c r="G21" s="175"/>
      <c r="H21" s="175"/>
      <c r="I21" s="180" t="s">
        <v>188</v>
      </c>
      <c r="J21" s="140" t="s">
        <v>120</v>
      </c>
      <c r="M21" s="496" t="s">
        <v>101</v>
      </c>
      <c r="N21" s="497"/>
      <c r="O21" s="497"/>
      <c r="P21" s="140" t="s">
        <v>194</v>
      </c>
      <c r="R21" s="140" t="s">
        <v>590</v>
      </c>
      <c r="T21" s="140" t="s">
        <v>397</v>
      </c>
      <c r="U21" s="140" t="s">
        <v>210</v>
      </c>
    </row>
    <row r="22" spans="1:23" x14ac:dyDescent="0.2">
      <c r="A22" s="140" t="s">
        <v>727</v>
      </c>
      <c r="B22" s="161" t="s">
        <v>156</v>
      </c>
      <c r="C22" s="143">
        <v>20</v>
      </c>
      <c r="D22" s="157" t="s">
        <v>41</v>
      </c>
      <c r="E22" s="159" t="s">
        <v>407</v>
      </c>
      <c r="G22" s="175"/>
      <c r="H22" s="175"/>
      <c r="I22" s="180" t="s">
        <v>188</v>
      </c>
      <c r="J22" s="140" t="s">
        <v>122</v>
      </c>
      <c r="M22" s="496" t="s">
        <v>101</v>
      </c>
      <c r="N22" s="497"/>
      <c r="O22" s="497"/>
      <c r="P22" s="140" t="s">
        <v>194</v>
      </c>
      <c r="R22" s="140" t="s">
        <v>590</v>
      </c>
      <c r="T22" s="140" t="s">
        <v>398</v>
      </c>
      <c r="U22" s="140" t="s">
        <v>210</v>
      </c>
    </row>
    <row r="23" spans="1:23" x14ac:dyDescent="0.2">
      <c r="A23" s="140" t="s">
        <v>727</v>
      </c>
      <c r="B23" s="161" t="s">
        <v>156</v>
      </c>
      <c r="C23" s="143">
        <v>21</v>
      </c>
      <c r="D23" s="160" t="s">
        <v>50</v>
      </c>
      <c r="E23" s="159" t="s">
        <v>407</v>
      </c>
      <c r="F23" s="163"/>
      <c r="G23" s="177"/>
      <c r="H23" s="177"/>
      <c r="I23" s="180" t="s">
        <v>187</v>
      </c>
      <c r="J23" s="140" t="s">
        <v>72</v>
      </c>
      <c r="M23" s="496" t="s">
        <v>197</v>
      </c>
      <c r="N23" s="497" t="s">
        <v>220</v>
      </c>
      <c r="O23" s="497" t="s">
        <v>221</v>
      </c>
      <c r="P23" s="140" t="s">
        <v>193</v>
      </c>
      <c r="Q23" s="140" t="s">
        <v>751</v>
      </c>
      <c r="R23" s="140" t="s">
        <v>747</v>
      </c>
    </row>
    <row r="24" spans="1:23" x14ac:dyDescent="0.2">
      <c r="A24" s="140" t="s">
        <v>727</v>
      </c>
      <c r="B24" s="161" t="s">
        <v>156</v>
      </c>
      <c r="C24" s="143">
        <v>22</v>
      </c>
      <c r="D24" s="157" t="s">
        <v>46</v>
      </c>
      <c r="E24" s="159" t="s">
        <v>407</v>
      </c>
      <c r="G24" s="175"/>
      <c r="H24" s="175"/>
      <c r="I24" s="180" t="s">
        <v>187</v>
      </c>
      <c r="J24" s="140" t="s">
        <v>74</v>
      </c>
      <c r="M24" s="505" t="s">
        <v>199</v>
      </c>
      <c r="N24" s="497"/>
      <c r="O24" s="497"/>
      <c r="P24" s="140" t="s">
        <v>194</v>
      </c>
      <c r="R24" s="140" t="s">
        <v>590</v>
      </c>
    </row>
    <row r="25" spans="1:23" x14ac:dyDescent="0.2">
      <c r="A25" s="140" t="s">
        <v>727</v>
      </c>
      <c r="B25" s="161" t="s">
        <v>156</v>
      </c>
      <c r="C25" s="597" t="s">
        <v>468</v>
      </c>
      <c r="D25" s="157" t="s">
        <v>246</v>
      </c>
      <c r="E25" s="159" t="s">
        <v>280</v>
      </c>
      <c r="G25" s="175"/>
      <c r="H25" s="175"/>
      <c r="I25" s="180" t="s">
        <v>188</v>
      </c>
      <c r="J25" s="140" t="s">
        <v>246</v>
      </c>
      <c r="K25" s="140" t="s">
        <v>250</v>
      </c>
      <c r="M25" s="496" t="s">
        <v>101</v>
      </c>
      <c r="N25" s="497" t="s">
        <v>220</v>
      </c>
      <c r="O25" s="497" t="s">
        <v>221</v>
      </c>
      <c r="P25" s="140" t="s">
        <v>194</v>
      </c>
      <c r="R25" s="140" t="s">
        <v>590</v>
      </c>
    </row>
    <row r="26" spans="1:23" ht="25" x14ac:dyDescent="0.2">
      <c r="A26" s="140" t="s">
        <v>727</v>
      </c>
      <c r="B26" s="161" t="s">
        <v>156</v>
      </c>
      <c r="C26" s="597" t="s">
        <v>469</v>
      </c>
      <c r="D26" s="494" t="s">
        <v>316</v>
      </c>
      <c r="E26" s="779" t="s">
        <v>280</v>
      </c>
      <c r="F26" s="778" t="s">
        <v>179</v>
      </c>
      <c r="G26" s="771"/>
      <c r="H26" s="771"/>
      <c r="I26" s="780" t="s">
        <v>188</v>
      </c>
      <c r="J26" s="495" t="s">
        <v>317</v>
      </c>
      <c r="M26" s="496" t="s">
        <v>101</v>
      </c>
      <c r="N26" s="497" t="s">
        <v>220</v>
      </c>
      <c r="O26" s="497" t="s">
        <v>221</v>
      </c>
      <c r="P26" s="140" t="s">
        <v>194</v>
      </c>
      <c r="R26" s="140" t="s">
        <v>590</v>
      </c>
      <c r="V26" s="769" t="s">
        <v>746</v>
      </c>
      <c r="W26" s="140">
        <v>2</v>
      </c>
    </row>
    <row r="27" spans="1:23" x14ac:dyDescent="0.2">
      <c r="A27" s="140" t="s">
        <v>727</v>
      </c>
      <c r="B27" s="162" t="s">
        <v>157</v>
      </c>
      <c r="C27" s="143">
        <v>23</v>
      </c>
      <c r="D27" s="157" t="s">
        <v>45</v>
      </c>
      <c r="E27" s="159" t="s">
        <v>408</v>
      </c>
      <c r="G27" s="175"/>
      <c r="H27" s="197" t="s">
        <v>44</v>
      </c>
      <c r="I27" s="180" t="s">
        <v>188</v>
      </c>
      <c r="J27" s="140" t="s">
        <v>89</v>
      </c>
      <c r="M27" s="505" t="s">
        <v>199</v>
      </c>
      <c r="N27" s="497"/>
      <c r="O27" s="497"/>
      <c r="P27" s="140" t="s">
        <v>194</v>
      </c>
      <c r="R27" s="140" t="s">
        <v>590</v>
      </c>
      <c r="T27" s="506" t="s">
        <v>399</v>
      </c>
      <c r="U27" s="140" t="s">
        <v>212</v>
      </c>
    </row>
    <row r="28" spans="1:23" x14ac:dyDescent="0.2">
      <c r="A28" s="140" t="s">
        <v>727</v>
      </c>
      <c r="B28" s="162" t="s">
        <v>157</v>
      </c>
      <c r="C28" s="143">
        <v>24</v>
      </c>
      <c r="D28" s="157" t="s">
        <v>44</v>
      </c>
      <c r="E28" s="159" t="s">
        <v>408</v>
      </c>
      <c r="G28" s="175"/>
      <c r="H28" s="197" t="s">
        <v>45</v>
      </c>
      <c r="I28" s="180" t="s">
        <v>189</v>
      </c>
      <c r="J28" s="140" t="s">
        <v>88</v>
      </c>
      <c r="M28" s="505" t="s">
        <v>199</v>
      </c>
      <c r="N28" s="497"/>
      <c r="O28" s="497"/>
      <c r="P28" s="140" t="s">
        <v>194</v>
      </c>
      <c r="R28" s="140" t="s">
        <v>590</v>
      </c>
      <c r="T28" s="506" t="s">
        <v>211</v>
      </c>
      <c r="U28" s="140" t="s">
        <v>212</v>
      </c>
    </row>
    <row r="29" spans="1:23" x14ac:dyDescent="0.2">
      <c r="A29" s="140" t="s">
        <v>727</v>
      </c>
      <c r="B29" s="162" t="s">
        <v>157</v>
      </c>
      <c r="C29" s="143">
        <v>25</v>
      </c>
      <c r="D29" s="157" t="s">
        <v>752</v>
      </c>
      <c r="E29" s="159" t="s">
        <v>407</v>
      </c>
      <c r="G29" s="175"/>
      <c r="H29" s="175"/>
      <c r="I29" s="180" t="s">
        <v>187</v>
      </c>
      <c r="J29" s="140" t="s">
        <v>753</v>
      </c>
      <c r="M29" s="496" t="s">
        <v>101</v>
      </c>
      <c r="N29" s="497"/>
      <c r="O29" s="497"/>
      <c r="P29" s="140" t="s">
        <v>194</v>
      </c>
      <c r="R29" s="140" t="s">
        <v>590</v>
      </c>
      <c r="T29" s="506" t="s">
        <v>754</v>
      </c>
      <c r="U29" s="140" t="s">
        <v>210</v>
      </c>
    </row>
    <row r="30" spans="1:23" x14ac:dyDescent="0.2">
      <c r="A30" s="140" t="s">
        <v>727</v>
      </c>
      <c r="B30" s="162" t="s">
        <v>157</v>
      </c>
      <c r="C30" s="143">
        <v>26</v>
      </c>
      <c r="D30" s="157" t="s">
        <v>42</v>
      </c>
      <c r="E30" s="159" t="s">
        <v>407</v>
      </c>
      <c r="G30" s="175"/>
      <c r="H30" s="175"/>
      <c r="I30" s="180" t="s">
        <v>187</v>
      </c>
      <c r="J30" s="140" t="s">
        <v>83</v>
      </c>
      <c r="L30" s="140" t="s">
        <v>102</v>
      </c>
      <c r="M30" s="496" t="s">
        <v>101</v>
      </c>
      <c r="N30" s="497"/>
      <c r="O30" s="497"/>
      <c r="P30" s="140" t="s">
        <v>194</v>
      </c>
      <c r="R30" s="140" t="s">
        <v>590</v>
      </c>
      <c r="T30" s="140" t="s">
        <v>400</v>
      </c>
      <c r="U30" s="140" t="s">
        <v>210</v>
      </c>
    </row>
    <row r="31" spans="1:23" x14ac:dyDescent="0.2">
      <c r="A31" s="140" t="s">
        <v>727</v>
      </c>
      <c r="B31" s="162" t="s">
        <v>157</v>
      </c>
      <c r="C31" s="143">
        <v>27</v>
      </c>
      <c r="D31" s="157" t="s">
        <v>43</v>
      </c>
      <c r="E31" s="159" t="s">
        <v>407</v>
      </c>
      <c r="G31" s="175"/>
      <c r="H31" s="175"/>
      <c r="I31" s="180" t="s">
        <v>187</v>
      </c>
      <c r="J31" s="140" t="s">
        <v>82</v>
      </c>
      <c r="L31" s="140" t="s">
        <v>102</v>
      </c>
      <c r="M31" s="496" t="s">
        <v>101</v>
      </c>
      <c r="N31" s="497"/>
      <c r="O31" s="497"/>
      <c r="P31" s="140" t="s">
        <v>194</v>
      </c>
      <c r="R31" s="140" t="s">
        <v>590</v>
      </c>
      <c r="T31" s="140" t="s">
        <v>400</v>
      </c>
      <c r="U31" s="140" t="s">
        <v>210</v>
      </c>
    </row>
    <row r="32" spans="1:23" x14ac:dyDescent="0.2">
      <c r="A32" s="140" t="s">
        <v>164</v>
      </c>
      <c r="B32" s="181" t="s">
        <v>137</v>
      </c>
      <c r="C32" s="140">
        <v>1</v>
      </c>
      <c r="D32" s="157" t="s">
        <v>10</v>
      </c>
      <c r="E32" s="159" t="s">
        <v>407</v>
      </c>
      <c r="G32" s="197" t="s">
        <v>12</v>
      </c>
      <c r="H32" s="175"/>
      <c r="I32" s="180" t="s">
        <v>188</v>
      </c>
      <c r="J32" s="140" t="s">
        <v>163</v>
      </c>
      <c r="K32" s="140" t="s">
        <v>181</v>
      </c>
      <c r="L32" s="140" t="s">
        <v>102</v>
      </c>
      <c r="M32" s="505" t="s">
        <v>199</v>
      </c>
      <c r="N32" s="497"/>
      <c r="O32" s="497"/>
      <c r="P32" s="140" t="s">
        <v>194</v>
      </c>
    </row>
    <row r="33" spans="1:21" x14ac:dyDescent="0.2">
      <c r="A33" s="140" t="s">
        <v>164</v>
      </c>
      <c r="B33" s="181" t="s">
        <v>137</v>
      </c>
      <c r="C33" s="140">
        <v>2</v>
      </c>
      <c r="D33" s="157" t="s">
        <v>12</v>
      </c>
      <c r="E33" s="159" t="s">
        <v>407</v>
      </c>
      <c r="G33" s="197" t="s">
        <v>10</v>
      </c>
      <c r="H33" s="175"/>
      <c r="I33" s="180" t="s">
        <v>188</v>
      </c>
      <c r="J33" s="140" t="s">
        <v>61</v>
      </c>
      <c r="K33" s="140" t="s">
        <v>192</v>
      </c>
      <c r="L33" s="140" t="s">
        <v>102</v>
      </c>
      <c r="M33" s="505" t="s">
        <v>199</v>
      </c>
      <c r="N33" s="497"/>
      <c r="O33" s="497" t="s">
        <v>221</v>
      </c>
      <c r="P33" s="140" t="s">
        <v>194</v>
      </c>
    </row>
    <row r="34" spans="1:21" x14ac:dyDescent="0.2">
      <c r="A34" s="140" t="s">
        <v>164</v>
      </c>
      <c r="B34" s="181" t="s">
        <v>137</v>
      </c>
      <c r="C34" s="140">
        <v>3</v>
      </c>
      <c r="D34" s="157" t="s">
        <v>11</v>
      </c>
      <c r="E34" s="159" t="s">
        <v>407</v>
      </c>
      <c r="G34" s="197" t="s">
        <v>13</v>
      </c>
      <c r="H34" s="175"/>
      <c r="I34" s="180" t="s">
        <v>188</v>
      </c>
      <c r="J34" s="140" t="s">
        <v>60</v>
      </c>
      <c r="K34" s="140" t="s">
        <v>191</v>
      </c>
      <c r="L34" s="140" t="s">
        <v>102</v>
      </c>
      <c r="M34" s="505" t="s">
        <v>199</v>
      </c>
      <c r="N34" s="497" t="s">
        <v>220</v>
      </c>
      <c r="O34" s="497"/>
      <c r="P34" s="140" t="s">
        <v>194</v>
      </c>
    </row>
    <row r="35" spans="1:21" x14ac:dyDescent="0.2">
      <c r="A35" s="140" t="s">
        <v>164</v>
      </c>
      <c r="B35" s="181" t="s">
        <v>137</v>
      </c>
      <c r="C35" s="140">
        <v>4</v>
      </c>
      <c r="D35" s="157" t="s">
        <v>13</v>
      </c>
      <c r="E35" s="159" t="s">
        <v>407</v>
      </c>
      <c r="G35" s="197" t="s">
        <v>11</v>
      </c>
      <c r="H35" s="175"/>
      <c r="I35" s="180" t="s">
        <v>188</v>
      </c>
      <c r="J35" s="140" t="s">
        <v>162</v>
      </c>
      <c r="K35" s="140" t="s">
        <v>168</v>
      </c>
      <c r="L35" s="140" t="s">
        <v>102</v>
      </c>
      <c r="M35" s="505" t="s">
        <v>199</v>
      </c>
      <c r="N35" s="497"/>
      <c r="O35" s="497"/>
      <c r="P35" s="140" t="s">
        <v>194</v>
      </c>
    </row>
    <row r="36" spans="1:21" x14ac:dyDescent="0.2">
      <c r="A36" s="140" t="s">
        <v>164</v>
      </c>
      <c r="B36" s="181" t="s">
        <v>137</v>
      </c>
      <c r="C36" s="140">
        <v>5</v>
      </c>
      <c r="D36" s="157" t="s">
        <v>24</v>
      </c>
      <c r="E36" s="159" t="s">
        <v>407</v>
      </c>
      <c r="G36" s="197" t="s">
        <v>25</v>
      </c>
      <c r="H36" s="175"/>
      <c r="I36" s="180" t="s">
        <v>189</v>
      </c>
      <c r="J36" s="140" t="s">
        <v>161</v>
      </c>
      <c r="K36" s="140" t="s">
        <v>169</v>
      </c>
      <c r="L36" s="140" t="s">
        <v>102</v>
      </c>
      <c r="M36" s="505" t="s">
        <v>199</v>
      </c>
      <c r="N36" s="497"/>
      <c r="O36" s="497"/>
      <c r="P36" s="140" t="s">
        <v>194</v>
      </c>
    </row>
    <row r="37" spans="1:21" x14ac:dyDescent="0.2">
      <c r="A37" s="140" t="s">
        <v>164</v>
      </c>
      <c r="B37" s="181" t="s">
        <v>137</v>
      </c>
      <c r="C37" s="140">
        <v>6</v>
      </c>
      <c r="D37" s="157" t="s">
        <v>25</v>
      </c>
      <c r="E37" s="159" t="s">
        <v>407</v>
      </c>
      <c r="G37" s="197" t="s">
        <v>24</v>
      </c>
      <c r="H37" s="175"/>
      <c r="I37" s="180" t="s">
        <v>189</v>
      </c>
      <c r="J37" s="140" t="s">
        <v>77</v>
      </c>
      <c r="L37" s="140" t="s">
        <v>102</v>
      </c>
      <c r="M37" s="505" t="s">
        <v>199</v>
      </c>
      <c r="N37" s="497" t="s">
        <v>220</v>
      </c>
      <c r="O37" s="497"/>
      <c r="P37" s="140" t="s">
        <v>194</v>
      </c>
    </row>
    <row r="38" spans="1:21" x14ac:dyDescent="0.2">
      <c r="A38" s="140" t="s">
        <v>164</v>
      </c>
      <c r="B38" s="181" t="s">
        <v>137</v>
      </c>
      <c r="C38" s="140">
        <v>7</v>
      </c>
      <c r="D38" s="157" t="s">
        <v>26</v>
      </c>
      <c r="E38" s="159" t="s">
        <v>407</v>
      </c>
      <c r="G38" s="197" t="s">
        <v>27</v>
      </c>
      <c r="H38" s="175"/>
      <c r="I38" s="180" t="s">
        <v>189</v>
      </c>
      <c r="J38" s="140" t="s">
        <v>159</v>
      </c>
      <c r="K38" s="140" t="s">
        <v>170</v>
      </c>
      <c r="L38" s="140" t="s">
        <v>102</v>
      </c>
      <c r="M38" s="505" t="s">
        <v>199</v>
      </c>
      <c r="N38" s="497"/>
      <c r="O38" s="497" t="s">
        <v>221</v>
      </c>
      <c r="P38" s="140" t="s">
        <v>194</v>
      </c>
    </row>
    <row r="39" spans="1:21" x14ac:dyDescent="0.2">
      <c r="A39" s="140" t="s">
        <v>164</v>
      </c>
      <c r="B39" s="181" t="s">
        <v>137</v>
      </c>
      <c r="C39" s="140">
        <v>8</v>
      </c>
      <c r="D39" s="157" t="s">
        <v>27</v>
      </c>
      <c r="E39" s="159" t="s">
        <v>407</v>
      </c>
      <c r="G39" s="197" t="s">
        <v>26</v>
      </c>
      <c r="H39" s="175"/>
      <c r="I39" s="180" t="s">
        <v>189</v>
      </c>
      <c r="J39" s="140" t="s">
        <v>79</v>
      </c>
      <c r="L39" s="140" t="s">
        <v>102</v>
      </c>
      <c r="M39" s="505" t="s">
        <v>199</v>
      </c>
      <c r="N39" s="497"/>
      <c r="O39" s="497"/>
      <c r="P39" s="140" t="s">
        <v>194</v>
      </c>
    </row>
    <row r="40" spans="1:21" x14ac:dyDescent="0.2">
      <c r="A40" s="140" t="s">
        <v>164</v>
      </c>
      <c r="B40" s="181" t="s">
        <v>137</v>
      </c>
      <c r="C40" s="140">
        <v>9</v>
      </c>
      <c r="D40" s="157" t="s">
        <v>6</v>
      </c>
      <c r="E40" s="159" t="s">
        <v>407</v>
      </c>
      <c r="G40" s="197" t="s">
        <v>38</v>
      </c>
      <c r="I40" s="180" t="s">
        <v>187</v>
      </c>
      <c r="J40" s="140" t="s">
        <v>158</v>
      </c>
      <c r="K40" s="140" t="s">
        <v>171</v>
      </c>
      <c r="M40" s="505" t="s">
        <v>199</v>
      </c>
      <c r="N40" s="497"/>
      <c r="O40" s="497"/>
      <c r="P40" s="140" t="s">
        <v>194</v>
      </c>
    </row>
    <row r="41" spans="1:21" x14ac:dyDescent="0.2">
      <c r="A41" s="140" t="s">
        <v>164</v>
      </c>
      <c r="B41" s="181" t="s">
        <v>137</v>
      </c>
      <c r="C41" s="140">
        <v>10</v>
      </c>
      <c r="D41" s="157" t="s">
        <v>38</v>
      </c>
      <c r="E41" s="159" t="s">
        <v>407</v>
      </c>
      <c r="G41" s="197" t="s">
        <v>6</v>
      </c>
      <c r="I41" s="180" t="s">
        <v>187</v>
      </c>
      <c r="J41" s="140" t="s">
        <v>160</v>
      </c>
      <c r="M41" s="505" t="s">
        <v>199</v>
      </c>
      <c r="N41" s="497"/>
      <c r="O41" s="497"/>
      <c r="P41" s="140" t="s">
        <v>194</v>
      </c>
    </row>
    <row r="42" spans="1:21" x14ac:dyDescent="0.2">
      <c r="A42" s="140" t="s">
        <v>164</v>
      </c>
      <c r="B42" s="181" t="s">
        <v>137</v>
      </c>
      <c r="C42" s="140">
        <v>11</v>
      </c>
      <c r="D42" s="157" t="s">
        <v>8</v>
      </c>
      <c r="E42" s="159" t="s">
        <v>407</v>
      </c>
      <c r="G42" s="175"/>
      <c r="H42" s="175"/>
      <c r="I42" s="180" t="s">
        <v>187</v>
      </c>
      <c r="J42" s="140" t="s">
        <v>58</v>
      </c>
      <c r="M42" s="505" t="s">
        <v>199</v>
      </c>
      <c r="N42" s="497"/>
      <c r="O42" s="497"/>
      <c r="P42" s="140" t="s">
        <v>194</v>
      </c>
    </row>
    <row r="43" spans="1:21" x14ac:dyDescent="0.2">
      <c r="A43" s="140" t="s">
        <v>164</v>
      </c>
      <c r="B43" s="181" t="s">
        <v>137</v>
      </c>
      <c r="C43" s="140">
        <v>12</v>
      </c>
      <c r="D43" s="157" t="s">
        <v>9</v>
      </c>
      <c r="E43" s="159" t="s">
        <v>407</v>
      </c>
      <c r="G43" s="175"/>
      <c r="H43" s="175"/>
      <c r="I43" s="180" t="s">
        <v>187</v>
      </c>
      <c r="J43" s="140" t="s">
        <v>59</v>
      </c>
      <c r="M43" s="505" t="s">
        <v>199</v>
      </c>
      <c r="N43" s="497"/>
      <c r="O43" s="497"/>
      <c r="P43" s="140" t="s">
        <v>194</v>
      </c>
    </row>
    <row r="44" spans="1:21" x14ac:dyDescent="0.2">
      <c r="A44" s="140" t="s">
        <v>164</v>
      </c>
      <c r="B44" s="181" t="s">
        <v>137</v>
      </c>
      <c r="C44" s="140">
        <v>13</v>
      </c>
      <c r="D44" s="157" t="s">
        <v>36</v>
      </c>
      <c r="E44" s="159" t="s">
        <v>408</v>
      </c>
      <c r="G44" s="175"/>
      <c r="H44" s="175"/>
      <c r="I44" s="180" t="s">
        <v>187</v>
      </c>
      <c r="J44" s="140" t="s">
        <v>75</v>
      </c>
      <c r="M44" s="496" t="s">
        <v>124</v>
      </c>
      <c r="N44" s="497" t="s">
        <v>220</v>
      </c>
      <c r="O44" s="497" t="s">
        <v>221</v>
      </c>
      <c r="P44" s="140" t="s">
        <v>194</v>
      </c>
    </row>
    <row r="45" spans="1:21" x14ac:dyDescent="0.2">
      <c r="A45" s="140" t="s">
        <v>164</v>
      </c>
      <c r="B45" s="181" t="s">
        <v>137</v>
      </c>
      <c r="C45" s="140">
        <v>14</v>
      </c>
      <c r="D45" s="157" t="s">
        <v>37</v>
      </c>
      <c r="E45" s="159" t="s">
        <v>408</v>
      </c>
      <c r="G45" s="175"/>
      <c r="H45" s="175"/>
      <c r="I45" s="180" t="s">
        <v>187</v>
      </c>
      <c r="J45" s="140" t="s">
        <v>76</v>
      </c>
      <c r="M45" s="505" t="s">
        <v>199</v>
      </c>
      <c r="N45" s="497" t="s">
        <v>220</v>
      </c>
      <c r="O45" s="497" t="s">
        <v>221</v>
      </c>
      <c r="P45" s="140" t="s">
        <v>194</v>
      </c>
    </row>
    <row r="46" spans="1:21" x14ac:dyDescent="0.2">
      <c r="A46" s="140" t="s">
        <v>164</v>
      </c>
      <c r="B46" s="182" t="s">
        <v>150</v>
      </c>
      <c r="C46" s="140">
        <v>15</v>
      </c>
      <c r="D46" s="157" t="s">
        <v>31</v>
      </c>
      <c r="E46" s="159" t="s">
        <v>407</v>
      </c>
      <c r="G46" s="175"/>
      <c r="H46" s="197" t="s">
        <v>35</v>
      </c>
      <c r="I46" s="180" t="s">
        <v>188</v>
      </c>
      <c r="J46" s="140" t="s">
        <v>55</v>
      </c>
      <c r="K46" s="140" t="s">
        <v>166</v>
      </c>
      <c r="L46" s="140" t="s">
        <v>102</v>
      </c>
      <c r="M46" s="496" t="s">
        <v>198</v>
      </c>
      <c r="N46" s="497"/>
      <c r="O46" s="497"/>
      <c r="P46" s="140" t="s">
        <v>194</v>
      </c>
      <c r="T46" s="140" t="s">
        <v>401</v>
      </c>
      <c r="U46" s="140" t="s">
        <v>213</v>
      </c>
    </row>
    <row r="47" spans="1:21" x14ac:dyDescent="0.2">
      <c r="A47" s="140" t="s">
        <v>164</v>
      </c>
      <c r="B47" s="182" t="s">
        <v>150</v>
      </c>
      <c r="C47" s="140">
        <v>16</v>
      </c>
      <c r="D47" s="157" t="s">
        <v>32</v>
      </c>
      <c r="E47" s="159" t="s">
        <v>407</v>
      </c>
      <c r="G47" s="175"/>
      <c r="H47" s="175"/>
      <c r="I47" s="180" t="s">
        <v>188</v>
      </c>
      <c r="J47" s="140" t="s">
        <v>167</v>
      </c>
      <c r="K47" s="140" t="s">
        <v>172</v>
      </c>
      <c r="L47" s="140" t="s">
        <v>102</v>
      </c>
      <c r="M47" s="505" t="s">
        <v>199</v>
      </c>
      <c r="N47" s="497"/>
      <c r="O47" s="497"/>
      <c r="P47" s="140" t="s">
        <v>194</v>
      </c>
      <c r="T47" s="140" t="s">
        <v>401</v>
      </c>
      <c r="U47" s="140" t="s">
        <v>214</v>
      </c>
    </row>
    <row r="48" spans="1:21" x14ac:dyDescent="0.2">
      <c r="A48" s="140" t="s">
        <v>164</v>
      </c>
      <c r="B48" s="182" t="s">
        <v>150</v>
      </c>
      <c r="C48" s="140">
        <v>17</v>
      </c>
      <c r="D48" s="157" t="s">
        <v>34</v>
      </c>
      <c r="E48" s="159" t="s">
        <v>407</v>
      </c>
      <c r="G48" s="175"/>
      <c r="H48" s="175"/>
      <c r="I48" s="180" t="s">
        <v>188</v>
      </c>
      <c r="J48" s="140" t="s">
        <v>173</v>
      </c>
      <c r="K48" s="140" t="s">
        <v>174</v>
      </c>
      <c r="L48" s="140" t="s">
        <v>102</v>
      </c>
      <c r="M48" s="505" t="s">
        <v>199</v>
      </c>
      <c r="N48" s="497"/>
      <c r="O48" s="497"/>
      <c r="P48" s="140" t="s">
        <v>194</v>
      </c>
      <c r="T48" s="140" t="s">
        <v>401</v>
      </c>
      <c r="U48" s="140" t="s">
        <v>215</v>
      </c>
    </row>
    <row r="49" spans="1:23" x14ac:dyDescent="0.2">
      <c r="A49" s="140" t="s">
        <v>164</v>
      </c>
      <c r="B49" s="182" t="s">
        <v>150</v>
      </c>
      <c r="C49" s="140">
        <v>18</v>
      </c>
      <c r="D49" s="157" t="s">
        <v>33</v>
      </c>
      <c r="E49" s="159" t="s">
        <v>407</v>
      </c>
      <c r="F49" s="178" t="s">
        <v>178</v>
      </c>
      <c r="G49" s="175"/>
      <c r="H49" s="175"/>
      <c r="I49" s="180" t="s">
        <v>188</v>
      </c>
      <c r="J49" s="140" t="s">
        <v>165</v>
      </c>
      <c r="L49" s="140" t="s">
        <v>102</v>
      </c>
      <c r="M49" s="505" t="s">
        <v>199</v>
      </c>
      <c r="N49" s="497"/>
      <c r="O49" s="497"/>
      <c r="P49" s="140" t="s">
        <v>194</v>
      </c>
      <c r="T49" s="140" t="s">
        <v>401</v>
      </c>
      <c r="U49" s="140" t="s">
        <v>216</v>
      </c>
    </row>
    <row r="50" spans="1:23" x14ac:dyDescent="0.2">
      <c r="A50" s="140" t="s">
        <v>164</v>
      </c>
      <c r="B50" s="182" t="s">
        <v>150</v>
      </c>
      <c r="C50" s="140">
        <v>19</v>
      </c>
      <c r="D50" s="157" t="s">
        <v>35</v>
      </c>
      <c r="E50" s="159" t="s">
        <v>407</v>
      </c>
      <c r="G50" s="175"/>
      <c r="H50" s="197" t="s">
        <v>31</v>
      </c>
      <c r="I50" s="180" t="s">
        <v>189</v>
      </c>
      <c r="J50" s="140" t="s">
        <v>80</v>
      </c>
      <c r="K50" s="140" t="s">
        <v>175</v>
      </c>
      <c r="L50" s="140" t="s">
        <v>102</v>
      </c>
      <c r="M50" s="496" t="s">
        <v>198</v>
      </c>
      <c r="N50" s="497"/>
      <c r="O50" s="497"/>
      <c r="P50" s="140" t="s">
        <v>194</v>
      </c>
      <c r="T50" s="140" t="s">
        <v>402</v>
      </c>
      <c r="U50" s="140" t="s">
        <v>213</v>
      </c>
    </row>
    <row r="51" spans="1:23" x14ac:dyDescent="0.2">
      <c r="A51" s="140" t="s">
        <v>164</v>
      </c>
      <c r="B51" s="182" t="s">
        <v>150</v>
      </c>
      <c r="C51" s="140">
        <v>20</v>
      </c>
      <c r="D51" s="157" t="s">
        <v>1</v>
      </c>
      <c r="E51" s="159" t="s">
        <v>407</v>
      </c>
      <c r="G51" s="175"/>
      <c r="H51" s="175"/>
      <c r="I51" s="180" t="s">
        <v>187</v>
      </c>
      <c r="J51" s="140" t="s">
        <v>52</v>
      </c>
      <c r="K51" s="140" t="s">
        <v>176</v>
      </c>
      <c r="L51" s="140" t="s">
        <v>102</v>
      </c>
      <c r="M51" s="496" t="s">
        <v>198</v>
      </c>
      <c r="N51" s="497" t="s">
        <v>220</v>
      </c>
      <c r="O51" s="497" t="s">
        <v>221</v>
      </c>
      <c r="P51" s="140" t="s">
        <v>194</v>
      </c>
      <c r="T51" s="140" t="s">
        <v>405</v>
      </c>
    </row>
    <row r="52" spans="1:23" ht="37" x14ac:dyDescent="0.2">
      <c r="A52" s="140" t="s">
        <v>164</v>
      </c>
      <c r="B52" s="182" t="s">
        <v>150</v>
      </c>
      <c r="C52" s="140">
        <v>21</v>
      </c>
      <c r="D52" s="157" t="s">
        <v>3</v>
      </c>
      <c r="E52" s="159" t="s">
        <v>407</v>
      </c>
      <c r="F52" s="178" t="s">
        <v>178</v>
      </c>
      <c r="G52" s="175"/>
      <c r="H52" s="175"/>
      <c r="I52" s="180" t="s">
        <v>187</v>
      </c>
      <c r="J52" s="140" t="s">
        <v>54</v>
      </c>
      <c r="K52" s="140" t="s">
        <v>177</v>
      </c>
      <c r="L52" s="140" t="s">
        <v>102</v>
      </c>
      <c r="M52" s="505" t="s">
        <v>199</v>
      </c>
      <c r="N52" s="497" t="s">
        <v>220</v>
      </c>
      <c r="O52" s="497" t="s">
        <v>221</v>
      </c>
      <c r="P52" s="140" t="s">
        <v>194</v>
      </c>
      <c r="T52" s="140" t="s">
        <v>404</v>
      </c>
      <c r="U52" s="140" t="s">
        <v>218</v>
      </c>
      <c r="V52" s="769" t="s">
        <v>744</v>
      </c>
      <c r="W52" s="140">
        <v>3</v>
      </c>
    </row>
    <row r="53" spans="1:23" x14ac:dyDescent="0.2">
      <c r="A53" s="140" t="s">
        <v>164</v>
      </c>
      <c r="B53" s="182" t="s">
        <v>150</v>
      </c>
      <c r="C53" s="140">
        <v>22</v>
      </c>
      <c r="D53" s="157" t="s">
        <v>2</v>
      </c>
      <c r="E53" s="159" t="s">
        <v>408</v>
      </c>
      <c r="F53" s="178" t="s">
        <v>179</v>
      </c>
      <c r="G53" s="175"/>
      <c r="H53" s="175"/>
      <c r="I53" s="180" t="s">
        <v>187</v>
      </c>
      <c r="J53" s="140" t="s">
        <v>53</v>
      </c>
      <c r="L53" s="140" t="s">
        <v>102</v>
      </c>
      <c r="M53" s="505" t="s">
        <v>199</v>
      </c>
      <c r="N53" s="497" t="s">
        <v>220</v>
      </c>
      <c r="O53" s="497" t="s">
        <v>221</v>
      </c>
      <c r="P53" s="140" t="s">
        <v>194</v>
      </c>
      <c r="T53" s="140" t="s">
        <v>403</v>
      </c>
      <c r="U53" s="140" t="s">
        <v>217</v>
      </c>
      <c r="V53" s="770" t="s">
        <v>277</v>
      </c>
      <c r="W53" s="140">
        <v>4</v>
      </c>
    </row>
    <row r="54" spans="1:23" x14ac:dyDescent="0.2">
      <c r="A54" s="140" t="s">
        <v>164</v>
      </c>
      <c r="B54" s="182" t="s">
        <v>150</v>
      </c>
      <c r="C54" s="496" t="s">
        <v>272</v>
      </c>
      <c r="D54" s="494" t="s">
        <v>247</v>
      </c>
      <c r="E54" s="779" t="s">
        <v>280</v>
      </c>
      <c r="F54" s="778" t="s">
        <v>179</v>
      </c>
      <c r="G54" s="778"/>
      <c r="H54" s="778"/>
      <c r="I54" s="780" t="s">
        <v>188</v>
      </c>
      <c r="J54" s="495" t="s">
        <v>305</v>
      </c>
      <c r="M54" s="505" t="s">
        <v>199</v>
      </c>
      <c r="N54" s="497" t="s">
        <v>220</v>
      </c>
      <c r="O54" s="497" t="s">
        <v>221</v>
      </c>
      <c r="P54" s="140" t="s">
        <v>194</v>
      </c>
      <c r="U54" s="140" t="s">
        <v>725</v>
      </c>
      <c r="V54" s="770" t="s">
        <v>768</v>
      </c>
      <c r="W54" s="140">
        <v>1</v>
      </c>
    </row>
    <row r="55" spans="1:23" ht="25" x14ac:dyDescent="0.2">
      <c r="A55" s="140" t="s">
        <v>164</v>
      </c>
      <c r="B55" s="182" t="s">
        <v>150</v>
      </c>
      <c r="C55" s="496" t="s">
        <v>273</v>
      </c>
      <c r="D55" s="494" t="s">
        <v>308</v>
      </c>
      <c r="E55" s="779" t="s">
        <v>280</v>
      </c>
      <c r="F55" s="778" t="s">
        <v>179</v>
      </c>
      <c r="G55" s="778"/>
      <c r="H55" s="778"/>
      <c r="I55" s="780" t="s">
        <v>188</v>
      </c>
      <c r="J55" s="495" t="s">
        <v>309</v>
      </c>
      <c r="M55" s="505" t="s">
        <v>199</v>
      </c>
      <c r="N55" s="497" t="s">
        <v>220</v>
      </c>
      <c r="O55" s="497" t="s">
        <v>221</v>
      </c>
      <c r="P55" s="140" t="s">
        <v>194</v>
      </c>
      <c r="U55" s="140" t="s">
        <v>726</v>
      </c>
      <c r="V55" s="769" t="s">
        <v>745</v>
      </c>
      <c r="W55" s="140">
        <v>2</v>
      </c>
    </row>
    <row r="56" spans="1:23" x14ac:dyDescent="0.2">
      <c r="A56" s="140" t="s">
        <v>164</v>
      </c>
      <c r="B56" s="182" t="s">
        <v>150</v>
      </c>
      <c r="C56" s="496" t="s">
        <v>435</v>
      </c>
      <c r="D56" s="494" t="s">
        <v>351</v>
      </c>
      <c r="E56" s="778" t="s">
        <v>280</v>
      </c>
      <c r="F56" s="778"/>
      <c r="G56" s="778"/>
      <c r="H56" s="778"/>
      <c r="I56" s="780" t="s">
        <v>188</v>
      </c>
      <c r="J56" s="495" t="s">
        <v>729</v>
      </c>
      <c r="M56" s="505" t="s">
        <v>199</v>
      </c>
      <c r="N56" s="497" t="s">
        <v>220</v>
      </c>
      <c r="O56" s="497" t="s">
        <v>221</v>
      </c>
      <c r="P56" s="140" t="s">
        <v>194</v>
      </c>
    </row>
    <row r="57" spans="1:23" x14ac:dyDescent="0.2">
      <c r="A57" s="140" t="s">
        <v>164</v>
      </c>
      <c r="B57" s="182" t="s">
        <v>150</v>
      </c>
      <c r="C57" s="496" t="s">
        <v>270</v>
      </c>
      <c r="D57" s="157" t="s">
        <v>125</v>
      </c>
      <c r="E57" s="178" t="s">
        <v>201</v>
      </c>
      <c r="I57" s="180" t="s">
        <v>187</v>
      </c>
      <c r="J57" s="140" t="s">
        <v>57</v>
      </c>
      <c r="K57" s="140" t="s">
        <v>394</v>
      </c>
      <c r="M57" s="505" t="s">
        <v>199</v>
      </c>
      <c r="N57" s="497" t="s">
        <v>220</v>
      </c>
      <c r="O57" s="497"/>
      <c r="P57" s="140" t="s">
        <v>194</v>
      </c>
      <c r="T57" s="140" t="s">
        <v>397</v>
      </c>
      <c r="V57" s="770" t="s">
        <v>765</v>
      </c>
    </row>
    <row r="58" spans="1:23" x14ac:dyDescent="0.2">
      <c r="A58" s="140" t="s">
        <v>164</v>
      </c>
      <c r="B58" s="182" t="s">
        <v>150</v>
      </c>
      <c r="C58" s="496" t="s">
        <v>271</v>
      </c>
      <c r="D58" s="157" t="s">
        <v>126</v>
      </c>
      <c r="E58" s="178" t="s">
        <v>201</v>
      </c>
      <c r="I58" s="180" t="s">
        <v>187</v>
      </c>
      <c r="J58" s="140" t="s">
        <v>184</v>
      </c>
      <c r="M58" s="505" t="s">
        <v>199</v>
      </c>
      <c r="N58" s="497"/>
      <c r="O58" s="497"/>
      <c r="P58" s="140" t="s">
        <v>194</v>
      </c>
      <c r="T58" s="140" t="s">
        <v>404</v>
      </c>
    </row>
    <row r="59" spans="1:23" x14ac:dyDescent="0.2">
      <c r="A59" s="140" t="s">
        <v>164</v>
      </c>
      <c r="B59" s="183" t="s">
        <v>156</v>
      </c>
      <c r="C59" s="140">
        <v>23</v>
      </c>
      <c r="D59" s="157" t="s">
        <v>0</v>
      </c>
      <c r="E59" s="159" t="s">
        <v>407</v>
      </c>
      <c r="I59" s="180" t="s">
        <v>187</v>
      </c>
      <c r="J59" s="140" t="s">
        <v>51</v>
      </c>
      <c r="K59" s="140" t="s">
        <v>180</v>
      </c>
      <c r="L59" s="140" t="s">
        <v>102</v>
      </c>
      <c r="M59" s="496" t="s">
        <v>198</v>
      </c>
      <c r="N59" s="497" t="s">
        <v>220</v>
      </c>
      <c r="O59" s="497" t="s">
        <v>221</v>
      </c>
      <c r="P59" s="140" t="s">
        <v>194</v>
      </c>
      <c r="T59" s="140" t="s">
        <v>406</v>
      </c>
      <c r="U59" s="140" t="s">
        <v>215</v>
      </c>
    </row>
    <row r="60" spans="1:23" x14ac:dyDescent="0.2">
      <c r="A60" s="140" t="s">
        <v>185</v>
      </c>
      <c r="B60" s="184" t="s">
        <v>150</v>
      </c>
      <c r="C60" s="141">
        <v>1</v>
      </c>
      <c r="D60" s="157" t="s">
        <v>7</v>
      </c>
      <c r="E60" s="159" t="s">
        <v>407</v>
      </c>
      <c r="I60" s="180" t="s">
        <v>187</v>
      </c>
      <c r="J60" s="140" t="s">
        <v>105</v>
      </c>
      <c r="M60" s="505" t="s">
        <v>199</v>
      </c>
      <c r="N60" s="497"/>
      <c r="O60" s="497"/>
      <c r="P60" s="140" t="s">
        <v>200</v>
      </c>
      <c r="T60" s="506" t="s">
        <v>207</v>
      </c>
    </row>
  </sheetData>
  <autoFilter ref="A2:U60" xr:uid="{00000000-0009-0000-0000-000002000000}"/>
  <hyperlinks>
    <hyperlink ref="F26" location="'3.2.MSE variant list'!A1" display="Variant" xr:uid="{00000000-0004-0000-0200-000000000000}"/>
    <hyperlink ref="J26" location="'3.2.MSE variant list'!A1" display="Mean Square Error" xr:uid="{00000000-0004-0000-0200-000001000000}"/>
    <hyperlink ref="D26" location="'3.2.MSE variant list'!A1" display="MSE" xr:uid="{00000000-0004-0000-0200-000002000000}"/>
    <hyperlink ref="F55" location="'3.2.error instruments'!A1" display="Variant" xr:uid="{00000000-0004-0000-0200-000003000000}"/>
    <hyperlink ref="J55" location="'3.2.error instruments'!A1" display="Mean Absolute Error" xr:uid="{00000000-0004-0000-0200-000004000000}"/>
    <hyperlink ref="D55" location="'3.2.error instruments'!A1" display="MAE" xr:uid="{00000000-0004-0000-0200-000005000000}"/>
    <hyperlink ref="F54" location="'3.2.error instruments'!A1" display="Variant" xr:uid="{00000000-0004-0000-0200-000006000000}"/>
    <hyperlink ref="J54" location="'3.2.error instruments'!A1" display="Mean Square Error" xr:uid="{00000000-0004-0000-0200-000007000000}"/>
    <hyperlink ref="D54" location="'3.2.error instruments'!A1" display="MSE" xr:uid="{00000000-0004-0000-0200-000008000000}"/>
    <hyperlink ref="D26:J26" location="'3.2.error instruments'!A1" display="MRAE" xr:uid="{00000000-0004-0000-0200-000009000000}"/>
    <hyperlink ref="D54:J56" location="'3.2.error instruments'!A1" display="MSE" xr:uid="{00000000-0004-0000-0200-00000A00000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AA37"/>
  <sheetViews>
    <sheetView workbookViewId="0">
      <pane ySplit="4" topLeftCell="A5" activePane="bottomLeft" state="frozenSplit"/>
      <selection activeCell="B1" sqref="B1"/>
      <selection pane="bottomLeft" activeCell="K27" sqref="K27"/>
    </sheetView>
  </sheetViews>
  <sheetFormatPr baseColWidth="10" defaultColWidth="7.6640625" defaultRowHeight="14" x14ac:dyDescent="0.2"/>
  <cols>
    <col min="1" max="1" width="7.1640625" style="507" customWidth="1"/>
    <col min="2" max="2" width="11" style="507" customWidth="1"/>
    <col min="3" max="3" width="5.6640625" style="507" customWidth="1"/>
    <col min="4" max="4" width="8.33203125" style="508" customWidth="1"/>
    <col min="5" max="5" width="45.5" style="507" customWidth="1"/>
    <col min="6" max="9" width="2.6640625" style="509" customWidth="1"/>
    <col min="10" max="10" width="2.83203125" style="509" customWidth="1"/>
    <col min="11" max="15" width="2.6640625" style="509" customWidth="1"/>
    <col min="16" max="16" width="2.83203125" style="509" customWidth="1"/>
    <col min="17" max="19" width="2.6640625" style="509" customWidth="1"/>
    <col min="20" max="20" width="32.1640625" style="507" customWidth="1"/>
    <col min="21" max="21" width="23.33203125" style="507" customWidth="1"/>
    <col min="22" max="22" width="11.6640625" style="740" customWidth="1"/>
    <col min="23" max="23" width="34.5" style="740" customWidth="1"/>
    <col min="24" max="24" width="23.5" style="741" customWidth="1"/>
    <col min="25" max="26" width="11.6640625" style="740" customWidth="1"/>
    <col min="27" max="27" width="39.1640625" style="743" customWidth="1"/>
    <col min="28" max="16384" width="7.6640625" style="507"/>
  </cols>
  <sheetData>
    <row r="1" spans="1:27" ht="18" x14ac:dyDescent="0.2">
      <c r="A1" s="536" t="s">
        <v>701</v>
      </c>
    </row>
    <row r="2" spans="1:27" ht="16" customHeight="1" x14ac:dyDescent="0.2">
      <c r="A2" s="1128" t="s">
        <v>710</v>
      </c>
      <c r="B2" s="1128"/>
      <c r="C2" s="1128"/>
      <c r="D2" s="1128"/>
      <c r="V2" s="1127" t="s">
        <v>702</v>
      </c>
      <c r="W2" s="1127"/>
      <c r="X2" s="1127"/>
      <c r="Y2" s="1127"/>
      <c r="Z2" s="1127"/>
    </row>
    <row r="3" spans="1:27" ht="32" customHeight="1" x14ac:dyDescent="0.15">
      <c r="A3" s="1128"/>
      <c r="B3" s="1128"/>
      <c r="C3" s="1128"/>
      <c r="D3" s="1128"/>
      <c r="E3" s="433"/>
      <c r="F3" s="433">
        <f t="shared" ref="F3:R3" si="0">COUNTA(F$5:F$305)</f>
        <v>6</v>
      </c>
      <c r="G3" s="433">
        <f t="shared" si="0"/>
        <v>3</v>
      </c>
      <c r="H3" s="433">
        <f t="shared" si="0"/>
        <v>4</v>
      </c>
      <c r="I3" s="433">
        <f t="shared" si="0"/>
        <v>2</v>
      </c>
      <c r="J3" s="433">
        <f t="shared" si="0"/>
        <v>19</v>
      </c>
      <c r="K3" s="433">
        <f t="shared" si="0"/>
        <v>7</v>
      </c>
      <c r="L3" s="433">
        <f t="shared" si="0"/>
        <v>1</v>
      </c>
      <c r="M3" s="433">
        <f t="shared" si="0"/>
        <v>3</v>
      </c>
      <c r="N3" s="433">
        <f t="shared" si="0"/>
        <v>13</v>
      </c>
      <c r="O3" s="433">
        <f t="shared" si="0"/>
        <v>5</v>
      </c>
      <c r="P3" s="433">
        <f t="shared" si="0"/>
        <v>15</v>
      </c>
      <c r="Q3" s="433">
        <f t="shared" si="0"/>
        <v>8</v>
      </c>
      <c r="R3" s="433">
        <f t="shared" si="0"/>
        <v>3</v>
      </c>
      <c r="S3" s="744"/>
      <c r="T3" s="433"/>
      <c r="U3" s="433"/>
      <c r="V3" s="783" t="s">
        <v>393</v>
      </c>
      <c r="W3" s="784" t="s">
        <v>705</v>
      </c>
      <c r="X3" s="783" t="s">
        <v>704</v>
      </c>
      <c r="Y3" s="784" t="s">
        <v>776</v>
      </c>
      <c r="Z3" s="784" t="s">
        <v>777</v>
      </c>
      <c r="AA3" s="745"/>
    </row>
    <row r="4" spans="1:27" s="535" customFormat="1" ht="52.5" customHeight="1" x14ac:dyDescent="0.15">
      <c r="A4" s="746" t="s">
        <v>195</v>
      </c>
      <c r="B4" s="747" t="str">
        <f>"Total " &amp; COUNTA(B$5:B$305) - 2 &amp; " Instruments and variants"</f>
        <v>Total 30 Instruments and variants</v>
      </c>
      <c r="C4" s="748" t="str">
        <f xml:space="preserve"> COUNTA(C$5:C$305) &amp; " in PToPI"</f>
        <v>9 in PToPI</v>
      </c>
      <c r="D4" s="747" t="s">
        <v>335</v>
      </c>
      <c r="E4" s="747" t="s">
        <v>703</v>
      </c>
      <c r="F4" s="785" t="s">
        <v>365</v>
      </c>
      <c r="G4" s="785" t="s">
        <v>290</v>
      </c>
      <c r="H4" s="785" t="s">
        <v>302</v>
      </c>
      <c r="I4" s="785" t="s">
        <v>296</v>
      </c>
      <c r="J4" s="785" t="s">
        <v>283</v>
      </c>
      <c r="K4" s="785" t="s">
        <v>289</v>
      </c>
      <c r="L4" s="785" t="s">
        <v>334</v>
      </c>
      <c r="M4" s="785" t="s">
        <v>327</v>
      </c>
      <c r="N4" s="785" t="s">
        <v>330</v>
      </c>
      <c r="O4" s="785" t="s">
        <v>293</v>
      </c>
      <c r="P4" s="785" t="s">
        <v>284</v>
      </c>
      <c r="Q4" s="785" t="s">
        <v>285</v>
      </c>
      <c r="R4" s="785" t="s">
        <v>299</v>
      </c>
      <c r="S4" s="785" t="s">
        <v>286</v>
      </c>
      <c r="T4" s="746" t="s">
        <v>388</v>
      </c>
      <c r="U4" s="746" t="s">
        <v>387</v>
      </c>
      <c r="V4" s="782" t="s">
        <v>771</v>
      </c>
      <c r="W4" s="747" t="s">
        <v>772</v>
      </c>
      <c r="X4" s="747" t="s">
        <v>773</v>
      </c>
      <c r="Y4" s="747" t="s">
        <v>774</v>
      </c>
      <c r="Z4" s="747" t="s">
        <v>775</v>
      </c>
      <c r="AA4" s="747" t="s">
        <v>389</v>
      </c>
    </row>
    <row r="5" spans="1:27" ht="35.25" customHeight="1" x14ac:dyDescent="0.2">
      <c r="A5" s="507" t="s">
        <v>675</v>
      </c>
      <c r="B5" s="718" t="s">
        <v>318</v>
      </c>
      <c r="D5" s="508" t="s">
        <v>688</v>
      </c>
      <c r="E5" s="507" t="s">
        <v>319</v>
      </c>
      <c r="J5" s="509" t="s">
        <v>331</v>
      </c>
      <c r="S5" s="509" t="s">
        <v>331</v>
      </c>
      <c r="T5" s="507" t="s">
        <v>368</v>
      </c>
      <c r="V5" s="749" t="s">
        <v>590</v>
      </c>
      <c r="X5" s="741" t="s">
        <v>708</v>
      </c>
      <c r="Y5" s="740" t="s">
        <v>590</v>
      </c>
      <c r="AA5" s="743" t="s">
        <v>697</v>
      </c>
    </row>
    <row r="6" spans="1:27" ht="35.25" customHeight="1" x14ac:dyDescent="0.2">
      <c r="A6" s="507" t="s">
        <v>272</v>
      </c>
      <c r="B6" s="718" t="s">
        <v>247</v>
      </c>
      <c r="C6" s="507" t="s">
        <v>590</v>
      </c>
      <c r="D6" s="508" t="s">
        <v>658</v>
      </c>
      <c r="E6" s="507" t="s">
        <v>248</v>
      </c>
      <c r="J6" s="509" t="s">
        <v>331</v>
      </c>
      <c r="N6" s="509" t="s">
        <v>331</v>
      </c>
      <c r="S6" s="509" t="s">
        <v>331</v>
      </c>
      <c r="T6" s="507" t="s">
        <v>369</v>
      </c>
      <c r="AA6" s="743" t="s">
        <v>366</v>
      </c>
    </row>
    <row r="7" spans="1:27" ht="35.25" customHeight="1" x14ac:dyDescent="0.2">
      <c r="A7" s="507" t="s">
        <v>433</v>
      </c>
      <c r="B7" s="718" t="s">
        <v>306</v>
      </c>
      <c r="C7" s="507" t="s">
        <v>590</v>
      </c>
      <c r="D7" s="508" t="s">
        <v>658</v>
      </c>
      <c r="E7" s="507" t="s">
        <v>307</v>
      </c>
      <c r="H7" s="509" t="s">
        <v>331</v>
      </c>
      <c r="J7" s="509" t="s">
        <v>331</v>
      </c>
      <c r="N7" s="509" t="s">
        <v>331</v>
      </c>
      <c r="S7" s="509" t="s">
        <v>331</v>
      </c>
      <c r="T7" s="507" t="s">
        <v>372</v>
      </c>
      <c r="AA7" s="743" t="s">
        <v>698</v>
      </c>
    </row>
    <row r="8" spans="1:27" ht="35.25" customHeight="1" x14ac:dyDescent="0.2">
      <c r="A8" s="507" t="s">
        <v>736</v>
      </c>
      <c r="B8" s="718" t="s">
        <v>328</v>
      </c>
      <c r="D8" s="508" t="s">
        <v>658</v>
      </c>
      <c r="E8" s="507" t="s">
        <v>329</v>
      </c>
      <c r="K8" s="509" t="s">
        <v>331</v>
      </c>
      <c r="N8" s="509" t="s">
        <v>331</v>
      </c>
      <c r="S8" s="509" t="s">
        <v>331</v>
      </c>
      <c r="T8" s="507" t="s">
        <v>370</v>
      </c>
    </row>
    <row r="9" spans="1:27" ht="35.25" customHeight="1" x14ac:dyDescent="0.2">
      <c r="A9" s="507" t="s">
        <v>735</v>
      </c>
      <c r="B9" s="720" t="s">
        <v>326</v>
      </c>
      <c r="D9" s="508" t="s">
        <v>658</v>
      </c>
      <c r="E9" s="507" t="s">
        <v>363</v>
      </c>
      <c r="M9" s="509" t="s">
        <v>331</v>
      </c>
      <c r="N9" s="509" t="s">
        <v>331</v>
      </c>
      <c r="S9" s="509" t="s">
        <v>331</v>
      </c>
      <c r="T9" s="507" t="s">
        <v>371</v>
      </c>
      <c r="AA9" s="743" t="s">
        <v>699</v>
      </c>
    </row>
    <row r="10" spans="1:27" ht="35.25" customHeight="1" x14ac:dyDescent="0.2">
      <c r="A10" s="507" t="s">
        <v>734</v>
      </c>
      <c r="B10" s="719" t="s">
        <v>364</v>
      </c>
      <c r="D10" s="508" t="s">
        <v>658</v>
      </c>
      <c r="E10" s="507" t="s">
        <v>448</v>
      </c>
      <c r="F10" s="509" t="s">
        <v>331</v>
      </c>
      <c r="J10" s="509" t="s">
        <v>331</v>
      </c>
      <c r="N10" s="509" t="s">
        <v>331</v>
      </c>
      <c r="S10" s="509" t="s">
        <v>331</v>
      </c>
      <c r="T10" s="507" t="s">
        <v>446</v>
      </c>
      <c r="W10" s="742" t="s">
        <v>693</v>
      </c>
      <c r="X10" s="683"/>
    </row>
    <row r="11" spans="1:27" ht="35.25" customHeight="1" x14ac:dyDescent="0.2">
      <c r="A11" s="507" t="s">
        <v>733</v>
      </c>
      <c r="B11" s="719" t="s">
        <v>364</v>
      </c>
      <c r="D11" s="508" t="s">
        <v>658</v>
      </c>
      <c r="E11" s="507" t="s">
        <v>449</v>
      </c>
      <c r="F11" s="509" t="s">
        <v>331</v>
      </c>
      <c r="J11" s="509" t="s">
        <v>331</v>
      </c>
      <c r="N11" s="509" t="s">
        <v>331</v>
      </c>
      <c r="S11" s="509" t="s">
        <v>331</v>
      </c>
      <c r="T11" s="507" t="s">
        <v>444</v>
      </c>
      <c r="W11" s="742" t="s">
        <v>694</v>
      </c>
      <c r="X11" s="683"/>
      <c r="Y11" s="740" t="s">
        <v>590</v>
      </c>
    </row>
    <row r="12" spans="1:27" ht="35.25" customHeight="1" x14ac:dyDescent="0.2">
      <c r="A12" s="507" t="s">
        <v>732</v>
      </c>
      <c r="B12" s="719" t="s">
        <v>364</v>
      </c>
      <c r="D12" s="508" t="s">
        <v>658</v>
      </c>
      <c r="E12" s="507" t="s">
        <v>450</v>
      </c>
      <c r="F12" s="509" t="s">
        <v>331</v>
      </c>
      <c r="J12" s="509" t="s">
        <v>331</v>
      </c>
      <c r="N12" s="509" t="s">
        <v>331</v>
      </c>
      <c r="S12" s="509" t="s">
        <v>331</v>
      </c>
      <c r="T12" s="507" t="s">
        <v>445</v>
      </c>
      <c r="W12" s="742" t="s">
        <v>695</v>
      </c>
      <c r="X12" s="683"/>
      <c r="Y12" s="740" t="s">
        <v>590</v>
      </c>
    </row>
    <row r="13" spans="1:27" ht="35.25" customHeight="1" x14ac:dyDescent="0.2">
      <c r="A13" s="507" t="s">
        <v>731</v>
      </c>
      <c r="B13" s="719" t="s">
        <v>364</v>
      </c>
      <c r="D13" s="508" t="s">
        <v>658</v>
      </c>
      <c r="E13" s="507" t="s">
        <v>451</v>
      </c>
      <c r="F13" s="509" t="s">
        <v>331</v>
      </c>
      <c r="J13" s="509" t="s">
        <v>331</v>
      </c>
      <c r="N13" s="509" t="s">
        <v>331</v>
      </c>
      <c r="S13" s="509" t="s">
        <v>331</v>
      </c>
      <c r="T13" s="507" t="s">
        <v>443</v>
      </c>
      <c r="W13" s="742" t="s">
        <v>693</v>
      </c>
      <c r="X13" s="741" t="s">
        <v>709</v>
      </c>
      <c r="Y13" s="740" t="s">
        <v>590</v>
      </c>
    </row>
    <row r="14" spans="1:27" ht="35.25" customHeight="1" x14ac:dyDescent="0.2">
      <c r="A14" s="507" t="s">
        <v>730</v>
      </c>
      <c r="B14" s="719" t="s">
        <v>364</v>
      </c>
      <c r="D14" s="508" t="s">
        <v>658</v>
      </c>
      <c r="E14" s="507" t="s">
        <v>452</v>
      </c>
      <c r="F14" s="509" t="s">
        <v>331</v>
      </c>
      <c r="J14" s="509" t="s">
        <v>331</v>
      </c>
      <c r="N14" s="509" t="s">
        <v>331</v>
      </c>
      <c r="S14" s="509" t="s">
        <v>331</v>
      </c>
      <c r="T14" s="507" t="s">
        <v>447</v>
      </c>
      <c r="W14" s="742" t="s">
        <v>696</v>
      </c>
      <c r="X14" s="683"/>
    </row>
    <row r="15" spans="1:27" ht="35.25" customHeight="1" x14ac:dyDescent="0.2">
      <c r="A15" s="507" t="s">
        <v>273</v>
      </c>
      <c r="B15" s="717" t="s">
        <v>308</v>
      </c>
      <c r="C15" s="507" t="s">
        <v>590</v>
      </c>
      <c r="D15" s="508" t="s">
        <v>284</v>
      </c>
      <c r="E15" s="507" t="s">
        <v>309</v>
      </c>
      <c r="J15" s="509" t="s">
        <v>331</v>
      </c>
      <c r="P15" s="509" t="s">
        <v>331</v>
      </c>
      <c r="S15" s="509" t="s">
        <v>331</v>
      </c>
      <c r="T15" s="507" t="s">
        <v>453</v>
      </c>
      <c r="AA15" s="743" t="s">
        <v>700</v>
      </c>
    </row>
    <row r="16" spans="1:27" ht="35.25" customHeight="1" x14ac:dyDescent="0.2">
      <c r="A16" s="507" t="s">
        <v>457</v>
      </c>
      <c r="B16" s="717" t="s">
        <v>310</v>
      </c>
      <c r="C16" s="507" t="s">
        <v>590</v>
      </c>
      <c r="D16" s="508" t="s">
        <v>284</v>
      </c>
      <c r="E16" s="507" t="s">
        <v>311</v>
      </c>
      <c r="K16" s="509" t="s">
        <v>331</v>
      </c>
      <c r="P16" s="509" t="s">
        <v>331</v>
      </c>
      <c r="S16" s="509" t="s">
        <v>331</v>
      </c>
      <c r="T16" s="507" t="s">
        <v>454</v>
      </c>
    </row>
    <row r="17" spans="1:26" ht="35.25" customHeight="1" x14ac:dyDescent="0.2">
      <c r="A17" s="507" t="s">
        <v>436</v>
      </c>
      <c r="B17" s="717" t="s">
        <v>332</v>
      </c>
      <c r="C17" s="507" t="s">
        <v>590</v>
      </c>
      <c r="D17" s="508" t="s">
        <v>284</v>
      </c>
      <c r="E17" s="507" t="s">
        <v>333</v>
      </c>
      <c r="L17" s="509" t="s">
        <v>331</v>
      </c>
      <c r="P17" s="509" t="s">
        <v>331</v>
      </c>
      <c r="S17" s="509" t="s">
        <v>331</v>
      </c>
      <c r="T17" s="507" t="s">
        <v>455</v>
      </c>
    </row>
    <row r="18" spans="1:26" ht="35.25" customHeight="1" x14ac:dyDescent="0.2">
      <c r="A18" s="507" t="s">
        <v>737</v>
      </c>
      <c r="B18" s="717" t="s">
        <v>324</v>
      </c>
      <c r="D18" s="508" t="s">
        <v>284</v>
      </c>
      <c r="E18" s="507" t="s">
        <v>325</v>
      </c>
      <c r="I18" s="509" t="s">
        <v>331</v>
      </c>
      <c r="J18" s="509" t="s">
        <v>331</v>
      </c>
      <c r="P18" s="509" t="s">
        <v>331</v>
      </c>
      <c r="S18" s="509" t="s">
        <v>331</v>
      </c>
      <c r="T18" s="507" t="s">
        <v>456</v>
      </c>
    </row>
    <row r="19" spans="1:26" ht="35.25" customHeight="1" x14ac:dyDescent="0.2">
      <c r="A19" s="507" t="s">
        <v>742</v>
      </c>
      <c r="B19" s="720" t="s">
        <v>316</v>
      </c>
      <c r="C19" s="507" t="s">
        <v>590</v>
      </c>
      <c r="D19" s="508" t="s">
        <v>293</v>
      </c>
      <c r="E19" s="507" t="s">
        <v>317</v>
      </c>
      <c r="J19" s="509" t="s">
        <v>331</v>
      </c>
      <c r="O19" s="509" t="s">
        <v>331</v>
      </c>
      <c r="P19" s="509" t="s">
        <v>331</v>
      </c>
      <c r="S19" s="509" t="s">
        <v>331</v>
      </c>
      <c r="T19" s="507" t="s">
        <v>384</v>
      </c>
      <c r="Y19" s="740" t="s">
        <v>590</v>
      </c>
    </row>
    <row r="20" spans="1:26" ht="35.25" customHeight="1" x14ac:dyDescent="0.2">
      <c r="A20" s="507" t="s">
        <v>661</v>
      </c>
      <c r="B20" s="720" t="s">
        <v>291</v>
      </c>
      <c r="C20" s="507" t="s">
        <v>590</v>
      </c>
      <c r="D20" s="508" t="s">
        <v>293</v>
      </c>
      <c r="E20" s="507" t="s">
        <v>292</v>
      </c>
      <c r="K20" s="509" t="s">
        <v>331</v>
      </c>
      <c r="O20" s="509" t="s">
        <v>331</v>
      </c>
      <c r="P20" s="509" t="s">
        <v>331</v>
      </c>
      <c r="S20" s="509" t="s">
        <v>331</v>
      </c>
      <c r="T20" s="507" t="s">
        <v>385</v>
      </c>
      <c r="Y20" s="740" t="s">
        <v>590</v>
      </c>
    </row>
    <row r="21" spans="1:26" ht="35.25" customHeight="1" x14ac:dyDescent="0.2">
      <c r="A21" s="507" t="s">
        <v>662</v>
      </c>
      <c r="B21" s="720" t="s">
        <v>294</v>
      </c>
      <c r="C21" s="507" t="s">
        <v>590</v>
      </c>
      <c r="D21" s="508" t="s">
        <v>293</v>
      </c>
      <c r="E21" s="507" t="s">
        <v>295</v>
      </c>
      <c r="I21" s="509" t="s">
        <v>331</v>
      </c>
      <c r="J21" s="509" t="s">
        <v>331</v>
      </c>
      <c r="O21" s="509" t="s">
        <v>331</v>
      </c>
      <c r="P21" s="509" t="s">
        <v>331</v>
      </c>
      <c r="S21" s="509" t="s">
        <v>331</v>
      </c>
      <c r="T21" s="507" t="s">
        <v>386</v>
      </c>
      <c r="Y21" s="740" t="s">
        <v>590</v>
      </c>
    </row>
    <row r="22" spans="1:26" ht="35.25" customHeight="1" x14ac:dyDescent="0.2">
      <c r="A22" s="507" t="s">
        <v>743</v>
      </c>
      <c r="B22" s="720" t="s">
        <v>322</v>
      </c>
      <c r="D22" s="508" t="s">
        <v>293</v>
      </c>
      <c r="E22" s="507" t="s">
        <v>323</v>
      </c>
      <c r="M22" s="511" t="s">
        <v>331</v>
      </c>
      <c r="O22" s="509" t="s">
        <v>331</v>
      </c>
      <c r="P22" s="509" t="s">
        <v>331</v>
      </c>
      <c r="S22" s="509" t="s">
        <v>331</v>
      </c>
      <c r="T22" s="507" t="s">
        <v>383</v>
      </c>
      <c r="Y22" s="740" t="s">
        <v>590</v>
      </c>
    </row>
    <row r="23" spans="1:26" ht="35.25" customHeight="1" x14ac:dyDescent="0.2">
      <c r="A23" s="507" t="s">
        <v>682</v>
      </c>
      <c r="B23" s="720" t="s">
        <v>361</v>
      </c>
      <c r="D23" s="508" t="s">
        <v>293</v>
      </c>
      <c r="E23" s="507" t="s">
        <v>362</v>
      </c>
      <c r="M23" s="511" t="s">
        <v>331</v>
      </c>
      <c r="N23" s="509" t="s">
        <v>331</v>
      </c>
      <c r="O23" s="509" t="s">
        <v>331</v>
      </c>
      <c r="S23" s="509" t="s">
        <v>331</v>
      </c>
      <c r="T23" s="507" t="s">
        <v>410</v>
      </c>
      <c r="Y23" s="740" t="s">
        <v>590</v>
      </c>
    </row>
    <row r="24" spans="1:26" ht="35.25" customHeight="1" x14ac:dyDescent="0.2">
      <c r="A24" s="507" t="s">
        <v>676</v>
      </c>
      <c r="B24" s="717" t="s">
        <v>320</v>
      </c>
      <c r="D24" s="508" t="s">
        <v>285</v>
      </c>
      <c r="E24" s="507" t="s">
        <v>321</v>
      </c>
      <c r="J24" s="509" t="s">
        <v>331</v>
      </c>
      <c r="Q24" s="509" t="s">
        <v>331</v>
      </c>
      <c r="S24" s="509" t="s">
        <v>331</v>
      </c>
      <c r="T24" s="507" t="s">
        <v>373</v>
      </c>
      <c r="V24" s="749" t="s">
        <v>590</v>
      </c>
      <c r="W24" s="750" t="s">
        <v>778</v>
      </c>
      <c r="X24" s="741" t="s">
        <v>706</v>
      </c>
      <c r="Y24" s="740" t="s">
        <v>590</v>
      </c>
    </row>
    <row r="25" spans="1:26" ht="35.25" customHeight="1" x14ac:dyDescent="0.2">
      <c r="A25" s="507" t="s">
        <v>677</v>
      </c>
      <c r="B25" s="717" t="s">
        <v>281</v>
      </c>
      <c r="D25" s="508" t="s">
        <v>285</v>
      </c>
      <c r="E25" s="507" t="s">
        <v>282</v>
      </c>
      <c r="J25" s="509" t="s">
        <v>331</v>
      </c>
      <c r="P25" s="509" t="s">
        <v>331</v>
      </c>
      <c r="Q25" s="509" t="s">
        <v>331</v>
      </c>
      <c r="S25" s="509" t="s">
        <v>331</v>
      </c>
      <c r="T25" s="507" t="s">
        <v>374</v>
      </c>
      <c r="W25" s="750" t="s">
        <v>778</v>
      </c>
      <c r="X25" s="741" t="s">
        <v>706</v>
      </c>
      <c r="Y25" s="740" t="s">
        <v>590</v>
      </c>
    </row>
    <row r="26" spans="1:26" ht="35.25" customHeight="1" x14ac:dyDescent="0.2">
      <c r="A26" s="507" t="s">
        <v>679</v>
      </c>
      <c r="B26" s="717" t="s">
        <v>287</v>
      </c>
      <c r="D26" s="508" t="s">
        <v>285</v>
      </c>
      <c r="E26" s="507" t="s">
        <v>288</v>
      </c>
      <c r="K26" s="509" t="s">
        <v>331</v>
      </c>
      <c r="P26" s="509" t="s">
        <v>331</v>
      </c>
      <c r="Q26" s="509" t="s">
        <v>331</v>
      </c>
      <c r="S26" s="509" t="s">
        <v>331</v>
      </c>
      <c r="T26" s="507" t="s">
        <v>375</v>
      </c>
      <c r="W26" s="750" t="s">
        <v>778</v>
      </c>
      <c r="X26" s="741" t="s">
        <v>706</v>
      </c>
      <c r="Y26" s="740" t="s">
        <v>590</v>
      </c>
    </row>
    <row r="27" spans="1:26" ht="35.25" customHeight="1" x14ac:dyDescent="0.2">
      <c r="A27" s="507" t="s">
        <v>680</v>
      </c>
      <c r="B27" s="717" t="s">
        <v>312</v>
      </c>
      <c r="D27" s="508" t="s">
        <v>285</v>
      </c>
      <c r="E27" s="507" t="s">
        <v>313</v>
      </c>
      <c r="H27" s="509" t="s">
        <v>331</v>
      </c>
      <c r="J27" s="509" t="s">
        <v>331</v>
      </c>
      <c r="N27" s="509" t="s">
        <v>331</v>
      </c>
      <c r="Q27" s="509" t="s">
        <v>331</v>
      </c>
      <c r="S27" s="509" t="s">
        <v>331</v>
      </c>
      <c r="T27" s="507" t="s">
        <v>376</v>
      </c>
      <c r="W27" s="750" t="s">
        <v>778</v>
      </c>
      <c r="X27" s="741" t="s">
        <v>706</v>
      </c>
      <c r="Y27" s="740" t="s">
        <v>590</v>
      </c>
    </row>
    <row r="28" spans="1:26" ht="35.25" customHeight="1" x14ac:dyDescent="0.2">
      <c r="A28" s="507" t="s">
        <v>681</v>
      </c>
      <c r="B28" s="717" t="s">
        <v>314</v>
      </c>
      <c r="D28" s="508" t="s">
        <v>285</v>
      </c>
      <c r="E28" s="507" t="s">
        <v>315</v>
      </c>
      <c r="H28" s="509" t="s">
        <v>331</v>
      </c>
      <c r="K28" s="509" t="s">
        <v>331</v>
      </c>
      <c r="N28" s="509" t="s">
        <v>331</v>
      </c>
      <c r="Q28" s="509" t="s">
        <v>331</v>
      </c>
      <c r="S28" s="509" t="s">
        <v>331</v>
      </c>
      <c r="T28" s="507" t="s">
        <v>377</v>
      </c>
      <c r="W28" s="750" t="s">
        <v>778</v>
      </c>
      <c r="X28" s="741" t="s">
        <v>706</v>
      </c>
      <c r="Y28" s="740" t="s">
        <v>590</v>
      </c>
    </row>
    <row r="29" spans="1:26" ht="35.25" customHeight="1" x14ac:dyDescent="0.2">
      <c r="A29" s="507" t="s">
        <v>683</v>
      </c>
      <c r="B29" s="717" t="s">
        <v>267</v>
      </c>
      <c r="D29" s="508" t="s">
        <v>367</v>
      </c>
      <c r="E29" s="507" t="s">
        <v>268</v>
      </c>
      <c r="G29" s="509" t="s">
        <v>331</v>
      </c>
      <c r="J29" s="509" t="s">
        <v>331</v>
      </c>
      <c r="P29" s="509" t="s">
        <v>331</v>
      </c>
      <c r="Q29" s="509" t="s">
        <v>331</v>
      </c>
      <c r="S29" s="509" t="s">
        <v>331</v>
      </c>
      <c r="T29" s="507" t="s">
        <v>378</v>
      </c>
      <c r="W29" s="750" t="s">
        <v>711</v>
      </c>
      <c r="X29" s="741" t="s">
        <v>707</v>
      </c>
    </row>
    <row r="30" spans="1:26" ht="35.25" customHeight="1" x14ac:dyDescent="0.2">
      <c r="A30" s="507" t="s">
        <v>435</v>
      </c>
      <c r="B30" s="717" t="s">
        <v>351</v>
      </c>
      <c r="C30" s="507" t="s">
        <v>590</v>
      </c>
      <c r="D30" s="508" t="s">
        <v>367</v>
      </c>
      <c r="E30" s="507" t="s">
        <v>458</v>
      </c>
      <c r="F30" s="509" t="s">
        <v>331</v>
      </c>
      <c r="G30" s="509" t="s">
        <v>331</v>
      </c>
      <c r="J30" s="509" t="s">
        <v>331</v>
      </c>
      <c r="P30" s="509" t="s">
        <v>331</v>
      </c>
      <c r="Q30" s="509" t="s">
        <v>331</v>
      </c>
      <c r="S30" s="509" t="s">
        <v>331</v>
      </c>
      <c r="T30" s="507" t="s">
        <v>378</v>
      </c>
      <c r="W30" s="749" t="s">
        <v>712</v>
      </c>
      <c r="X30" s="741" t="s">
        <v>707</v>
      </c>
    </row>
    <row r="31" spans="1:26" ht="35.25" customHeight="1" x14ac:dyDescent="0.2">
      <c r="A31" s="507" t="s">
        <v>684</v>
      </c>
      <c r="B31" s="717" t="s">
        <v>475</v>
      </c>
      <c r="D31" s="508" t="s">
        <v>367</v>
      </c>
      <c r="E31" s="507" t="s">
        <v>476</v>
      </c>
      <c r="G31" s="509" t="s">
        <v>331</v>
      </c>
      <c r="K31" s="509" t="s">
        <v>331</v>
      </c>
      <c r="P31" s="509" t="s">
        <v>331</v>
      </c>
      <c r="Q31" s="509" t="s">
        <v>331</v>
      </c>
      <c r="S31" s="509" t="s">
        <v>331</v>
      </c>
      <c r="T31" s="507" t="s">
        <v>379</v>
      </c>
      <c r="W31" s="749" t="s">
        <v>712</v>
      </c>
      <c r="X31" s="741" t="s">
        <v>707</v>
      </c>
    </row>
    <row r="32" spans="1:26" ht="35.25" customHeight="1" x14ac:dyDescent="0.2">
      <c r="A32" s="561" t="s">
        <v>439</v>
      </c>
      <c r="B32" s="510" t="s">
        <v>297</v>
      </c>
      <c r="D32" s="508" t="s">
        <v>299</v>
      </c>
      <c r="E32" s="507" t="s">
        <v>298</v>
      </c>
      <c r="J32" s="509" t="s">
        <v>331</v>
      </c>
      <c r="P32" s="509" t="s">
        <v>331</v>
      </c>
      <c r="R32" s="509" t="s">
        <v>331</v>
      </c>
      <c r="S32" s="509" t="s">
        <v>331</v>
      </c>
      <c r="T32" s="507" t="s">
        <v>380</v>
      </c>
      <c r="W32" s="750" t="s">
        <v>713</v>
      </c>
      <c r="Y32" s="740" t="s">
        <v>590</v>
      </c>
      <c r="Z32" s="749" t="s">
        <v>590</v>
      </c>
    </row>
    <row r="33" spans="1:27" ht="35.25" customHeight="1" x14ac:dyDescent="0.2">
      <c r="A33" s="561" t="s">
        <v>440</v>
      </c>
      <c r="B33" s="510" t="s">
        <v>303</v>
      </c>
      <c r="D33" s="508" t="s">
        <v>299</v>
      </c>
      <c r="E33" s="507" t="s">
        <v>304</v>
      </c>
      <c r="K33" s="509" t="s">
        <v>331</v>
      </c>
      <c r="P33" s="509" t="s">
        <v>331</v>
      </c>
      <c r="R33" s="509" t="s">
        <v>331</v>
      </c>
      <c r="S33" s="509" t="s">
        <v>331</v>
      </c>
      <c r="T33" s="507" t="s">
        <v>381</v>
      </c>
      <c r="W33" s="750" t="s">
        <v>713</v>
      </c>
      <c r="Y33" s="740" t="s">
        <v>590</v>
      </c>
      <c r="Z33" s="749" t="s">
        <v>590</v>
      </c>
    </row>
    <row r="34" spans="1:27" ht="35.25" customHeight="1" x14ac:dyDescent="0.2">
      <c r="A34" s="561" t="s">
        <v>441</v>
      </c>
      <c r="B34" s="510" t="s">
        <v>300</v>
      </c>
      <c r="D34" s="508" t="s">
        <v>299</v>
      </c>
      <c r="E34" s="507" t="s">
        <v>301</v>
      </c>
      <c r="H34" s="509" t="s">
        <v>331</v>
      </c>
      <c r="J34" s="509" t="s">
        <v>331</v>
      </c>
      <c r="N34" s="509" t="s">
        <v>331</v>
      </c>
      <c r="R34" s="509" t="s">
        <v>331</v>
      </c>
      <c r="S34" s="509" t="s">
        <v>331</v>
      </c>
      <c r="T34" s="507" t="s">
        <v>382</v>
      </c>
      <c r="W34" s="750" t="s">
        <v>713</v>
      </c>
      <c r="Y34" s="740" t="s">
        <v>590</v>
      </c>
      <c r="Z34" s="749" t="s">
        <v>590</v>
      </c>
    </row>
    <row r="35" spans="1:27" x14ac:dyDescent="0.2">
      <c r="A35" s="507" t="s">
        <v>779</v>
      </c>
    </row>
    <row r="36" spans="1:27" ht="35.25" customHeight="1" x14ac:dyDescent="0.2">
      <c r="A36" s="507" t="s">
        <v>103</v>
      </c>
      <c r="B36" s="510" t="s">
        <v>757</v>
      </c>
      <c r="E36" s="507" t="s">
        <v>761</v>
      </c>
      <c r="AA36" s="743" t="s">
        <v>763</v>
      </c>
    </row>
    <row r="37" spans="1:27" ht="61.5" customHeight="1" x14ac:dyDescent="0.2">
      <c r="A37" s="507" t="s">
        <v>760</v>
      </c>
      <c r="B37" s="510" t="s">
        <v>758</v>
      </c>
      <c r="E37" s="507" t="s">
        <v>762</v>
      </c>
      <c r="AA37" s="743" t="s">
        <v>764</v>
      </c>
    </row>
  </sheetData>
  <autoFilter ref="A4:AA4" xr:uid="{00000000-0009-0000-0000-000003000000}"/>
  <sortState xmlns:xlrd2="http://schemas.microsoft.com/office/spreadsheetml/2017/richdata2" ref="B24:S34">
    <sortCondition ref="R24:R34"/>
    <sortCondition ref="Q24:Q34"/>
    <sortCondition ref="P24:P34"/>
    <sortCondition ref="O24:O34"/>
    <sortCondition ref="G24:G34"/>
    <sortCondition ref="H24:H34"/>
    <sortCondition ref="J24:J34"/>
    <sortCondition ref="K24:K34"/>
  </sortState>
  <mergeCells count="2">
    <mergeCell ref="V2:Z2"/>
    <mergeCell ref="A2:D3"/>
  </mergeCells>
  <phoneticPr fontId="16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AE70"/>
  <sheetViews>
    <sheetView showGridLines="0" showRowColHeaders="0" zoomScale="109" zoomScaleNormal="109" workbookViewId="0">
      <selection activeCell="R28" sqref="R28"/>
    </sheetView>
  </sheetViews>
  <sheetFormatPr baseColWidth="10" defaultColWidth="8" defaultRowHeight="14" x14ac:dyDescent="0.15"/>
  <cols>
    <col min="1" max="1" width="3.1640625" style="385" customWidth="1"/>
    <col min="2" max="2" width="11.33203125" style="385" customWidth="1"/>
    <col min="3" max="3" width="7.1640625" style="385" customWidth="1"/>
    <col min="4" max="4" width="5.5" style="385" hidden="1" customWidth="1"/>
    <col min="5" max="5" width="6.1640625" style="385" hidden="1" customWidth="1"/>
    <col min="6" max="6" width="11.1640625" style="385" hidden="1" customWidth="1"/>
    <col min="7" max="7" width="11.5" style="385" hidden="1" customWidth="1"/>
    <col min="8" max="8" width="10.83203125" style="385" customWidth="1"/>
    <col min="9" max="9" width="10" style="385" customWidth="1"/>
    <col min="10" max="10" width="5.5" style="385" hidden="1" customWidth="1"/>
    <col min="11" max="13" width="10.33203125" style="385" hidden="1" customWidth="1"/>
    <col min="14" max="14" width="5.5" style="385" hidden="1" customWidth="1"/>
    <col min="15" max="15" width="10.5" style="385" hidden="1" customWidth="1"/>
    <col min="16" max="16" width="12" style="385" customWidth="1"/>
    <col min="17" max="17" width="15.83203125" style="385" customWidth="1"/>
    <col min="18" max="18" width="14.83203125" style="385" customWidth="1"/>
    <col min="19" max="19" width="16.6640625" style="385" customWidth="1"/>
    <col min="20" max="20" width="13.6640625" style="385" customWidth="1"/>
    <col min="21" max="21" width="17.33203125" style="385" customWidth="1"/>
    <col min="22" max="22" width="11.33203125" style="385" customWidth="1"/>
    <col min="23" max="23" width="14" style="385" customWidth="1"/>
    <col min="24" max="24" width="1.6640625" style="387" customWidth="1"/>
    <col min="25" max="26" width="16" style="385" customWidth="1"/>
    <col min="27" max="27" width="10.5" style="385" customWidth="1"/>
    <col min="28" max="28" width="16.83203125" style="385" customWidth="1"/>
    <col min="29" max="29" width="8.6640625" style="385" bestFit="1" customWidth="1"/>
    <col min="30" max="16384" width="8" style="385"/>
  </cols>
  <sheetData>
    <row r="1" spans="1:31" ht="15" customHeight="1" x14ac:dyDescent="0.15">
      <c r="B1" s="1161" t="s">
        <v>850</v>
      </c>
      <c r="C1" s="1161"/>
      <c r="D1" s="1161"/>
      <c r="E1" s="1161"/>
      <c r="F1" s="1161"/>
      <c r="G1" s="1161"/>
      <c r="H1" s="1161"/>
      <c r="I1" s="1161"/>
      <c r="P1" s="1143" t="s">
        <v>336</v>
      </c>
      <c r="Q1" s="1133"/>
      <c r="R1" s="1133"/>
      <c r="S1" s="1134"/>
      <c r="T1" s="1154" t="s">
        <v>337</v>
      </c>
      <c r="U1" s="1144"/>
      <c r="V1" s="1144"/>
      <c r="W1" s="1155"/>
      <c r="X1" s="386"/>
      <c r="AA1" s="1143" t="s">
        <v>338</v>
      </c>
      <c r="AB1" s="1134"/>
    </row>
    <row r="2" spans="1:31" x14ac:dyDescent="0.15">
      <c r="B2" s="1161"/>
      <c r="C2" s="1161"/>
      <c r="D2" s="1161"/>
      <c r="E2" s="1161"/>
      <c r="F2" s="1161"/>
      <c r="G2" s="1161"/>
      <c r="H2" s="1161"/>
      <c r="I2" s="1161"/>
    </row>
    <row r="3" spans="1:31" ht="21" customHeight="1" x14ac:dyDescent="0.15">
      <c r="B3" s="1161"/>
      <c r="C3" s="1161"/>
      <c r="D3" s="1161"/>
      <c r="E3" s="1161"/>
      <c r="F3" s="1161"/>
      <c r="G3" s="1161"/>
      <c r="H3" s="1161"/>
      <c r="I3" s="1161"/>
      <c r="P3" s="388" t="s">
        <v>14</v>
      </c>
      <c r="Q3" s="389" t="s">
        <v>15</v>
      </c>
      <c r="R3" s="389" t="s">
        <v>16</v>
      </c>
      <c r="S3" s="388" t="s">
        <v>17</v>
      </c>
      <c r="T3" s="390" t="s">
        <v>0</v>
      </c>
      <c r="U3" s="391" t="s">
        <v>1</v>
      </c>
      <c r="V3" s="391" t="s">
        <v>3</v>
      </c>
      <c r="W3" s="585" t="s">
        <v>31</v>
      </c>
      <c r="Y3" s="1166" t="s">
        <v>391</v>
      </c>
      <c r="Z3" s="1167"/>
    </row>
    <row r="4" spans="1:31" ht="20" customHeight="1" thickBot="1" x14ac:dyDescent="0.2">
      <c r="B4" s="1161"/>
      <c r="C4" s="1161"/>
      <c r="D4" s="1161"/>
      <c r="E4" s="1161"/>
      <c r="F4" s="1161"/>
      <c r="G4" s="1161"/>
      <c r="H4" s="1161"/>
      <c r="I4" s="1161"/>
      <c r="P4" s="392">
        <f ca="1">SUM(Q6,R8)</f>
        <v>12</v>
      </c>
      <c r="Q4" s="393">
        <f ca="1">SUM(Q6,Q8)</f>
        <v>10</v>
      </c>
      <c r="R4" s="393">
        <f ca="1">SUM(R6,R8)</f>
        <v>10</v>
      </c>
      <c r="S4" s="392">
        <f ca="1">SUM(R6,Q8)</f>
        <v>8</v>
      </c>
      <c r="T4" s="394">
        <f ca="1">S10/(SQRT(Q4*P8*R4*P6))</f>
        <v>0.20412414523193151</v>
      </c>
      <c r="U4" s="394">
        <f ca="1">S10/(AVERAGE(Q4*P8,R4*P6))</f>
        <v>0.2</v>
      </c>
      <c r="V4" s="394">
        <f ca="1">2*T8*V8/(T8+V8)</f>
        <v>0.63636363636363646</v>
      </c>
      <c r="W4" s="395">
        <f ca="1">V8+W10-1</f>
        <v>0.19999999999999996</v>
      </c>
      <c r="Y4" s="1168" t="str">
        <f ca="1">"["&amp;ROUND(MIN(W8,V10,U8,T10,U6),2)&amp;", ("&amp;ROUND(AVERAGE(W8,V10,U8,T10,U6),2)&amp;"), "&amp;ROUND(MAX(W8,V10,U8,T10,U6),2)&amp;"]"</f>
        <v>[0.3, (0.4), 0.5]</v>
      </c>
      <c r="Z4" s="1169"/>
    </row>
    <row r="5" spans="1:31" ht="20" customHeight="1" x14ac:dyDescent="0.15">
      <c r="B5" s="1162" t="s">
        <v>425</v>
      </c>
      <c r="C5" s="1162"/>
      <c r="D5" s="533"/>
      <c r="E5" s="533"/>
      <c r="F5" s="533"/>
      <c r="G5" s="533"/>
      <c r="H5" s="533"/>
      <c r="I5" s="534" t="s">
        <v>426</v>
      </c>
      <c r="P5" s="396" t="s">
        <v>18</v>
      </c>
      <c r="Q5" s="397" t="s">
        <v>20</v>
      </c>
      <c r="R5" s="398" t="s">
        <v>21</v>
      </c>
      <c r="S5" s="399" t="s">
        <v>30</v>
      </c>
      <c r="T5" s="400" t="s">
        <v>6</v>
      </c>
      <c r="U5" s="400" t="s">
        <v>38</v>
      </c>
      <c r="V5" s="401" t="s">
        <v>32</v>
      </c>
      <c r="W5" s="401" t="s">
        <v>34</v>
      </c>
      <c r="X5" s="402"/>
      <c r="Y5" s="1157" t="s">
        <v>785</v>
      </c>
      <c r="Z5" s="1163"/>
      <c r="AA5" s="400" t="s">
        <v>37</v>
      </c>
      <c r="AB5" s="391" t="s">
        <v>2</v>
      </c>
      <c r="AC5" s="434"/>
      <c r="AD5" s="434"/>
      <c r="AE5" s="434"/>
    </row>
    <row r="6" spans="1:31" ht="20" customHeight="1" x14ac:dyDescent="0.15">
      <c r="B6" s="1156" t="s">
        <v>339</v>
      </c>
      <c r="C6" s="1157"/>
      <c r="D6" s="1157"/>
      <c r="E6" s="1157"/>
      <c r="F6" s="1157"/>
      <c r="G6" s="1157"/>
      <c r="H6" s="1157"/>
      <c r="I6" s="1157"/>
      <c r="P6" s="403">
        <f ca="1">SUM(Q6,R6)</f>
        <v>12</v>
      </c>
      <c r="Q6" s="404">
        <f ca="1">COUNTIF(INDIRECT("R"&amp;Start_i&amp;":"&amp;"R"&amp;End_i),Q5)</f>
        <v>7</v>
      </c>
      <c r="R6" s="405">
        <f ca="1">COUNTIF(INDIRECT("R"&amp;Start_i&amp;":"&amp;"R"&amp;End_i),R5)</f>
        <v>5</v>
      </c>
      <c r="S6" s="1158">
        <f ca="1">P6/P10</f>
        <v>0.6</v>
      </c>
      <c r="T6" s="394">
        <f ca="1">P4/P10</f>
        <v>0.6</v>
      </c>
      <c r="U6" s="490">
        <f ca="1">S4/P10</f>
        <v>0.4</v>
      </c>
      <c r="V6" s="406">
        <f ca="1">AVERAGE(V8,W10)</f>
        <v>0.6</v>
      </c>
      <c r="W6" s="395">
        <f ca="1">SQRT(V8*W10)</f>
        <v>0.59160797830996159</v>
      </c>
      <c r="X6" s="407"/>
      <c r="Y6" s="1164"/>
      <c r="Z6" s="1165"/>
      <c r="AA6" s="394">
        <f ca="1">(Q6/P10)*LOG(((Q6/P10)/(Q10*S6)), 2)+(R6/P10)*LOG(((R6/P10)/((1-Q10)*S6)), 2)+(Q8/P10)*LOG(((Q8/P10)/(Q10*(1-S6))), 2)+(R8/P10)*LOG(((R8/P10)/((1-Q10)*(1-S6))), 2)</f>
        <v>3.0305144839322347E-2</v>
      </c>
      <c r="AB6" s="394">
        <f ca="1">AA6/AVERAGE(AA10,AB8)</f>
        <v>3.0751805676496227E-2</v>
      </c>
      <c r="AC6" s="434"/>
      <c r="AD6" s="434"/>
      <c r="AE6" s="434"/>
    </row>
    <row r="7" spans="1:31" ht="20" customHeight="1" thickBot="1" x14ac:dyDescent="0.2">
      <c r="A7" s="1137" t="str">
        <f>"← Change end row number for different Sn=" &amp; End_i-Start_i +1&amp;" and extend row formulas."</f>
        <v>← Change end row number for different Sn=20 and extend row formulas.</v>
      </c>
      <c r="B7" s="1160" t="s">
        <v>835</v>
      </c>
      <c r="C7" s="1160"/>
      <c r="D7" s="1160"/>
      <c r="E7" s="1160"/>
      <c r="F7" s="1160"/>
      <c r="G7" s="1160"/>
      <c r="H7" s="1160"/>
      <c r="I7" s="1160"/>
      <c r="P7" s="408" t="s">
        <v>19</v>
      </c>
      <c r="Q7" s="409" t="s">
        <v>22</v>
      </c>
      <c r="R7" s="410" t="s">
        <v>23</v>
      </c>
      <c r="S7" s="1158"/>
      <c r="T7" s="411" t="s">
        <v>24</v>
      </c>
      <c r="U7" s="412" t="s">
        <v>25</v>
      </c>
      <c r="V7" s="413" t="s">
        <v>10</v>
      </c>
      <c r="W7" s="413" t="s">
        <v>11</v>
      </c>
      <c r="X7" s="426"/>
      <c r="Y7" s="1164"/>
      <c r="Z7" s="1165"/>
      <c r="AA7" s="413" t="s">
        <v>36</v>
      </c>
      <c r="AB7" s="414" t="s">
        <v>45</v>
      </c>
      <c r="AC7" s="564"/>
      <c r="AD7" s="434"/>
      <c r="AE7" s="434"/>
    </row>
    <row r="8" spans="1:31" ht="22" customHeight="1" thickBot="1" x14ac:dyDescent="0.3">
      <c r="A8" s="1137"/>
      <c r="B8" s="415" t="s">
        <v>340</v>
      </c>
      <c r="C8" s="416">
        <v>0</v>
      </c>
      <c r="D8" s="417"/>
      <c r="E8" s="417"/>
      <c r="F8" s="417"/>
      <c r="G8" s="417"/>
      <c r="H8" s="418" t="s">
        <v>341</v>
      </c>
      <c r="I8" s="419">
        <v>0</v>
      </c>
      <c r="P8" s="403">
        <f ca="1">SUM(Q8,R8)</f>
        <v>8</v>
      </c>
      <c r="Q8" s="420">
        <f ca="1">COUNTIF(INDIRECT("R"&amp;Start_i&amp;":"&amp;"R"&amp;End_i),Q7)</f>
        <v>3</v>
      </c>
      <c r="R8" s="421">
        <f ca="1">COUNTIF(INDIRECT("R"&amp;Start_i&amp;":"&amp;"R"&amp;End_i),R7)</f>
        <v>5</v>
      </c>
      <c r="S8" s="1159"/>
      <c r="T8" s="422">
        <f ca="1">Q6/P6</f>
        <v>0.58333333333333337</v>
      </c>
      <c r="U8" s="491">
        <f ca="1">R6/P6</f>
        <v>0.41666666666666669</v>
      </c>
      <c r="V8" s="395">
        <f ca="1">Q6/Q4</f>
        <v>0.7</v>
      </c>
      <c r="W8" s="492">
        <f ca="1">R6/R4</f>
        <v>0.5</v>
      </c>
      <c r="X8" s="432"/>
      <c r="Y8" s="775" t="s">
        <v>759</v>
      </c>
      <c r="Z8" s="774">
        <v>3</v>
      </c>
      <c r="AA8" s="772">
        <f ca="1">-(Q6/P10)*LOG(Q6/P10,2)-(R6/P10)*LOG(R6/P10,2)-(Q8/P10)*LOG(Q8/P10,2)-(R8/P10)*LOG(R8/P10,2)</f>
        <v>1.9406454496153465</v>
      </c>
      <c r="AB8" s="395">
        <f ca="1">-Q10*LOG(Q10,2)-(1-Q10)*LOG(1-Q10,2)</f>
        <v>1</v>
      </c>
      <c r="AC8" s="434"/>
      <c r="AD8" s="434"/>
      <c r="AE8" s="434"/>
    </row>
    <row r="9" spans="1:31" ht="20" customHeight="1" x14ac:dyDescent="0.2">
      <c r="A9" s="1137"/>
      <c r="B9" s="1141" t="s">
        <v>342</v>
      </c>
      <c r="C9" s="1142"/>
      <c r="D9" s="1142"/>
      <c r="E9" s="1142"/>
      <c r="F9" s="1142"/>
      <c r="G9" s="1142"/>
      <c r="H9" s="1142"/>
      <c r="I9" s="423">
        <v>0.5</v>
      </c>
      <c r="K9" s="440"/>
      <c r="L9" s="440"/>
      <c r="M9" s="440"/>
      <c r="N9" s="440"/>
      <c r="P9" s="389" t="s">
        <v>28</v>
      </c>
      <c r="Q9" s="424" t="s">
        <v>29</v>
      </c>
      <c r="R9" s="424" t="s">
        <v>48</v>
      </c>
      <c r="S9" s="425" t="s">
        <v>50</v>
      </c>
      <c r="T9" s="411" t="s">
        <v>26</v>
      </c>
      <c r="U9" s="412" t="s">
        <v>27</v>
      </c>
      <c r="V9" s="413" t="s">
        <v>12</v>
      </c>
      <c r="W9" s="413" t="s">
        <v>13</v>
      </c>
      <c r="X9" s="426"/>
      <c r="Y9" s="773" t="s">
        <v>757</v>
      </c>
      <c r="Z9" s="773" t="s">
        <v>758</v>
      </c>
      <c r="AA9" s="586" t="s">
        <v>44</v>
      </c>
    </row>
    <row r="10" spans="1:31" ht="22" customHeight="1" thickBot="1" x14ac:dyDescent="0.3">
      <c r="A10" s="1137"/>
      <c r="B10" s="427" t="s">
        <v>343</v>
      </c>
      <c r="C10" s="428">
        <v>1</v>
      </c>
      <c r="D10" s="429"/>
      <c r="E10" s="429"/>
      <c r="F10" s="429"/>
      <c r="G10" s="429"/>
      <c r="H10" s="430" t="s">
        <v>344</v>
      </c>
      <c r="I10" s="632">
        <v>1</v>
      </c>
      <c r="P10" s="392">
        <f ca="1">SUM(Q4,R4)</f>
        <v>20</v>
      </c>
      <c r="Q10" s="395">
        <f ca="1">Q4/P10</f>
        <v>0.5</v>
      </c>
      <c r="R10" s="395">
        <f ca="1">R4/P10</f>
        <v>0.5</v>
      </c>
      <c r="S10" s="392">
        <f ca="1">Q6*R8-R6*Q8</f>
        <v>20</v>
      </c>
      <c r="T10" s="493">
        <f ca="1">Q8/P8</f>
        <v>0.375</v>
      </c>
      <c r="U10" s="431">
        <f ca="1">R8/P8</f>
        <v>0.625</v>
      </c>
      <c r="V10" s="492">
        <f ca="1">Q8/Q4</f>
        <v>0.3</v>
      </c>
      <c r="W10" s="395">
        <f ca="1">R8/R4</f>
        <v>0.5</v>
      </c>
      <c r="X10" s="432"/>
      <c r="Y10" s="394">
        <f ca="1">2*Z8-2*LOG(U19)</f>
        <v>7.087038824391831</v>
      </c>
      <c r="Z10" s="394">
        <f ca="1">Z8*LOG(P10)-2*LOG(U19)</f>
        <v>4.9901288113837747</v>
      </c>
      <c r="AA10" s="587">
        <f ca="1">-S6*LOG(S6,2)-(1-S6)*LOG(1-S6,2)</f>
        <v>0.97095059445466858</v>
      </c>
    </row>
    <row r="11" spans="1:31" x14ac:dyDescent="0.15">
      <c r="A11" s="1137"/>
      <c r="B11" s="433"/>
      <c r="C11" s="433"/>
      <c r="H11" s="433"/>
      <c r="I11" s="433"/>
      <c r="P11" s="434"/>
      <c r="Q11" s="434"/>
      <c r="R11" s="434"/>
      <c r="S11" s="434"/>
      <c r="T11" s="434"/>
    </row>
    <row r="12" spans="1:31" x14ac:dyDescent="0.15">
      <c r="A12" s="1137"/>
      <c r="B12" s="1143" t="s">
        <v>345</v>
      </c>
      <c r="C12" s="1134"/>
      <c r="D12" s="435"/>
      <c r="E12" s="435"/>
      <c r="F12" s="435"/>
      <c r="G12" s="435"/>
      <c r="H12" s="1144" t="s">
        <v>346</v>
      </c>
      <c r="I12" s="1145"/>
      <c r="J12" s="435"/>
      <c r="K12" s="435"/>
      <c r="L12" s="435"/>
      <c r="M12" s="435"/>
      <c r="N12" s="435"/>
      <c r="O12" s="435"/>
      <c r="P12" s="1133" t="s">
        <v>442</v>
      </c>
      <c r="Q12" s="1133"/>
      <c r="R12" s="1133"/>
      <c r="S12" s="1133"/>
      <c r="T12" s="1133"/>
      <c r="U12" s="1133"/>
      <c r="V12" s="1133"/>
      <c r="W12" s="1133"/>
      <c r="X12" s="1133"/>
      <c r="Y12" s="1133"/>
      <c r="Z12" s="1133"/>
      <c r="AA12" s="1133"/>
      <c r="AB12" s="1134"/>
    </row>
    <row r="13" spans="1:31" ht="16" thickBot="1" x14ac:dyDescent="0.25">
      <c r="A13" s="1138"/>
      <c r="B13" s="436"/>
      <c r="C13" s="436"/>
      <c r="H13" s="436"/>
      <c r="I13" s="437"/>
      <c r="J13" s="384"/>
      <c r="K13" s="440"/>
      <c r="L13" s="440"/>
      <c r="M13" s="440"/>
      <c r="N13" s="440"/>
      <c r="O13" s="384"/>
      <c r="P13" s="434"/>
      <c r="Q13" s="434"/>
      <c r="R13" s="434"/>
      <c r="S13" s="439"/>
      <c r="T13" s="439"/>
      <c r="U13" s="387"/>
      <c r="V13" s="387"/>
    </row>
    <row r="14" spans="1:31" ht="31.5" customHeight="1" x14ac:dyDescent="0.25">
      <c r="A14" s="1135" t="s">
        <v>430</v>
      </c>
      <c r="B14" s="1148" t="s">
        <v>418</v>
      </c>
      <c r="C14" s="1149"/>
      <c r="D14" s="1149"/>
      <c r="E14" s="1149"/>
      <c r="F14" s="1149"/>
      <c r="G14" s="1149"/>
      <c r="H14" s="1149"/>
      <c r="I14" s="1150"/>
      <c r="J14" s="384"/>
      <c r="K14" s="517"/>
      <c r="L14" s="517"/>
      <c r="M14" s="517"/>
      <c r="N14" s="517"/>
      <c r="O14" s="384"/>
      <c r="P14" s="723" t="s">
        <v>328</v>
      </c>
      <c r="Q14" s="544" t="s">
        <v>416</v>
      </c>
      <c r="R14" s="544" t="s">
        <v>691</v>
      </c>
      <c r="S14" s="544" t="s">
        <v>459</v>
      </c>
      <c r="T14" s="544" t="s">
        <v>415</v>
      </c>
      <c r="U14" s="544" t="s">
        <v>690</v>
      </c>
      <c r="V14" s="547" t="s">
        <v>294</v>
      </c>
      <c r="W14" s="567" t="s">
        <v>361</v>
      </c>
      <c r="Y14" s="1129" t="str">
        <f ca="1">IF(AVERAGE(T19,U19,U17,Z19) &gt; MAX(W8,V10,U8,T10,U6),"Higher than maximum (FPR, FNR, FDR, FOR, MCR)","")&amp;IF(AVERAGE(T19,U19,U17,Z19) &lt; MIN(W8,V10,U8,T10,U6),"Lower than minimum (FPR, FNR, FDR, FOR, MCR)","")</f>
        <v/>
      </c>
      <c r="Z14" s="1130"/>
      <c r="AA14" s="565"/>
    </row>
    <row r="15" spans="1:31" ht="18" customHeight="1" thickBot="1" x14ac:dyDescent="0.25">
      <c r="A15" s="1136"/>
      <c r="B15" s="1151"/>
      <c r="C15" s="1152"/>
      <c r="D15" s="1152"/>
      <c r="E15" s="1152"/>
      <c r="F15" s="1152"/>
      <c r="G15" s="1152"/>
      <c r="H15" s="1152"/>
      <c r="I15" s="1153"/>
      <c r="J15" s="384"/>
      <c r="K15" s="384"/>
      <c r="L15" s="384"/>
      <c r="M15" s="384"/>
      <c r="N15" s="384"/>
      <c r="O15" s="384"/>
      <c r="P15" s="581">
        <f ca="1">MEDIAN(INDIRECT("U"&amp;Start_i&amp;":"&amp;"U"&amp;End_i))</f>
        <v>0.1614832050297233</v>
      </c>
      <c r="Q15" s="540" t="e">
        <f ca="1">AVERAGE(INDIRECT("O"&amp;Start_i&amp;":"&amp;"O"&amp;End_i))</f>
        <v>#DIV/0!</v>
      </c>
      <c r="R15" s="540">
        <f ca="1">U19/AVERAGE(INDIRECT("E"&amp;Start_i&amp;":"&amp;"E"&amp;End_i))</f>
        <v>0.57215089741978553</v>
      </c>
      <c r="S15" s="540">
        <f ca="1">U19/AVERAGE(INDIRECT("G"&amp;Start_i&amp;":"&amp;"G"&amp;End_i))</f>
        <v>1.1443017948395711</v>
      </c>
      <c r="T15" s="562">
        <f ca="1">U19/_xlfn.VAR.S(INDIRECT("D"&amp;Start_i&amp;":"&amp;"D"&amp;End_i))</f>
        <v>1.0870867050975925</v>
      </c>
      <c r="U15" s="540">
        <f ca="1">U19/(Mean_c*Mean_p)</f>
        <v>1.0366449194889298</v>
      </c>
      <c r="V15" s="571">
        <f ca="1">GEOMEAN(INDIRECT("V"&amp;Start_i&amp;":"&amp;"V"&amp;End_i))</f>
        <v>0.84299671091671036</v>
      </c>
      <c r="W15" s="568">
        <f ca="1">SUMSQ(INDIRECT("V"&amp;Start_i&amp;":"&amp;"V"&amp;End_i))</f>
        <v>22.886035896791423</v>
      </c>
      <c r="Y15" s="1131"/>
      <c r="Z15" s="1132"/>
      <c r="AA15" s="565"/>
    </row>
    <row r="16" spans="1:31" ht="31.5" customHeight="1" x14ac:dyDescent="0.2">
      <c r="A16" s="550" t="s">
        <v>428</v>
      </c>
      <c r="B16" s="529" t="s">
        <v>349</v>
      </c>
      <c r="C16" s="513" t="s">
        <v>419</v>
      </c>
      <c r="D16" s="524" t="s">
        <v>348</v>
      </c>
      <c r="E16" s="525" t="s">
        <v>348</v>
      </c>
      <c r="F16" s="525" t="s">
        <v>348</v>
      </c>
      <c r="G16" s="525" t="s">
        <v>348</v>
      </c>
      <c r="H16" s="530" t="s">
        <v>349</v>
      </c>
      <c r="I16" s="526" t="s">
        <v>419</v>
      </c>
      <c r="J16" s="438"/>
      <c r="K16" s="438"/>
      <c r="L16" s="438"/>
      <c r="M16" s="438"/>
      <c r="N16" s="438"/>
      <c r="O16" s="438"/>
      <c r="P16" s="580" t="s">
        <v>326</v>
      </c>
      <c r="Q16" s="725" t="s">
        <v>312</v>
      </c>
      <c r="R16" s="723" t="s">
        <v>324</v>
      </c>
      <c r="S16" s="725" t="s">
        <v>332</v>
      </c>
      <c r="T16" s="724" t="s">
        <v>310</v>
      </c>
      <c r="U16" s="721" t="s">
        <v>306</v>
      </c>
      <c r="V16" s="572" t="s">
        <v>291</v>
      </c>
      <c r="W16" s="569" t="s">
        <v>322</v>
      </c>
      <c r="Y16" s="579" t="s">
        <v>392</v>
      </c>
      <c r="Z16" s="575" t="s">
        <v>475</v>
      </c>
    </row>
    <row r="17" spans="1:28" ht="21.75" customHeight="1" thickBot="1" x14ac:dyDescent="0.25">
      <c r="A17" s="551">
        <v>21</v>
      </c>
      <c r="B17" s="527" t="s">
        <v>347</v>
      </c>
      <c r="C17" s="519" t="s">
        <v>349</v>
      </c>
      <c r="D17" s="520" t="s">
        <v>352</v>
      </c>
      <c r="E17" s="521" t="s">
        <v>413</v>
      </c>
      <c r="F17" s="522">
        <f ca="1">AVERAGE(INDIRECT("D"&amp;Start_i&amp;":"&amp;"D"&amp;End_i))</f>
        <v>0.5</v>
      </c>
      <c r="G17" s="518"/>
      <c r="H17" s="518" t="s">
        <v>347</v>
      </c>
      <c r="I17" s="528" t="s">
        <v>349</v>
      </c>
      <c r="J17" s="438"/>
      <c r="K17" s="438"/>
      <c r="L17" s="438"/>
      <c r="M17" s="438"/>
      <c r="N17" s="438"/>
      <c r="O17" s="438"/>
      <c r="P17" s="582">
        <f ca="1">SUM(INDIRECT("U"&amp;Start_i&amp;":"&amp;"U"&amp;End_i))</f>
        <v>5.7215089741978558</v>
      </c>
      <c r="Q17" s="582" t="e">
        <f ca="1">SQRT(AVERAGE(INDIRECT("L"&amp;Start_i&amp;":"&amp;"L"&amp;End_i)))</f>
        <v>#DIV/0!</v>
      </c>
      <c r="R17" s="583">
        <f ca="1">GEOMEAN(INDIRECT("T"&amp;Start_i&amp;":"&amp;"T"&amp;End_i))</f>
        <v>0.42149835545835518</v>
      </c>
      <c r="S17" s="545">
        <f ca="1">MAX(INDIRECT("T"&amp;Start_i&amp;":"&amp;"T"&amp;End_i))</f>
        <v>0.92401720590759995</v>
      </c>
      <c r="T17" s="546">
        <f ca="1">MEDIAN(INDIRECT("T"&amp;Start_i&amp;":"&amp;"T"&amp;End_i))</f>
        <v>0.40168757298224644</v>
      </c>
      <c r="U17" s="541">
        <f ca="1">SQRT(U19)</f>
        <v>0.53486021417739871</v>
      </c>
      <c r="V17" s="571">
        <f ca="1">MEDIAN(INDIRECT("V"&amp;Start_i&amp;":"&amp;"V"&amp;End_i))</f>
        <v>0.80337514596449289</v>
      </c>
      <c r="W17" s="570">
        <f ca="1">SUM(INDIRECT("V"&amp;Start_i&amp;":"&amp;"V"&amp;End_i))</f>
        <v>19.161260159674779</v>
      </c>
      <c r="Y17" s="578" t="str">
        <f ca="1">"["&amp;ROUND(MIN(T19,U19,U17,Z19),2)&amp;", ("&amp;ROUND(AVERAGE(T19,U19,U17,Z19),2)&amp;"), "&amp;ROUND(MAX(T19,U19,U17,Z19),2)&amp;"]"</f>
        <v>[0.29, (0.49), 0.66]</v>
      </c>
      <c r="Z17" s="576">
        <f ca="1">MEDIAN(INDIRECT("Z"&amp;Start_i&amp;":"&amp;"Z"&amp;End_i))</f>
        <v>0.92938289114883843</v>
      </c>
    </row>
    <row r="18" spans="1:28" ht="31.5" customHeight="1" x14ac:dyDescent="0.15">
      <c r="A18" s="550" t="s">
        <v>429</v>
      </c>
      <c r="B18" s="1148" t="s">
        <v>417</v>
      </c>
      <c r="C18" s="1149"/>
      <c r="D18" s="1149"/>
      <c r="E18" s="1149"/>
      <c r="F18" s="1149"/>
      <c r="G18" s="1149"/>
      <c r="H18" s="1149"/>
      <c r="I18" s="1150"/>
      <c r="J18" s="514" t="s">
        <v>348</v>
      </c>
      <c r="K18" s="440" t="s">
        <v>348</v>
      </c>
      <c r="L18" s="440" t="s">
        <v>348</v>
      </c>
      <c r="M18" s="440" t="s">
        <v>348</v>
      </c>
      <c r="N18" s="440" t="s">
        <v>348</v>
      </c>
      <c r="O18" s="440" t="s">
        <v>348</v>
      </c>
      <c r="P18" s="723" t="s">
        <v>314</v>
      </c>
      <c r="Q18" s="727" t="s">
        <v>287</v>
      </c>
      <c r="R18" s="726" t="s">
        <v>320</v>
      </c>
      <c r="S18" s="721" t="s">
        <v>318</v>
      </c>
      <c r="T18" s="721" t="s">
        <v>308</v>
      </c>
      <c r="U18" s="722" t="s">
        <v>247</v>
      </c>
      <c r="V18" s="542" t="s">
        <v>316</v>
      </c>
      <c r="W18" s="728" t="s">
        <v>390</v>
      </c>
      <c r="X18" s="439"/>
      <c r="Y18" s="573" t="s">
        <v>350</v>
      </c>
      <c r="Z18" s="577" t="s">
        <v>351</v>
      </c>
      <c r="AA18" s="1146" t="s">
        <v>246</v>
      </c>
      <c r="AB18" s="1147"/>
    </row>
    <row r="19" spans="1:28" ht="21.75" customHeight="1" thickBot="1" x14ac:dyDescent="0.25">
      <c r="A19" s="551">
        <v>40</v>
      </c>
      <c r="B19" s="554" t="s">
        <v>431</v>
      </c>
      <c r="C19" s="552">
        <v>0.5</v>
      </c>
      <c r="D19" s="553"/>
      <c r="E19" s="553"/>
      <c r="F19" s="553"/>
      <c r="G19" s="553"/>
      <c r="H19" s="554" t="s">
        <v>432</v>
      </c>
      <c r="I19" s="523">
        <v>0.5</v>
      </c>
      <c r="J19" s="515" t="s">
        <v>352</v>
      </c>
      <c r="K19" s="516"/>
      <c r="L19" s="589" t="s">
        <v>462</v>
      </c>
      <c r="M19" s="589" t="s">
        <v>462</v>
      </c>
      <c r="N19" s="516" t="s">
        <v>414</v>
      </c>
      <c r="O19" s="512">
        <f ca="1">AVERAGE(INDIRECT("J"&amp;Start_i&amp;":"&amp;"J"&amp;End_i))</f>
        <v>0.55192562724549721</v>
      </c>
      <c r="P19" s="548" t="e">
        <f ca="1">SQRT(MEDIAN(INDIRECT("L"&amp;Start_i&amp;":"&amp;"L"&amp;End_i)))</f>
        <v>#DIV/0!</v>
      </c>
      <c r="Q19" s="545" t="e">
        <f ca="1">MEDIAN(INDIRECT("M"&amp;Start_i&amp;":"&amp;"M"&amp;End_i))</f>
        <v>#DIV/0!</v>
      </c>
      <c r="R19" s="584" t="e">
        <f ca="1">AVERAGE(INDIRECT("K"&amp;Start_i&amp;":"&amp;"K"&amp;End_i))</f>
        <v>#DIV/0!</v>
      </c>
      <c r="S19" s="539">
        <f ca="1">AVERAGE(INDIRECT("S"&amp;Start_i&amp;":"&amp;"S"&amp;End_i))</f>
        <v>5.1925627245497222E-2</v>
      </c>
      <c r="T19" s="539">
        <f ca="1">AVERAGE(INDIRECT("T"&amp;Start_i&amp;":"&amp;"T"&amp;End_i))</f>
        <v>0.47903150399186945</v>
      </c>
      <c r="U19" s="539">
        <f ca="1">AVERAGE(INDIRECT("U"&amp;Start_i&amp;":"&amp;"U"&amp;End_i))</f>
        <v>0.28607544870989277</v>
      </c>
      <c r="V19" s="563">
        <f ca="1">AVERAGE(INDIRECT("V"&amp;Start_i&amp;":"&amp;"V"&amp;End_i))</f>
        <v>0.95806300798373889</v>
      </c>
      <c r="W19" s="543" t="e">
        <f ca="1">AVERAGE(INDIRECT("W"&amp;Start_i&amp;":"&amp;"W"&amp;End_i))</f>
        <v>#DIV/0!</v>
      </c>
      <c r="X19" s="441" t="e">
        <f ca="1">IF(W19=Y19,"=","≠")</f>
        <v>#DIV/0!</v>
      </c>
      <c r="Y19" s="574">
        <f ca="1">AVERAGE(INDIRECT("Y"&amp;Start_i&amp;":"&amp;"Y"&amp;End_i))</f>
        <v>1.6132308563611129</v>
      </c>
      <c r="Z19" s="566">
        <f ca="1">AVERAGE(INDIRECT("Z"&amp;Start_i&amp;":"&amp;"Z"&amp;End_i))</f>
        <v>0.65714069896793803</v>
      </c>
      <c r="AA19" s="1139">
        <f ca="1">-1*(SUM(INDIRECT("AA"&amp;Start_i&amp;":"&amp;"AA"&amp;End_i))+SUM(INDIRECT("AB"&amp;Start_i&amp;":"&amp;"AB"&amp;End_i)))/P10</f>
        <v>1.0655755349763747</v>
      </c>
      <c r="AB19" s="1140"/>
    </row>
    <row r="20" spans="1:28" ht="37" customHeight="1" x14ac:dyDescent="0.25">
      <c r="A20" s="442" t="s">
        <v>103</v>
      </c>
      <c r="B20" s="442" t="s">
        <v>354</v>
      </c>
      <c r="C20" s="443" t="str">
        <f>"∈ {" &amp; CN &amp; ", " &amp; CP &amp; "}"</f>
        <v>∈ {0, 1}</v>
      </c>
      <c r="D20" s="442" t="s">
        <v>355</v>
      </c>
      <c r="E20" s="442" t="s">
        <v>409</v>
      </c>
      <c r="F20" s="588" t="s">
        <v>460</v>
      </c>
      <c r="G20" s="442" t="s">
        <v>427</v>
      </c>
      <c r="H20" s="442" t="s">
        <v>356</v>
      </c>
      <c r="I20" s="625" t="str">
        <f>"in [" &amp; MinP &amp; ", " &amp; MaxP &amp; "]"</f>
        <v>in [0, 1]</v>
      </c>
      <c r="J20" s="442" t="s">
        <v>357</v>
      </c>
      <c r="K20" s="588" t="s">
        <v>484</v>
      </c>
      <c r="L20" s="442" t="s">
        <v>461</v>
      </c>
      <c r="M20" s="588" t="s">
        <v>485</v>
      </c>
      <c r="N20" s="442" t="s">
        <v>411</v>
      </c>
      <c r="O20" s="442" t="s">
        <v>412</v>
      </c>
      <c r="P20" s="489" t="s">
        <v>353</v>
      </c>
      <c r="Q20" s="442" t="s">
        <v>346</v>
      </c>
      <c r="R20" s="442" t="s">
        <v>358</v>
      </c>
      <c r="S20" s="444"/>
      <c r="T20" s="444"/>
      <c r="U20" s="444"/>
      <c r="V20" s="549"/>
      <c r="W20" s="447"/>
      <c r="X20" s="448"/>
      <c r="Y20" s="449"/>
      <c r="Z20" s="449"/>
      <c r="AA20" s="445"/>
      <c r="AB20" s="446"/>
    </row>
    <row r="21" spans="1:28" x14ac:dyDescent="0.15">
      <c r="A21" s="385">
        <v>1</v>
      </c>
      <c r="B21" s="450">
        <v>0</v>
      </c>
      <c r="C21" s="451">
        <f ca="1">IF(RAND()*(CP-CN)+CN&lt;THETA,CN,CP)</f>
        <v>0</v>
      </c>
      <c r="D21" s="452">
        <f t="shared" ref="D21:D40" ca="1" si="0">IF($B$16=$B$17,B21,C21)</f>
        <v>0</v>
      </c>
      <c r="E21" s="457">
        <f t="shared" ref="E21:E40" ca="1" si="1">D21^2</f>
        <v>0</v>
      </c>
      <c r="F21" s="457">
        <f t="shared" ref="F21:F40" ca="1" si="2">ABS(D21-Mean_c)</f>
        <v>0.5</v>
      </c>
      <c r="G21" s="457">
        <f ca="1">F21^2</f>
        <v>0.25</v>
      </c>
      <c r="H21" s="453">
        <v>0.01</v>
      </c>
      <c r="I21" s="454">
        <f t="shared" ref="I21:I40" ca="1" si="3">IF(AND(MinP=CN,MaxP=CP),IF(D21=CN,IF(RAND()&lt;=MinTNR,RAND()*(THETA-MinP)+MinP,RAND()*(MaxP-THETA)+THETA),IF(RAND()&lt;=MinTPR,RAND()*(MaxP-THETA)+THETA,RAND()*(THETA-MinP)+MinP)), RAND()*(MaxP-MinP)+MinP)</f>
        <v>0.65930144919124212</v>
      </c>
      <c r="J21" s="452">
        <f t="shared" ref="J21:J40" ca="1" si="4">IF($H$16=$H$17,H21,I21)</f>
        <v>0.65930144919124212</v>
      </c>
      <c r="K21" s="452" t="e">
        <f ca="1">S21/D21</f>
        <v>#DIV/0!</v>
      </c>
      <c r="L21" s="452" t="e">
        <f ca="1">K21^2</f>
        <v>#DIV/0!</v>
      </c>
      <c r="M21" s="452" t="e">
        <f ca="1">ABS(K21)</f>
        <v>#DIV/0!</v>
      </c>
      <c r="N21" s="452">
        <f t="shared" ref="N21:N40" ca="1" si="5">D21*J21</f>
        <v>0</v>
      </c>
      <c r="O21" s="452" t="e">
        <f ca="1">U21^2/N21</f>
        <v>#DIV/0!</v>
      </c>
      <c r="P21" s="455" t="str">
        <f ca="1">IF(D21=CN,"N","P")</f>
        <v>N</v>
      </c>
      <c r="Q21" s="455" t="str">
        <f ca="1">IF(J21&lt;THETA,"ON","OP")</f>
        <v>OP</v>
      </c>
      <c r="R21" s="455" t="str">
        <f ca="1">IF(Q21="OP",IF(P21="P","TP","FP"),IF(P21="N","TN","FN"))</f>
        <v>FP</v>
      </c>
      <c r="S21" s="457">
        <f ca="1">J21-D21</f>
        <v>0.65930144919124212</v>
      </c>
      <c r="T21" s="456">
        <f t="shared" ref="T21:T40" ca="1" si="6">ABS(J21-D21)</f>
        <v>0.65930144919124212</v>
      </c>
      <c r="U21" s="456">
        <f ca="1">T21^2</f>
        <v>0.434678400905672</v>
      </c>
      <c r="V21" s="457">
        <f ca="1">T21/F21</f>
        <v>1.3186028983824842</v>
      </c>
      <c r="W21" s="458" t="e">
        <f ca="1">ABS(T21/D21)</f>
        <v>#DIV/0!</v>
      </c>
      <c r="X21" s="459" t="e">
        <f ca="1">IF(W21=Y21,"=","≠")</f>
        <v>#DIV/0!</v>
      </c>
      <c r="Y21" s="458">
        <f ca="1">ABS((J21-D21)/J21)</f>
        <v>1</v>
      </c>
      <c r="Z21" s="456">
        <f ca="1">T21/ABS(J21+D21)</f>
        <v>1</v>
      </c>
      <c r="AA21" s="457">
        <f t="shared" ref="AA21:AA40" ca="1" si="7">D21*LOG(J21,2)</f>
        <v>0</v>
      </c>
      <c r="AB21" s="457">
        <f t="shared" ref="AB21:AB40" ca="1" si="8">IF(D21=CN,CP,CN)*LOG(J21,2)</f>
        <v>-0.60098984237832276</v>
      </c>
    </row>
    <row r="22" spans="1:28" x14ac:dyDescent="0.15">
      <c r="A22" s="385">
        <v>2</v>
      </c>
      <c r="B22" s="450">
        <v>0</v>
      </c>
      <c r="C22" s="451">
        <f t="shared" ref="C22:C70" ca="1" si="9">IF(RAND()*(CP-CN)+CN&lt;THETA,CN,CP)</f>
        <v>1</v>
      </c>
      <c r="D22" s="452">
        <f t="shared" ca="1" si="0"/>
        <v>1</v>
      </c>
      <c r="E22" s="457">
        <f t="shared" ca="1" si="1"/>
        <v>1</v>
      </c>
      <c r="F22" s="457">
        <f t="shared" ca="1" si="2"/>
        <v>0.5</v>
      </c>
      <c r="G22" s="457">
        <f t="shared" ref="G22:G40" ca="1" si="10">F22^2</f>
        <v>0.25</v>
      </c>
      <c r="H22" s="453">
        <v>0.01</v>
      </c>
      <c r="I22" s="454">
        <f t="shared" ca="1" si="3"/>
        <v>0.73556132463005208</v>
      </c>
      <c r="J22" s="452">
        <f t="shared" ca="1" si="4"/>
        <v>0.73556132463005208</v>
      </c>
      <c r="K22" s="452">
        <f ca="1">S22/D22</f>
        <v>-0.26443867536994792</v>
      </c>
      <c r="L22" s="452">
        <f t="shared" ref="L22:L40" ca="1" si="11">K22^2</f>
        <v>6.9927813031412697E-2</v>
      </c>
      <c r="M22" s="452">
        <f t="shared" ref="M22:M40" ca="1" si="12">ABS(K22)</f>
        <v>0.26443867536994792</v>
      </c>
      <c r="N22" s="452">
        <f t="shared" ca="1" si="5"/>
        <v>0.73556132463005208</v>
      </c>
      <c r="O22" s="452">
        <f t="shared" ref="O22:O40" ca="1" si="13">U22^2/N22</f>
        <v>6.6478468505879757E-3</v>
      </c>
      <c r="P22" s="455" t="str">
        <f t="shared" ref="P22:P40" ca="1" si="14">IF(D22=CN,"N","P")</f>
        <v>P</v>
      </c>
      <c r="Q22" s="455" t="str">
        <f t="shared" ref="Q22:Q40" ca="1" si="15">IF(J22&lt;THETA,"ON","OP")</f>
        <v>OP</v>
      </c>
      <c r="R22" s="455" t="str">
        <f t="shared" ref="R22:R40" ca="1" si="16">IF(Q22="OP",IF(P22="P","TP","FP"),IF(P22="N","TN","FN"))</f>
        <v>TP</v>
      </c>
      <c r="S22" s="457">
        <f t="shared" ref="S22:S40" ca="1" si="17">J22-D22</f>
        <v>-0.26443867536994792</v>
      </c>
      <c r="T22" s="456">
        <f t="shared" ca="1" si="6"/>
        <v>0.26443867536994792</v>
      </c>
      <c r="U22" s="456">
        <f t="shared" ref="U22:U40" ca="1" si="18">T22^2</f>
        <v>6.9927813031412697E-2</v>
      </c>
      <c r="V22" s="457">
        <f t="shared" ref="V22:V40" ca="1" si="19">T22/F22</f>
        <v>0.52887735073989584</v>
      </c>
      <c r="W22" s="458">
        <f t="shared" ref="W22:W40" ca="1" si="20">ABS(T22/D22)</f>
        <v>0.26443867536994792</v>
      </c>
      <c r="X22" s="459" t="str">
        <f t="shared" ref="X22:X40" ca="1" si="21">IF(W22=Y22,"=","≠")</f>
        <v>≠</v>
      </c>
      <c r="Y22" s="458">
        <f t="shared" ref="Y22:Y40" ca="1" si="22">ABS((J22-D22)/J22)</f>
        <v>0.35950595350149273</v>
      </c>
      <c r="Z22" s="456">
        <f t="shared" ref="Z22:Z40" ca="1" si="23">T22/ABS(J22+D22)</f>
        <v>0.15236492748322505</v>
      </c>
      <c r="AA22" s="457">
        <f t="shared" ca="1" si="7"/>
        <v>-0.44308246917677596</v>
      </c>
      <c r="AB22" s="457">
        <f t="shared" ca="1" si="8"/>
        <v>0</v>
      </c>
    </row>
    <row r="23" spans="1:28" x14ac:dyDescent="0.15">
      <c r="A23" s="385">
        <v>3</v>
      </c>
      <c r="B23" s="450">
        <v>0</v>
      </c>
      <c r="C23" s="451">
        <f t="shared" ca="1" si="9"/>
        <v>1</v>
      </c>
      <c r="D23" s="452">
        <f t="shared" ca="1" si="0"/>
        <v>1</v>
      </c>
      <c r="E23" s="457">
        <f t="shared" ca="1" si="1"/>
        <v>1</v>
      </c>
      <c r="F23" s="457">
        <f t="shared" ca="1" si="2"/>
        <v>0.5</v>
      </c>
      <c r="G23" s="457">
        <f t="shared" ca="1" si="10"/>
        <v>0.25</v>
      </c>
      <c r="H23" s="453">
        <v>0.01</v>
      </c>
      <c r="I23" s="454">
        <f t="shared" ca="1" si="3"/>
        <v>0.14407981134200076</v>
      </c>
      <c r="J23" s="452">
        <f t="shared" ca="1" si="4"/>
        <v>0.14407981134200076</v>
      </c>
      <c r="K23" s="452">
        <f t="shared" ref="K23:K40" ca="1" si="24">S23/D23</f>
        <v>-0.85592018865799924</v>
      </c>
      <c r="L23" s="452">
        <f t="shared" ca="1" si="11"/>
        <v>0.73259936935234504</v>
      </c>
      <c r="M23" s="452">
        <f t="shared" ca="1" si="12"/>
        <v>0.85592018865799924</v>
      </c>
      <c r="N23" s="452">
        <f t="shared" ca="1" si="5"/>
        <v>0.14407981134200076</v>
      </c>
      <c r="O23" s="452">
        <f t="shared" ca="1" si="13"/>
        <v>3.725031501474485</v>
      </c>
      <c r="P23" s="455" t="str">
        <f t="shared" ca="1" si="14"/>
        <v>P</v>
      </c>
      <c r="Q23" s="455" t="str">
        <f t="shared" ca="1" si="15"/>
        <v>ON</v>
      </c>
      <c r="R23" s="455" t="str">
        <f t="shared" ca="1" si="16"/>
        <v>FN</v>
      </c>
      <c r="S23" s="457">
        <f t="shared" ca="1" si="17"/>
        <v>-0.85592018865799924</v>
      </c>
      <c r="T23" s="456">
        <f t="shared" ca="1" si="6"/>
        <v>0.85592018865799924</v>
      </c>
      <c r="U23" s="456">
        <f t="shared" ca="1" si="18"/>
        <v>0.73259936935234504</v>
      </c>
      <c r="V23" s="457">
        <f t="shared" ca="1" si="19"/>
        <v>1.7118403773159985</v>
      </c>
      <c r="W23" s="458">
        <f t="shared" ca="1" si="20"/>
        <v>0.85592018865799924</v>
      </c>
      <c r="X23" s="459" t="str">
        <f t="shared" ca="1" si="21"/>
        <v>≠</v>
      </c>
      <c r="Y23" s="458">
        <f t="shared" ca="1" si="22"/>
        <v>5.9405976499116191</v>
      </c>
      <c r="Z23" s="456">
        <f t="shared" ca="1" si="23"/>
        <v>0.74812978969885724</v>
      </c>
      <c r="AA23" s="457">
        <f t="shared" ca="1" si="7"/>
        <v>-2.7950598975931267</v>
      </c>
      <c r="AB23" s="457">
        <f t="shared" ca="1" si="8"/>
        <v>0</v>
      </c>
    </row>
    <row r="24" spans="1:28" x14ac:dyDescent="0.15">
      <c r="A24" s="385">
        <v>4</v>
      </c>
      <c r="B24" s="450">
        <v>0</v>
      </c>
      <c r="C24" s="451">
        <f t="shared" ca="1" si="9"/>
        <v>1</v>
      </c>
      <c r="D24" s="452">
        <f t="shared" ca="1" si="0"/>
        <v>1</v>
      </c>
      <c r="E24" s="457">
        <f t="shared" ca="1" si="1"/>
        <v>1</v>
      </c>
      <c r="F24" s="457">
        <f t="shared" ca="1" si="2"/>
        <v>0.5</v>
      </c>
      <c r="G24" s="457">
        <f t="shared" ca="1" si="10"/>
        <v>0.25</v>
      </c>
      <c r="H24" s="453">
        <v>0.01</v>
      </c>
      <c r="I24" s="454">
        <f t="shared" ca="1" si="3"/>
        <v>0.78809580448706607</v>
      </c>
      <c r="J24" s="452">
        <f t="shared" ca="1" si="4"/>
        <v>0.78809580448706607</v>
      </c>
      <c r="K24" s="452">
        <f t="shared" ca="1" si="24"/>
        <v>-0.21190419551293393</v>
      </c>
      <c r="L24" s="452">
        <f t="shared" ca="1" si="11"/>
        <v>4.4903388075983729E-2</v>
      </c>
      <c r="M24" s="452">
        <f t="shared" ca="1" si="12"/>
        <v>0.21190419551293393</v>
      </c>
      <c r="N24" s="452">
        <f t="shared" ca="1" si="5"/>
        <v>0.78809580448706607</v>
      </c>
      <c r="O24" s="452">
        <f t="shared" ca="1" si="13"/>
        <v>2.5584633863324781E-3</v>
      </c>
      <c r="P24" s="455" t="str">
        <f t="shared" ca="1" si="14"/>
        <v>P</v>
      </c>
      <c r="Q24" s="455" t="str">
        <f t="shared" ca="1" si="15"/>
        <v>OP</v>
      </c>
      <c r="R24" s="455" t="str">
        <f t="shared" ca="1" si="16"/>
        <v>TP</v>
      </c>
      <c r="S24" s="457">
        <f t="shared" ca="1" si="17"/>
        <v>-0.21190419551293393</v>
      </c>
      <c r="T24" s="456">
        <f t="shared" ca="1" si="6"/>
        <v>0.21190419551293393</v>
      </c>
      <c r="U24" s="456">
        <f t="shared" ca="1" si="18"/>
        <v>4.4903388075983729E-2</v>
      </c>
      <c r="V24" s="457">
        <f t="shared" ca="1" si="19"/>
        <v>0.42380839102586787</v>
      </c>
      <c r="W24" s="458">
        <f t="shared" ca="1" si="20"/>
        <v>0.21190419551293393</v>
      </c>
      <c r="X24" s="459" t="str">
        <f t="shared" ca="1" si="21"/>
        <v>≠</v>
      </c>
      <c r="Y24" s="458">
        <f t="shared" ca="1" si="22"/>
        <v>0.26888126330129652</v>
      </c>
      <c r="Z24" s="456">
        <f t="shared" ca="1" si="23"/>
        <v>0.11850830083107368</v>
      </c>
      <c r="AA24" s="457">
        <f t="shared" ca="1" si="7"/>
        <v>-0.34355707401672109</v>
      </c>
      <c r="AB24" s="457">
        <f t="shared" ca="1" si="8"/>
        <v>0</v>
      </c>
    </row>
    <row r="25" spans="1:28" x14ac:dyDescent="0.15">
      <c r="A25" s="385">
        <v>5</v>
      </c>
      <c r="B25" s="450">
        <v>0</v>
      </c>
      <c r="C25" s="451">
        <f t="shared" ca="1" si="9"/>
        <v>1</v>
      </c>
      <c r="D25" s="452">
        <f t="shared" ca="1" si="0"/>
        <v>1</v>
      </c>
      <c r="E25" s="457">
        <f t="shared" ca="1" si="1"/>
        <v>1</v>
      </c>
      <c r="F25" s="457">
        <f t="shared" ca="1" si="2"/>
        <v>0.5</v>
      </c>
      <c r="G25" s="457">
        <f t="shared" ca="1" si="10"/>
        <v>0.25</v>
      </c>
      <c r="H25" s="453">
        <v>0.01</v>
      </c>
      <c r="I25" s="454">
        <f t="shared" ca="1" si="3"/>
        <v>0.80341162657120557</v>
      </c>
      <c r="J25" s="452">
        <f t="shared" ca="1" si="4"/>
        <v>0.80341162657120557</v>
      </c>
      <c r="K25" s="452">
        <f t="shared" ca="1" si="24"/>
        <v>-0.19658837342879443</v>
      </c>
      <c r="L25" s="452">
        <f t="shared" ca="1" si="11"/>
        <v>3.864698856737913E-2</v>
      </c>
      <c r="M25" s="452">
        <f t="shared" ca="1" si="12"/>
        <v>0.19658837342879443</v>
      </c>
      <c r="N25" s="452">
        <f t="shared" ca="1" si="5"/>
        <v>0.80341162657120557</v>
      </c>
      <c r="O25" s="452">
        <f t="shared" ca="1" si="13"/>
        <v>1.8590591372214327E-3</v>
      </c>
      <c r="P25" s="455" t="str">
        <f t="shared" ca="1" si="14"/>
        <v>P</v>
      </c>
      <c r="Q25" s="455" t="str">
        <f t="shared" ca="1" si="15"/>
        <v>OP</v>
      </c>
      <c r="R25" s="455" t="str">
        <f t="shared" ca="1" si="16"/>
        <v>TP</v>
      </c>
      <c r="S25" s="457">
        <f t="shared" ca="1" si="17"/>
        <v>-0.19658837342879443</v>
      </c>
      <c r="T25" s="456">
        <f t="shared" ca="1" si="6"/>
        <v>0.19658837342879443</v>
      </c>
      <c r="U25" s="456">
        <f t="shared" ca="1" si="18"/>
        <v>3.864698856737913E-2</v>
      </c>
      <c r="V25" s="457">
        <f t="shared" ca="1" si="19"/>
        <v>0.39317674685758885</v>
      </c>
      <c r="W25" s="458">
        <f t="shared" ca="1" si="20"/>
        <v>0.19658837342879443</v>
      </c>
      <c r="X25" s="459" t="str">
        <f t="shared" ca="1" si="21"/>
        <v>≠</v>
      </c>
      <c r="Y25" s="458">
        <f t="shared" ca="1" si="22"/>
        <v>0.24469196975377727</v>
      </c>
      <c r="Z25" s="456">
        <f t="shared" ca="1" si="23"/>
        <v>0.10900915272602761</v>
      </c>
      <c r="AA25" s="457">
        <f t="shared" ca="1" si="7"/>
        <v>-0.31578875539189571</v>
      </c>
      <c r="AB25" s="457">
        <f t="shared" ca="1" si="8"/>
        <v>0</v>
      </c>
    </row>
    <row r="26" spans="1:28" x14ac:dyDescent="0.15">
      <c r="A26" s="385">
        <v>6</v>
      </c>
      <c r="B26" s="450">
        <v>0</v>
      </c>
      <c r="C26" s="451">
        <f t="shared" ca="1" si="9"/>
        <v>0</v>
      </c>
      <c r="D26" s="452">
        <f t="shared" ca="1" si="0"/>
        <v>0</v>
      </c>
      <c r="E26" s="457">
        <f t="shared" ca="1" si="1"/>
        <v>0</v>
      </c>
      <c r="F26" s="457">
        <f t="shared" ca="1" si="2"/>
        <v>0.5</v>
      </c>
      <c r="G26" s="457">
        <f t="shared" ca="1" si="10"/>
        <v>0.25</v>
      </c>
      <c r="H26" s="453">
        <v>0.01</v>
      </c>
      <c r="I26" s="454">
        <f t="shared" ca="1" si="3"/>
        <v>0.59061948228255279</v>
      </c>
      <c r="J26" s="452">
        <f t="shared" ca="1" si="4"/>
        <v>0.59061948228255279</v>
      </c>
      <c r="K26" s="452" t="e">
        <f t="shared" ca="1" si="24"/>
        <v>#DIV/0!</v>
      </c>
      <c r="L26" s="452" t="e">
        <f t="shared" ca="1" si="11"/>
        <v>#DIV/0!</v>
      </c>
      <c r="M26" s="452" t="e">
        <f t="shared" ca="1" si="12"/>
        <v>#DIV/0!</v>
      </c>
      <c r="N26" s="452">
        <f t="shared" ca="1" si="5"/>
        <v>0</v>
      </c>
      <c r="O26" s="452" t="e">
        <f t="shared" ca="1" si="13"/>
        <v>#DIV/0!</v>
      </c>
      <c r="P26" s="455" t="str">
        <f t="shared" ca="1" si="14"/>
        <v>N</v>
      </c>
      <c r="Q26" s="455" t="str">
        <f t="shared" ca="1" si="15"/>
        <v>OP</v>
      </c>
      <c r="R26" s="455" t="str">
        <f t="shared" ca="1" si="16"/>
        <v>FP</v>
      </c>
      <c r="S26" s="457">
        <f t="shared" ca="1" si="17"/>
        <v>0.59061948228255279</v>
      </c>
      <c r="T26" s="456">
        <f t="shared" ca="1" si="6"/>
        <v>0.59061948228255279</v>
      </c>
      <c r="U26" s="456">
        <f t="shared" ca="1" si="18"/>
        <v>0.34883137285171067</v>
      </c>
      <c r="V26" s="457">
        <f t="shared" ca="1" si="19"/>
        <v>1.1812389645651056</v>
      </c>
      <c r="W26" s="458" t="e">
        <f t="shared" ca="1" si="20"/>
        <v>#DIV/0!</v>
      </c>
      <c r="X26" s="459" t="e">
        <f t="shared" ca="1" si="21"/>
        <v>#DIV/0!</v>
      </c>
      <c r="Y26" s="458">
        <f t="shared" ca="1" si="22"/>
        <v>1</v>
      </c>
      <c r="Z26" s="456">
        <f t="shared" ca="1" si="23"/>
        <v>1</v>
      </c>
      <c r="AA26" s="457">
        <f t="shared" ca="1" si="7"/>
        <v>0</v>
      </c>
      <c r="AB26" s="457">
        <f t="shared" ca="1" si="8"/>
        <v>-0.75969914862740207</v>
      </c>
    </row>
    <row r="27" spans="1:28" x14ac:dyDescent="0.15">
      <c r="A27" s="385">
        <v>7</v>
      </c>
      <c r="B27" s="450">
        <v>0</v>
      </c>
      <c r="C27" s="451">
        <f t="shared" ca="1" si="9"/>
        <v>0</v>
      </c>
      <c r="D27" s="452">
        <f t="shared" ca="1" si="0"/>
        <v>0</v>
      </c>
      <c r="E27" s="457">
        <f t="shared" ca="1" si="1"/>
        <v>0</v>
      </c>
      <c r="F27" s="457">
        <f t="shared" ca="1" si="2"/>
        <v>0.5</v>
      </c>
      <c r="G27" s="457">
        <f t="shared" ca="1" si="10"/>
        <v>0.25</v>
      </c>
      <c r="H27" s="453">
        <v>0.01</v>
      </c>
      <c r="I27" s="454">
        <f t="shared" ca="1" si="3"/>
        <v>0.37813975609482231</v>
      </c>
      <c r="J27" s="452">
        <f t="shared" ca="1" si="4"/>
        <v>0.37813975609482231</v>
      </c>
      <c r="K27" s="452" t="e">
        <f t="shared" ca="1" si="24"/>
        <v>#DIV/0!</v>
      </c>
      <c r="L27" s="452" t="e">
        <f t="shared" ca="1" si="11"/>
        <v>#DIV/0!</v>
      </c>
      <c r="M27" s="452" t="e">
        <f t="shared" ca="1" si="12"/>
        <v>#DIV/0!</v>
      </c>
      <c r="N27" s="452">
        <f t="shared" ca="1" si="5"/>
        <v>0</v>
      </c>
      <c r="O27" s="452" t="e">
        <f t="shared" ca="1" si="13"/>
        <v>#DIV/0!</v>
      </c>
      <c r="P27" s="455" t="str">
        <f t="shared" ca="1" si="14"/>
        <v>N</v>
      </c>
      <c r="Q27" s="455" t="str">
        <f t="shared" ca="1" si="15"/>
        <v>ON</v>
      </c>
      <c r="R27" s="455" t="str">
        <f t="shared" ca="1" si="16"/>
        <v>TN</v>
      </c>
      <c r="S27" s="457">
        <f t="shared" ca="1" si="17"/>
        <v>0.37813975609482231</v>
      </c>
      <c r="T27" s="456">
        <f t="shared" ca="1" si="6"/>
        <v>0.37813975609482231</v>
      </c>
      <c r="U27" s="456">
        <f t="shared" ca="1" si="18"/>
        <v>0.14298967513945171</v>
      </c>
      <c r="V27" s="457">
        <f t="shared" ca="1" si="19"/>
        <v>0.75627951218964462</v>
      </c>
      <c r="W27" s="458" t="e">
        <f t="shared" ca="1" si="20"/>
        <v>#DIV/0!</v>
      </c>
      <c r="X27" s="459" t="e">
        <f t="shared" ca="1" si="21"/>
        <v>#DIV/0!</v>
      </c>
      <c r="Y27" s="458">
        <f t="shared" ca="1" si="22"/>
        <v>1</v>
      </c>
      <c r="Z27" s="456">
        <f t="shared" ca="1" si="23"/>
        <v>1</v>
      </c>
      <c r="AA27" s="457">
        <f t="shared" ca="1" si="7"/>
        <v>0</v>
      </c>
      <c r="AB27" s="457">
        <f t="shared" ca="1" si="8"/>
        <v>-1.4030085584274516</v>
      </c>
    </row>
    <row r="28" spans="1:28" x14ac:dyDescent="0.15">
      <c r="A28" s="385">
        <v>8</v>
      </c>
      <c r="B28" s="450">
        <v>0</v>
      </c>
      <c r="C28" s="451">
        <f t="shared" ca="1" si="9"/>
        <v>0</v>
      </c>
      <c r="D28" s="452">
        <f t="shared" ca="1" si="0"/>
        <v>0</v>
      </c>
      <c r="E28" s="457">
        <f t="shared" ca="1" si="1"/>
        <v>0</v>
      </c>
      <c r="F28" s="457">
        <f t="shared" ca="1" si="2"/>
        <v>0.5</v>
      </c>
      <c r="G28" s="457">
        <f t="shared" ca="1" si="10"/>
        <v>0.25</v>
      </c>
      <c r="H28" s="453">
        <v>0.01</v>
      </c>
      <c r="I28" s="454">
        <f t="shared" ca="1" si="3"/>
        <v>0.6694586429961763</v>
      </c>
      <c r="J28" s="452">
        <f t="shared" ca="1" si="4"/>
        <v>0.6694586429961763</v>
      </c>
      <c r="K28" s="452" t="e">
        <f t="shared" ca="1" si="24"/>
        <v>#DIV/0!</v>
      </c>
      <c r="L28" s="452" t="e">
        <f t="shared" ca="1" si="11"/>
        <v>#DIV/0!</v>
      </c>
      <c r="M28" s="452" t="e">
        <f t="shared" ca="1" si="12"/>
        <v>#DIV/0!</v>
      </c>
      <c r="N28" s="452">
        <f t="shared" ca="1" si="5"/>
        <v>0</v>
      </c>
      <c r="O28" s="452" t="e">
        <f t="shared" ca="1" si="13"/>
        <v>#DIV/0!</v>
      </c>
      <c r="P28" s="455" t="str">
        <f t="shared" ca="1" si="14"/>
        <v>N</v>
      </c>
      <c r="Q28" s="455" t="str">
        <f t="shared" ca="1" si="15"/>
        <v>OP</v>
      </c>
      <c r="R28" s="455" t="str">
        <f t="shared" ca="1" si="16"/>
        <v>FP</v>
      </c>
      <c r="S28" s="457">
        <f t="shared" ca="1" si="17"/>
        <v>0.6694586429961763</v>
      </c>
      <c r="T28" s="456">
        <f t="shared" ca="1" si="6"/>
        <v>0.6694586429961763</v>
      </c>
      <c r="U28" s="456">
        <f t="shared" ca="1" si="18"/>
        <v>0.44817487468228184</v>
      </c>
      <c r="V28" s="457">
        <f t="shared" ca="1" si="19"/>
        <v>1.3389172859923526</v>
      </c>
      <c r="W28" s="458" t="e">
        <f t="shared" ca="1" si="20"/>
        <v>#DIV/0!</v>
      </c>
      <c r="X28" s="459" t="e">
        <f t="shared" ca="1" si="21"/>
        <v>#DIV/0!</v>
      </c>
      <c r="Y28" s="458">
        <f t="shared" ca="1" si="22"/>
        <v>1</v>
      </c>
      <c r="Z28" s="456">
        <f t="shared" ca="1" si="23"/>
        <v>1</v>
      </c>
      <c r="AA28" s="457">
        <f t="shared" ca="1" si="7"/>
        <v>0</v>
      </c>
      <c r="AB28" s="457">
        <f t="shared" ca="1" si="8"/>
        <v>-0.57893316164884057</v>
      </c>
    </row>
    <row r="29" spans="1:28" x14ac:dyDescent="0.15">
      <c r="A29" s="385">
        <v>9</v>
      </c>
      <c r="B29" s="450">
        <v>0</v>
      </c>
      <c r="C29" s="451">
        <f t="shared" ca="1" si="9"/>
        <v>1</v>
      </c>
      <c r="D29" s="452">
        <f t="shared" ca="1" si="0"/>
        <v>1</v>
      </c>
      <c r="E29" s="457">
        <f t="shared" ca="1" si="1"/>
        <v>1</v>
      </c>
      <c r="F29" s="457">
        <f t="shared" ca="1" si="2"/>
        <v>0.5</v>
      </c>
      <c r="G29" s="457">
        <f t="shared" ca="1" si="10"/>
        <v>0.25</v>
      </c>
      <c r="H29" s="453">
        <v>0.01</v>
      </c>
      <c r="I29" s="454">
        <f t="shared" ca="1" si="3"/>
        <v>0.41777373020144304</v>
      </c>
      <c r="J29" s="452">
        <f t="shared" ca="1" si="4"/>
        <v>0.41777373020144304</v>
      </c>
      <c r="K29" s="452">
        <f t="shared" ca="1" si="24"/>
        <v>-0.58222626979855696</v>
      </c>
      <c r="L29" s="452">
        <f t="shared" ca="1" si="11"/>
        <v>0.33898742924354203</v>
      </c>
      <c r="M29" s="452">
        <f t="shared" ca="1" si="12"/>
        <v>0.58222626979855696</v>
      </c>
      <c r="N29" s="452">
        <f t="shared" ca="1" si="5"/>
        <v>0.41777373020144304</v>
      </c>
      <c r="O29" s="452">
        <f t="shared" ca="1" si="13"/>
        <v>0.27505912621585055</v>
      </c>
      <c r="P29" s="455" t="str">
        <f t="shared" ca="1" si="14"/>
        <v>P</v>
      </c>
      <c r="Q29" s="455" t="str">
        <f t="shared" ca="1" si="15"/>
        <v>ON</v>
      </c>
      <c r="R29" s="455" t="str">
        <f t="shared" ca="1" si="16"/>
        <v>FN</v>
      </c>
      <c r="S29" s="457">
        <f t="shared" ca="1" si="17"/>
        <v>-0.58222626979855696</v>
      </c>
      <c r="T29" s="456">
        <f t="shared" ca="1" si="6"/>
        <v>0.58222626979855696</v>
      </c>
      <c r="U29" s="456">
        <f t="shared" ca="1" si="18"/>
        <v>0.33898742924354203</v>
      </c>
      <c r="V29" s="457">
        <f t="shared" ca="1" si="19"/>
        <v>1.1644525395971139</v>
      </c>
      <c r="W29" s="458">
        <f t="shared" ca="1" si="20"/>
        <v>0.58222626979855696</v>
      </c>
      <c r="X29" s="459" t="str">
        <f t="shared" ca="1" si="21"/>
        <v>≠</v>
      </c>
      <c r="Y29" s="458">
        <f t="shared" ca="1" si="22"/>
        <v>1.3936402116950193</v>
      </c>
      <c r="Z29" s="456">
        <f t="shared" ca="1" si="23"/>
        <v>0.41066233447267492</v>
      </c>
      <c r="AA29" s="457">
        <f t="shared" ca="1" si="7"/>
        <v>-1.2592063169381598</v>
      </c>
      <c r="AB29" s="457">
        <f t="shared" ca="1" si="8"/>
        <v>0</v>
      </c>
    </row>
    <row r="30" spans="1:28" x14ac:dyDescent="0.15">
      <c r="A30" s="385">
        <v>10</v>
      </c>
      <c r="B30" s="450">
        <v>0</v>
      </c>
      <c r="C30" s="451">
        <f t="shared" ca="1" si="9"/>
        <v>0</v>
      </c>
      <c r="D30" s="452">
        <f t="shared" ca="1" si="0"/>
        <v>0</v>
      </c>
      <c r="E30" s="457">
        <f t="shared" ca="1" si="1"/>
        <v>0</v>
      </c>
      <c r="F30" s="457">
        <f t="shared" ca="1" si="2"/>
        <v>0.5</v>
      </c>
      <c r="G30" s="457">
        <f t="shared" ca="1" si="10"/>
        <v>0.25</v>
      </c>
      <c r="H30" s="453">
        <v>0.01</v>
      </c>
      <c r="I30" s="454">
        <f t="shared" ca="1" si="3"/>
        <v>0.48002684549376845</v>
      </c>
      <c r="J30" s="452">
        <f t="shared" ca="1" si="4"/>
        <v>0.48002684549376845</v>
      </c>
      <c r="K30" s="452" t="e">
        <f t="shared" ca="1" si="24"/>
        <v>#DIV/0!</v>
      </c>
      <c r="L30" s="452" t="e">
        <f t="shared" ca="1" si="11"/>
        <v>#DIV/0!</v>
      </c>
      <c r="M30" s="452" t="e">
        <f t="shared" ca="1" si="12"/>
        <v>#DIV/0!</v>
      </c>
      <c r="N30" s="452">
        <f t="shared" ca="1" si="5"/>
        <v>0</v>
      </c>
      <c r="O30" s="452" t="e">
        <f t="shared" ca="1" si="13"/>
        <v>#DIV/0!</v>
      </c>
      <c r="P30" s="455" t="str">
        <f t="shared" ca="1" si="14"/>
        <v>N</v>
      </c>
      <c r="Q30" s="455" t="str">
        <f t="shared" ca="1" si="15"/>
        <v>ON</v>
      </c>
      <c r="R30" s="455" t="str">
        <f t="shared" ca="1" si="16"/>
        <v>TN</v>
      </c>
      <c r="S30" s="457">
        <f t="shared" ca="1" si="17"/>
        <v>0.48002684549376845</v>
      </c>
      <c r="T30" s="456">
        <f t="shared" ca="1" si="6"/>
        <v>0.48002684549376845</v>
      </c>
      <c r="U30" s="456">
        <f t="shared" ca="1" si="18"/>
        <v>0.23042577239469825</v>
      </c>
      <c r="V30" s="457">
        <f t="shared" ca="1" si="19"/>
        <v>0.9600536909875369</v>
      </c>
      <c r="W30" s="458" t="e">
        <f t="shared" ca="1" si="20"/>
        <v>#DIV/0!</v>
      </c>
      <c r="X30" s="459" t="e">
        <f t="shared" ca="1" si="21"/>
        <v>#DIV/0!</v>
      </c>
      <c r="Y30" s="458">
        <f t="shared" ca="1" si="22"/>
        <v>1</v>
      </c>
      <c r="Z30" s="456">
        <f t="shared" ca="1" si="23"/>
        <v>1</v>
      </c>
      <c r="AA30" s="457">
        <f t="shared" ca="1" si="7"/>
        <v>0</v>
      </c>
      <c r="AB30" s="457">
        <f t="shared" ca="1" si="8"/>
        <v>-1.0588130040999719</v>
      </c>
    </row>
    <row r="31" spans="1:28" x14ac:dyDescent="0.15">
      <c r="A31" s="385">
        <v>11</v>
      </c>
      <c r="B31" s="450">
        <v>1</v>
      </c>
      <c r="C31" s="451">
        <f t="shared" ca="1" si="9"/>
        <v>1</v>
      </c>
      <c r="D31" s="452">
        <f t="shared" ca="1" si="0"/>
        <v>1</v>
      </c>
      <c r="E31" s="457">
        <f t="shared" ca="1" si="1"/>
        <v>1</v>
      </c>
      <c r="F31" s="457">
        <f t="shared" ca="1" si="2"/>
        <v>0.5</v>
      </c>
      <c r="G31" s="457">
        <f t="shared" ca="1" si="10"/>
        <v>0.25</v>
      </c>
      <c r="H31" s="453">
        <v>0.99</v>
      </c>
      <c r="I31" s="454">
        <f t="shared" ca="1" si="3"/>
        <v>0.7946184499179122</v>
      </c>
      <c r="J31" s="452">
        <f t="shared" ca="1" si="4"/>
        <v>0.7946184499179122</v>
      </c>
      <c r="K31" s="452">
        <f t="shared" ca="1" si="24"/>
        <v>-0.2053815500820878</v>
      </c>
      <c r="L31" s="452">
        <f t="shared" ca="1" si="11"/>
        <v>4.2181581114121139E-2</v>
      </c>
      <c r="M31" s="452">
        <f t="shared" ca="1" si="12"/>
        <v>0.2053815500820878</v>
      </c>
      <c r="N31" s="452">
        <f t="shared" ca="1" si="5"/>
        <v>0.7946184499179122</v>
      </c>
      <c r="O31" s="452">
        <f t="shared" ca="1" si="13"/>
        <v>2.2391699884025972E-3</v>
      </c>
      <c r="P31" s="455" t="str">
        <f t="shared" ca="1" si="14"/>
        <v>P</v>
      </c>
      <c r="Q31" s="455" t="str">
        <f t="shared" ca="1" si="15"/>
        <v>OP</v>
      </c>
      <c r="R31" s="455" t="str">
        <f t="shared" ca="1" si="16"/>
        <v>TP</v>
      </c>
      <c r="S31" s="457">
        <f t="shared" ca="1" si="17"/>
        <v>-0.2053815500820878</v>
      </c>
      <c r="T31" s="456">
        <f t="shared" ca="1" si="6"/>
        <v>0.2053815500820878</v>
      </c>
      <c r="U31" s="456">
        <f t="shared" ca="1" si="18"/>
        <v>4.2181581114121139E-2</v>
      </c>
      <c r="V31" s="457">
        <f t="shared" ca="1" si="19"/>
        <v>0.41076310016417561</v>
      </c>
      <c r="W31" s="458">
        <f t="shared" ca="1" si="20"/>
        <v>0.2053815500820878</v>
      </c>
      <c r="X31" s="459" t="str">
        <f t="shared" ca="1" si="21"/>
        <v>≠</v>
      </c>
      <c r="Y31" s="458">
        <f t="shared" ca="1" si="22"/>
        <v>0.25846561969874304</v>
      </c>
      <c r="Z31" s="456">
        <f t="shared" ca="1" si="23"/>
        <v>0.11444301717252611</v>
      </c>
      <c r="AA31" s="457">
        <f t="shared" ca="1" si="7"/>
        <v>-0.33166580373159626</v>
      </c>
      <c r="AB31" s="457">
        <f t="shared" ca="1" si="8"/>
        <v>0</v>
      </c>
    </row>
    <row r="32" spans="1:28" x14ac:dyDescent="0.15">
      <c r="A32" s="385">
        <v>12</v>
      </c>
      <c r="B32" s="450">
        <v>1</v>
      </c>
      <c r="C32" s="451">
        <f t="shared" ca="1" si="9"/>
        <v>1</v>
      </c>
      <c r="D32" s="452">
        <f t="shared" ca="1" si="0"/>
        <v>1</v>
      </c>
      <c r="E32" s="457">
        <f t="shared" ca="1" si="1"/>
        <v>1</v>
      </c>
      <c r="F32" s="457">
        <f t="shared" ca="1" si="2"/>
        <v>0.5</v>
      </c>
      <c r="G32" s="457">
        <f t="shared" ca="1" si="10"/>
        <v>0.25</v>
      </c>
      <c r="H32" s="453">
        <v>0.99</v>
      </c>
      <c r="I32" s="454">
        <f t="shared" ca="1" si="3"/>
        <v>7.5982794092400052E-2</v>
      </c>
      <c r="J32" s="452">
        <f t="shared" ca="1" si="4"/>
        <v>7.5982794092400052E-2</v>
      </c>
      <c r="K32" s="452">
        <f t="shared" ca="1" si="24"/>
        <v>-0.92401720590759995</v>
      </c>
      <c r="L32" s="452">
        <f t="shared" ca="1" si="11"/>
        <v>0.853807796813288</v>
      </c>
      <c r="M32" s="452">
        <f t="shared" ca="1" si="12"/>
        <v>0.92401720590759995</v>
      </c>
      <c r="N32" s="452">
        <f t="shared" ca="1" si="5"/>
        <v>7.5982794092400052E-2</v>
      </c>
      <c r="O32" s="452">
        <f t="shared" ca="1" si="13"/>
        <v>9.5941161759945821</v>
      </c>
      <c r="P32" s="455" t="str">
        <f t="shared" ca="1" si="14"/>
        <v>P</v>
      </c>
      <c r="Q32" s="455" t="str">
        <f t="shared" ca="1" si="15"/>
        <v>ON</v>
      </c>
      <c r="R32" s="455" t="str">
        <f t="shared" ca="1" si="16"/>
        <v>FN</v>
      </c>
      <c r="S32" s="457">
        <f t="shared" ca="1" si="17"/>
        <v>-0.92401720590759995</v>
      </c>
      <c r="T32" s="456">
        <f t="shared" ca="1" si="6"/>
        <v>0.92401720590759995</v>
      </c>
      <c r="U32" s="456">
        <f t="shared" ca="1" si="18"/>
        <v>0.853807796813288</v>
      </c>
      <c r="V32" s="457">
        <f t="shared" ca="1" si="19"/>
        <v>1.8480344118151999</v>
      </c>
      <c r="W32" s="458">
        <f t="shared" ca="1" si="20"/>
        <v>0.92401720590759995</v>
      </c>
      <c r="X32" s="459" t="str">
        <f t="shared" ca="1" si="21"/>
        <v>≠</v>
      </c>
      <c r="Y32" s="458">
        <f t="shared" ca="1" si="22"/>
        <v>12.160874273509007</v>
      </c>
      <c r="Z32" s="456">
        <f t="shared" ca="1" si="23"/>
        <v>0.85876578229767675</v>
      </c>
      <c r="AA32" s="457">
        <f t="shared" ca="1" si="7"/>
        <v>-3.7181834250061585</v>
      </c>
      <c r="AB32" s="457">
        <f t="shared" ca="1" si="8"/>
        <v>0</v>
      </c>
    </row>
    <row r="33" spans="1:28" x14ac:dyDescent="0.15">
      <c r="A33" s="385">
        <v>13</v>
      </c>
      <c r="B33" s="450">
        <v>1</v>
      </c>
      <c r="C33" s="451">
        <f t="shared" ca="1" si="9"/>
        <v>1</v>
      </c>
      <c r="D33" s="452">
        <f t="shared" ca="1" si="0"/>
        <v>1</v>
      </c>
      <c r="E33" s="457">
        <f t="shared" ca="1" si="1"/>
        <v>1</v>
      </c>
      <c r="F33" s="457">
        <f t="shared" ca="1" si="2"/>
        <v>0.5</v>
      </c>
      <c r="G33" s="457">
        <f t="shared" ca="1" si="10"/>
        <v>0.25</v>
      </c>
      <c r="H33" s="453">
        <v>0.99</v>
      </c>
      <c r="I33" s="454">
        <f t="shared" ca="1" si="3"/>
        <v>0.58689757960941125</v>
      </c>
      <c r="J33" s="452">
        <f t="shared" ca="1" si="4"/>
        <v>0.58689757960941125</v>
      </c>
      <c r="K33" s="452">
        <f t="shared" ca="1" si="24"/>
        <v>-0.41310242039058875</v>
      </c>
      <c r="L33" s="452">
        <f t="shared" ca="1" si="11"/>
        <v>0.17065360973256272</v>
      </c>
      <c r="M33" s="452">
        <f t="shared" ca="1" si="12"/>
        <v>0.41310242039058875</v>
      </c>
      <c r="N33" s="452">
        <f t="shared" ca="1" si="5"/>
        <v>0.58689757960941125</v>
      </c>
      <c r="O33" s="452">
        <f t="shared" ca="1" si="13"/>
        <v>4.962135733143655E-2</v>
      </c>
      <c r="P33" s="455" t="str">
        <f t="shared" ca="1" si="14"/>
        <v>P</v>
      </c>
      <c r="Q33" s="455" t="str">
        <f t="shared" ca="1" si="15"/>
        <v>OP</v>
      </c>
      <c r="R33" s="455" t="str">
        <f t="shared" ca="1" si="16"/>
        <v>TP</v>
      </c>
      <c r="S33" s="457">
        <f t="shared" ca="1" si="17"/>
        <v>-0.41310242039058875</v>
      </c>
      <c r="T33" s="456">
        <f t="shared" ca="1" si="6"/>
        <v>0.41310242039058875</v>
      </c>
      <c r="U33" s="456">
        <f t="shared" ca="1" si="18"/>
        <v>0.17065360973256272</v>
      </c>
      <c r="V33" s="457">
        <f t="shared" ca="1" si="19"/>
        <v>0.82620484078117751</v>
      </c>
      <c r="W33" s="458">
        <f t="shared" ca="1" si="20"/>
        <v>0.41310242039058875</v>
      </c>
      <c r="X33" s="459" t="str">
        <f t="shared" ca="1" si="21"/>
        <v>≠</v>
      </c>
      <c r="Y33" s="458">
        <f t="shared" ca="1" si="22"/>
        <v>0.70387480668350066</v>
      </c>
      <c r="Z33" s="456">
        <f t="shared" ca="1" si="23"/>
        <v>0.2603207829532812</v>
      </c>
      <c r="AA33" s="457">
        <f t="shared" ca="1" si="7"/>
        <v>-0.76881933649559697</v>
      </c>
      <c r="AB33" s="457">
        <f t="shared" ca="1" si="8"/>
        <v>0</v>
      </c>
    </row>
    <row r="34" spans="1:28" x14ac:dyDescent="0.15">
      <c r="A34" s="385">
        <v>14</v>
      </c>
      <c r="B34" s="450">
        <v>1</v>
      </c>
      <c r="C34" s="451">
        <f t="shared" ca="1" si="9"/>
        <v>0</v>
      </c>
      <c r="D34" s="452">
        <f t="shared" ca="1" si="0"/>
        <v>0</v>
      </c>
      <c r="E34" s="457">
        <f t="shared" ca="1" si="1"/>
        <v>0</v>
      </c>
      <c r="F34" s="457">
        <f t="shared" ca="1" si="2"/>
        <v>0.5</v>
      </c>
      <c r="G34" s="457">
        <f t="shared" ca="1" si="10"/>
        <v>0.25</v>
      </c>
      <c r="H34" s="453">
        <v>0.99</v>
      </c>
      <c r="I34" s="454">
        <f t="shared" ca="1" si="3"/>
        <v>0.75278074518865035</v>
      </c>
      <c r="J34" s="452">
        <f t="shared" ca="1" si="4"/>
        <v>0.75278074518865035</v>
      </c>
      <c r="K34" s="452" t="e">
        <f t="shared" ca="1" si="24"/>
        <v>#DIV/0!</v>
      </c>
      <c r="L34" s="452" t="e">
        <f t="shared" ca="1" si="11"/>
        <v>#DIV/0!</v>
      </c>
      <c r="M34" s="452" t="e">
        <f t="shared" ca="1" si="12"/>
        <v>#DIV/0!</v>
      </c>
      <c r="N34" s="452">
        <f t="shared" ca="1" si="5"/>
        <v>0</v>
      </c>
      <c r="O34" s="452" t="e">
        <f t="shared" ca="1" si="13"/>
        <v>#DIV/0!</v>
      </c>
      <c r="P34" s="455" t="str">
        <f t="shared" ca="1" si="14"/>
        <v>N</v>
      </c>
      <c r="Q34" s="455" t="str">
        <f t="shared" ca="1" si="15"/>
        <v>OP</v>
      </c>
      <c r="R34" s="455" t="str">
        <f t="shared" ca="1" si="16"/>
        <v>FP</v>
      </c>
      <c r="S34" s="457">
        <f t="shared" ca="1" si="17"/>
        <v>0.75278074518865035</v>
      </c>
      <c r="T34" s="456">
        <f t="shared" ca="1" si="6"/>
        <v>0.75278074518865035</v>
      </c>
      <c r="U34" s="456">
        <f t="shared" ca="1" si="18"/>
        <v>0.56667885032677967</v>
      </c>
      <c r="V34" s="457">
        <f t="shared" ca="1" si="19"/>
        <v>1.5055614903773007</v>
      </c>
      <c r="W34" s="458" t="e">
        <f t="shared" ca="1" si="20"/>
        <v>#DIV/0!</v>
      </c>
      <c r="X34" s="459" t="e">
        <f t="shared" ca="1" si="21"/>
        <v>#DIV/0!</v>
      </c>
      <c r="Y34" s="458">
        <f t="shared" ca="1" si="22"/>
        <v>1</v>
      </c>
      <c r="Z34" s="456">
        <f t="shared" ca="1" si="23"/>
        <v>1</v>
      </c>
      <c r="AA34" s="457">
        <f t="shared" ca="1" si="7"/>
        <v>0</v>
      </c>
      <c r="AB34" s="457">
        <f t="shared" ca="1" si="8"/>
        <v>-0.40969836795814846</v>
      </c>
    </row>
    <row r="35" spans="1:28" x14ac:dyDescent="0.15">
      <c r="A35" s="385">
        <v>15</v>
      </c>
      <c r="B35" s="450">
        <v>1</v>
      </c>
      <c r="C35" s="451">
        <f t="shared" ca="1" si="9"/>
        <v>1</v>
      </c>
      <c r="D35" s="452">
        <f t="shared" ca="1" si="0"/>
        <v>1</v>
      </c>
      <c r="E35" s="457">
        <f t="shared" ca="1" si="1"/>
        <v>1</v>
      </c>
      <c r="F35" s="457">
        <f t="shared" ca="1" si="2"/>
        <v>0.5</v>
      </c>
      <c r="G35" s="457">
        <f t="shared" ca="1" si="10"/>
        <v>0.25</v>
      </c>
      <c r="H35" s="453">
        <v>0.99</v>
      </c>
      <c r="I35" s="454">
        <f t="shared" ca="1" si="3"/>
        <v>0.77279283725869063</v>
      </c>
      <c r="J35" s="452">
        <f t="shared" ca="1" si="4"/>
        <v>0.77279283725869063</v>
      </c>
      <c r="K35" s="452">
        <f t="shared" ca="1" si="24"/>
        <v>-0.22720716274130937</v>
      </c>
      <c r="L35" s="452">
        <f t="shared" ca="1" si="11"/>
        <v>5.1623094800955838E-2</v>
      </c>
      <c r="M35" s="452">
        <f t="shared" ca="1" si="12"/>
        <v>0.22720716274130937</v>
      </c>
      <c r="N35" s="452">
        <f t="shared" ca="1" si="5"/>
        <v>0.77279283725869063</v>
      </c>
      <c r="O35" s="452">
        <f t="shared" ca="1" si="13"/>
        <v>3.448458355646469E-3</v>
      </c>
      <c r="P35" s="455" t="str">
        <f t="shared" ca="1" si="14"/>
        <v>P</v>
      </c>
      <c r="Q35" s="455" t="str">
        <f t="shared" ca="1" si="15"/>
        <v>OP</v>
      </c>
      <c r="R35" s="455" t="str">
        <f t="shared" ca="1" si="16"/>
        <v>TP</v>
      </c>
      <c r="S35" s="457">
        <f t="shared" ca="1" si="17"/>
        <v>-0.22720716274130937</v>
      </c>
      <c r="T35" s="456">
        <f t="shared" ca="1" si="6"/>
        <v>0.22720716274130937</v>
      </c>
      <c r="U35" s="456">
        <f t="shared" ca="1" si="18"/>
        <v>5.1623094800955838E-2</v>
      </c>
      <c r="V35" s="457">
        <f t="shared" ca="1" si="19"/>
        <v>0.45441432548261873</v>
      </c>
      <c r="W35" s="458">
        <f t="shared" ca="1" si="20"/>
        <v>0.22720716274130937</v>
      </c>
      <c r="X35" s="459" t="str">
        <f t="shared" ca="1" si="21"/>
        <v>≠</v>
      </c>
      <c r="Y35" s="458">
        <f t="shared" ca="1" si="22"/>
        <v>0.29400785279956249</v>
      </c>
      <c r="Z35" s="456">
        <f t="shared" ca="1" si="23"/>
        <v>0.12816340294596681</v>
      </c>
      <c r="AA35" s="457">
        <f t="shared" ca="1" si="7"/>
        <v>-0.37184637247772323</v>
      </c>
      <c r="AB35" s="457">
        <f t="shared" ca="1" si="8"/>
        <v>0</v>
      </c>
    </row>
    <row r="36" spans="1:28" x14ac:dyDescent="0.15">
      <c r="A36" s="385">
        <v>16</v>
      </c>
      <c r="B36" s="450">
        <v>1</v>
      </c>
      <c r="C36" s="451">
        <f t="shared" ca="1" si="9"/>
        <v>1</v>
      </c>
      <c r="D36" s="452">
        <f t="shared" ca="1" si="0"/>
        <v>1</v>
      </c>
      <c r="E36" s="457">
        <f t="shared" ca="1" si="1"/>
        <v>1</v>
      </c>
      <c r="F36" s="457">
        <f t="shared" ca="1" si="2"/>
        <v>0.5</v>
      </c>
      <c r="G36" s="457">
        <f t="shared" ca="1" si="10"/>
        <v>0.25</v>
      </c>
      <c r="H36" s="453">
        <v>0.99</v>
      </c>
      <c r="I36" s="454">
        <f t="shared" ca="1" si="3"/>
        <v>0.60972727442609587</v>
      </c>
      <c r="J36" s="452">
        <f t="shared" ca="1" si="4"/>
        <v>0.60972727442609587</v>
      </c>
      <c r="K36" s="452">
        <f t="shared" ca="1" si="24"/>
        <v>-0.39027272557390413</v>
      </c>
      <c r="L36" s="452">
        <f t="shared" ca="1" si="11"/>
        <v>0.15231280032688388</v>
      </c>
      <c r="M36" s="452">
        <f t="shared" ca="1" si="12"/>
        <v>0.39027272557390413</v>
      </c>
      <c r="N36" s="452">
        <f t="shared" ca="1" si="5"/>
        <v>0.60972727442609587</v>
      </c>
      <c r="O36" s="452">
        <f t="shared" ca="1" si="13"/>
        <v>3.8048468744084595E-2</v>
      </c>
      <c r="P36" s="455" t="str">
        <f t="shared" ca="1" si="14"/>
        <v>P</v>
      </c>
      <c r="Q36" s="455" t="str">
        <f t="shared" ca="1" si="15"/>
        <v>OP</v>
      </c>
      <c r="R36" s="455" t="str">
        <f t="shared" ca="1" si="16"/>
        <v>TP</v>
      </c>
      <c r="S36" s="457">
        <f t="shared" ca="1" si="17"/>
        <v>-0.39027272557390413</v>
      </c>
      <c r="T36" s="456">
        <f t="shared" ca="1" si="6"/>
        <v>0.39027272557390413</v>
      </c>
      <c r="U36" s="456">
        <f t="shared" ca="1" si="18"/>
        <v>0.15231280032688388</v>
      </c>
      <c r="V36" s="457">
        <f t="shared" ca="1" si="19"/>
        <v>0.78054545114780827</v>
      </c>
      <c r="W36" s="458">
        <f t="shared" ca="1" si="20"/>
        <v>0.39027272557390413</v>
      </c>
      <c r="X36" s="459" t="str">
        <f t="shared" ca="1" si="21"/>
        <v>≠</v>
      </c>
      <c r="Y36" s="458">
        <f t="shared" ca="1" si="22"/>
        <v>0.64007752636823945</v>
      </c>
      <c r="Z36" s="456">
        <f t="shared" ca="1" si="23"/>
        <v>0.24244648877745154</v>
      </c>
      <c r="AA36" s="457">
        <f t="shared" ca="1" si="7"/>
        <v>-0.71376401256497923</v>
      </c>
      <c r="AB36" s="457">
        <f t="shared" ca="1" si="8"/>
        <v>0</v>
      </c>
    </row>
    <row r="37" spans="1:28" x14ac:dyDescent="0.15">
      <c r="A37" s="385">
        <v>17</v>
      </c>
      <c r="B37" s="450">
        <v>1</v>
      </c>
      <c r="C37" s="451">
        <f t="shared" ca="1" si="9"/>
        <v>0</v>
      </c>
      <c r="D37" s="452">
        <f t="shared" ca="1" si="0"/>
        <v>0</v>
      </c>
      <c r="E37" s="457">
        <f t="shared" ca="1" si="1"/>
        <v>0</v>
      </c>
      <c r="F37" s="457">
        <f t="shared" ca="1" si="2"/>
        <v>0.5</v>
      </c>
      <c r="G37" s="457">
        <f t="shared" ca="1" si="10"/>
        <v>0.25</v>
      </c>
      <c r="H37" s="453">
        <v>0.99</v>
      </c>
      <c r="I37" s="454">
        <f t="shared" ca="1" si="3"/>
        <v>0.27086755123925738</v>
      </c>
      <c r="J37" s="452">
        <f t="shared" ca="1" si="4"/>
        <v>0.27086755123925738</v>
      </c>
      <c r="K37" s="452" t="e">
        <f t="shared" ca="1" si="24"/>
        <v>#DIV/0!</v>
      </c>
      <c r="L37" s="452" t="e">
        <f t="shared" ca="1" si="11"/>
        <v>#DIV/0!</v>
      </c>
      <c r="M37" s="452" t="e">
        <f t="shared" ca="1" si="12"/>
        <v>#DIV/0!</v>
      </c>
      <c r="N37" s="452">
        <f t="shared" ca="1" si="5"/>
        <v>0</v>
      </c>
      <c r="O37" s="452" t="e">
        <f t="shared" ca="1" si="13"/>
        <v>#DIV/0!</v>
      </c>
      <c r="P37" s="455" t="str">
        <f t="shared" ca="1" si="14"/>
        <v>N</v>
      </c>
      <c r="Q37" s="455" t="str">
        <f t="shared" ca="1" si="15"/>
        <v>ON</v>
      </c>
      <c r="R37" s="455" t="str">
        <f t="shared" ca="1" si="16"/>
        <v>TN</v>
      </c>
      <c r="S37" s="457">
        <f t="shared" ca="1" si="17"/>
        <v>0.27086755123925738</v>
      </c>
      <c r="T37" s="456">
        <f t="shared" ca="1" si="6"/>
        <v>0.27086755123925738</v>
      </c>
      <c r="U37" s="456">
        <f t="shared" ca="1" si="18"/>
        <v>7.3369230314351719E-2</v>
      </c>
      <c r="V37" s="457">
        <f t="shared" ca="1" si="19"/>
        <v>0.54173510247851475</v>
      </c>
      <c r="W37" s="458" t="e">
        <f t="shared" ca="1" si="20"/>
        <v>#DIV/0!</v>
      </c>
      <c r="X37" s="459" t="e">
        <f t="shared" ca="1" si="21"/>
        <v>#DIV/0!</v>
      </c>
      <c r="Y37" s="458">
        <f t="shared" ca="1" si="22"/>
        <v>1</v>
      </c>
      <c r="Z37" s="456">
        <f t="shared" ca="1" si="23"/>
        <v>1</v>
      </c>
      <c r="AA37" s="457">
        <f t="shared" ca="1" si="7"/>
        <v>0</v>
      </c>
      <c r="AB37" s="457">
        <f t="shared" ca="1" si="8"/>
        <v>-1.8843405196203467</v>
      </c>
    </row>
    <row r="38" spans="1:28" x14ac:dyDescent="0.15">
      <c r="A38" s="385">
        <v>18</v>
      </c>
      <c r="B38" s="450">
        <v>1</v>
      </c>
      <c r="C38" s="451">
        <f t="shared" ca="1" si="9"/>
        <v>0</v>
      </c>
      <c r="D38" s="452">
        <f t="shared" ca="1" si="0"/>
        <v>0</v>
      </c>
      <c r="E38" s="457">
        <f t="shared" ca="1" si="1"/>
        <v>0</v>
      </c>
      <c r="F38" s="457">
        <f t="shared" ca="1" si="2"/>
        <v>0.5</v>
      </c>
      <c r="G38" s="457">
        <f t="shared" ca="1" si="10"/>
        <v>0.25</v>
      </c>
      <c r="H38" s="453">
        <v>0.99</v>
      </c>
      <c r="I38" s="454">
        <f t="shared" ca="1" si="3"/>
        <v>0.88656337347982128</v>
      </c>
      <c r="J38" s="452">
        <f t="shared" ca="1" si="4"/>
        <v>0.88656337347982128</v>
      </c>
      <c r="K38" s="452" t="e">
        <f t="shared" ca="1" si="24"/>
        <v>#DIV/0!</v>
      </c>
      <c r="L38" s="452" t="e">
        <f t="shared" ca="1" si="11"/>
        <v>#DIV/0!</v>
      </c>
      <c r="M38" s="452" t="e">
        <f t="shared" ca="1" si="12"/>
        <v>#DIV/0!</v>
      </c>
      <c r="N38" s="452">
        <f t="shared" ca="1" si="5"/>
        <v>0</v>
      </c>
      <c r="O38" s="452" t="e">
        <f t="shared" ca="1" si="13"/>
        <v>#DIV/0!</v>
      </c>
      <c r="P38" s="455" t="str">
        <f t="shared" ca="1" si="14"/>
        <v>N</v>
      </c>
      <c r="Q38" s="455" t="str">
        <f t="shared" ca="1" si="15"/>
        <v>OP</v>
      </c>
      <c r="R38" s="455" t="str">
        <f t="shared" ca="1" si="16"/>
        <v>FP</v>
      </c>
      <c r="S38" s="457">
        <f t="shared" ca="1" si="17"/>
        <v>0.88656337347982128</v>
      </c>
      <c r="T38" s="456">
        <f t="shared" ca="1" si="6"/>
        <v>0.88656337347982128</v>
      </c>
      <c r="U38" s="456">
        <f t="shared" ca="1" si="18"/>
        <v>0.78599461519592106</v>
      </c>
      <c r="V38" s="457">
        <f t="shared" ca="1" si="19"/>
        <v>1.7731267469596426</v>
      </c>
      <c r="W38" s="458" t="e">
        <f t="shared" ca="1" si="20"/>
        <v>#DIV/0!</v>
      </c>
      <c r="X38" s="459" t="e">
        <f t="shared" ca="1" si="21"/>
        <v>#DIV/0!</v>
      </c>
      <c r="Y38" s="458">
        <f t="shared" ca="1" si="22"/>
        <v>1</v>
      </c>
      <c r="Z38" s="456">
        <f t="shared" ca="1" si="23"/>
        <v>1</v>
      </c>
      <c r="AA38" s="457">
        <f t="shared" ca="1" si="7"/>
        <v>0</v>
      </c>
      <c r="AB38" s="457">
        <f t="shared" ca="1" si="8"/>
        <v>-0.17370433309534841</v>
      </c>
    </row>
    <row r="39" spans="1:28" x14ac:dyDescent="0.15">
      <c r="A39" s="385">
        <v>19</v>
      </c>
      <c r="B39" s="450">
        <v>1</v>
      </c>
      <c r="C39" s="451">
        <f t="shared" ca="1" si="9"/>
        <v>0</v>
      </c>
      <c r="D39" s="452">
        <f t="shared" ca="1" si="0"/>
        <v>0</v>
      </c>
      <c r="E39" s="457">
        <f t="shared" ca="1" si="1"/>
        <v>0</v>
      </c>
      <c r="F39" s="457">
        <f t="shared" ca="1" si="2"/>
        <v>0.5</v>
      </c>
      <c r="G39" s="457">
        <f t="shared" ca="1" si="10"/>
        <v>0.25</v>
      </c>
      <c r="H39" s="453">
        <v>0.99</v>
      </c>
      <c r="I39" s="454">
        <f t="shared" ca="1" si="3"/>
        <v>0.33732943013015226</v>
      </c>
      <c r="J39" s="452">
        <f t="shared" ca="1" si="4"/>
        <v>0.33732943013015226</v>
      </c>
      <c r="K39" s="452" t="e">
        <f t="shared" ca="1" si="24"/>
        <v>#DIV/0!</v>
      </c>
      <c r="L39" s="452" t="e">
        <f t="shared" ca="1" si="11"/>
        <v>#DIV/0!</v>
      </c>
      <c r="M39" s="452" t="e">
        <f t="shared" ca="1" si="12"/>
        <v>#DIV/0!</v>
      </c>
      <c r="N39" s="452">
        <f t="shared" ca="1" si="5"/>
        <v>0</v>
      </c>
      <c r="O39" s="452" t="e">
        <f t="shared" ca="1" si="13"/>
        <v>#DIV/0!</v>
      </c>
      <c r="P39" s="455" t="str">
        <f t="shared" ca="1" si="14"/>
        <v>N</v>
      </c>
      <c r="Q39" s="455" t="str">
        <f t="shared" ca="1" si="15"/>
        <v>ON</v>
      </c>
      <c r="R39" s="455" t="str">
        <f t="shared" ca="1" si="16"/>
        <v>TN</v>
      </c>
      <c r="S39" s="457">
        <f t="shared" ca="1" si="17"/>
        <v>0.33732943013015226</v>
      </c>
      <c r="T39" s="456">
        <f t="shared" ca="1" si="6"/>
        <v>0.33732943013015226</v>
      </c>
      <c r="U39" s="456">
        <f t="shared" ca="1" si="18"/>
        <v>0.11379114443193328</v>
      </c>
      <c r="V39" s="457">
        <f t="shared" ca="1" si="19"/>
        <v>0.67465886026030453</v>
      </c>
      <c r="W39" s="458" t="e">
        <f t="shared" ca="1" si="20"/>
        <v>#DIV/0!</v>
      </c>
      <c r="X39" s="459" t="e">
        <f t="shared" ca="1" si="21"/>
        <v>#DIV/0!</v>
      </c>
      <c r="Y39" s="458">
        <f t="shared" ca="1" si="22"/>
        <v>1</v>
      </c>
      <c r="Z39" s="456">
        <f t="shared" ca="1" si="23"/>
        <v>1</v>
      </c>
      <c r="AA39" s="457">
        <f t="shared" ca="1" si="7"/>
        <v>0</v>
      </c>
      <c r="AB39" s="457">
        <f t="shared" ca="1" si="8"/>
        <v>-1.5677699038641844</v>
      </c>
    </row>
    <row r="40" spans="1:28" x14ac:dyDescent="0.15">
      <c r="A40" s="385">
        <v>20</v>
      </c>
      <c r="B40" s="450">
        <v>1</v>
      </c>
      <c r="C40" s="451">
        <f t="shared" ca="1" si="9"/>
        <v>0</v>
      </c>
      <c r="D40" s="452">
        <f t="shared" ca="1" si="0"/>
        <v>0</v>
      </c>
      <c r="E40" s="457">
        <f t="shared" ca="1" si="1"/>
        <v>0</v>
      </c>
      <c r="F40" s="457">
        <f t="shared" ca="1" si="2"/>
        <v>0.5</v>
      </c>
      <c r="G40" s="457">
        <f t="shared" ca="1" si="10"/>
        <v>0.25</v>
      </c>
      <c r="H40" s="453">
        <v>0.99</v>
      </c>
      <c r="I40" s="454">
        <f t="shared" ca="1" si="3"/>
        <v>0.28448403627722363</v>
      </c>
      <c r="J40" s="452">
        <f t="shared" ca="1" si="4"/>
        <v>0.28448403627722363</v>
      </c>
      <c r="K40" s="452" t="e">
        <f t="shared" ca="1" si="24"/>
        <v>#DIV/0!</v>
      </c>
      <c r="L40" s="452" t="e">
        <f t="shared" ca="1" si="11"/>
        <v>#DIV/0!</v>
      </c>
      <c r="M40" s="452" t="e">
        <f t="shared" ca="1" si="12"/>
        <v>#DIV/0!</v>
      </c>
      <c r="N40" s="452">
        <f t="shared" ca="1" si="5"/>
        <v>0</v>
      </c>
      <c r="O40" s="452" t="e">
        <f t="shared" ca="1" si="13"/>
        <v>#DIV/0!</v>
      </c>
      <c r="P40" s="455" t="str">
        <f t="shared" ca="1" si="14"/>
        <v>N</v>
      </c>
      <c r="Q40" s="455" t="str">
        <f t="shared" ca="1" si="15"/>
        <v>ON</v>
      </c>
      <c r="R40" s="455" t="str">
        <f t="shared" ca="1" si="16"/>
        <v>TN</v>
      </c>
      <c r="S40" s="457">
        <f t="shared" ca="1" si="17"/>
        <v>0.28448403627722363</v>
      </c>
      <c r="T40" s="456">
        <f t="shared" ca="1" si="6"/>
        <v>0.28448403627722363</v>
      </c>
      <c r="U40" s="456">
        <f t="shared" ca="1" si="18"/>
        <v>8.0931166896580684E-2</v>
      </c>
      <c r="V40" s="457">
        <f t="shared" ca="1" si="19"/>
        <v>0.56896807255444726</v>
      </c>
      <c r="W40" s="458" t="e">
        <f t="shared" ca="1" si="20"/>
        <v>#DIV/0!</v>
      </c>
      <c r="X40" s="459" t="e">
        <f t="shared" ca="1" si="21"/>
        <v>#DIV/0!</v>
      </c>
      <c r="Y40" s="458">
        <f t="shared" ca="1" si="22"/>
        <v>1</v>
      </c>
      <c r="Z40" s="456">
        <f t="shared" ca="1" si="23"/>
        <v>1</v>
      </c>
      <c r="AA40" s="457">
        <f t="shared" ca="1" si="7"/>
        <v>0</v>
      </c>
      <c r="AB40" s="457">
        <f t="shared" ca="1" si="8"/>
        <v>-1.813580396414745</v>
      </c>
    </row>
    <row r="41" spans="1:28" x14ac:dyDescent="0.15">
      <c r="A41" s="385">
        <v>21</v>
      </c>
      <c r="B41" s="450">
        <v>0</v>
      </c>
      <c r="C41" s="451">
        <f t="shared" ca="1" si="9"/>
        <v>1</v>
      </c>
      <c r="D41" s="452">
        <f t="shared" ref="D41:D70" ca="1" si="25">IF($B$16=$B$17,B41,C41)</f>
        <v>1</v>
      </c>
      <c r="E41" s="457">
        <f t="shared" ref="E41:E70" ca="1" si="26">D41^2</f>
        <v>1</v>
      </c>
      <c r="F41" s="457">
        <f t="shared" ref="F41:F70" ca="1" si="27">ABS(D41-Mean_c)</f>
        <v>0.5</v>
      </c>
      <c r="G41" s="457">
        <f t="shared" ref="G41:G70" ca="1" si="28">F41^2</f>
        <v>0.25</v>
      </c>
      <c r="H41" s="453">
        <v>0.01</v>
      </c>
      <c r="I41" s="454">
        <f t="shared" ref="I41:I70" ca="1" si="29">IF(AND(MinP=CN,MaxP=CP),IF(D41=CN,IF(RAND()&lt;=MinTNR,RAND()*(THETA-MinP)+MinP,RAND()*(MaxP-THETA)+THETA),IF(RAND()&lt;=MinTPR,RAND()*(MaxP-THETA)+THETA,RAND()*(THETA-MinP)+MinP)), RAND()*(MaxP-MinP)+MinP)</f>
        <v>0.95371970812801765</v>
      </c>
      <c r="J41" s="452">
        <f t="shared" ref="J41:J70" ca="1" si="30">IF($H$16=$H$17,H41,I41)</f>
        <v>0.95371970812801765</v>
      </c>
      <c r="K41" s="452">
        <f t="shared" ref="K41:K70" ca="1" si="31">S41/D41</f>
        <v>-4.6280291871982349E-2</v>
      </c>
      <c r="L41" s="452">
        <f t="shared" ref="L41:L70" ca="1" si="32">K41^2</f>
        <v>2.1418654157558756E-3</v>
      </c>
      <c r="M41" s="452">
        <f t="shared" ref="M41:M70" ca="1" si="33">ABS(K41)</f>
        <v>4.6280291871982349E-2</v>
      </c>
      <c r="N41" s="452">
        <f t="shared" ref="N41:N70" ca="1" si="34">D41*J41</f>
        <v>0.95371970812801765</v>
      </c>
      <c r="O41" s="452">
        <f t="shared" ref="O41:O70" ca="1" si="35">U41^2/N41</f>
        <v>4.8102051578819833E-6</v>
      </c>
      <c r="P41" s="455" t="str">
        <f t="shared" ref="P41:P70" ca="1" si="36">IF(D41=CN,"N","P")</f>
        <v>P</v>
      </c>
      <c r="Q41" s="455" t="str">
        <f t="shared" ref="Q41:Q70" ca="1" si="37">IF(J41&lt;THETA,"ON","OP")</f>
        <v>OP</v>
      </c>
      <c r="R41" s="455" t="str">
        <f t="shared" ref="R41:R70" ca="1" si="38">IF(Q41="OP",IF(P41="P","TP","FP"),IF(P41="N","TN","FN"))</f>
        <v>TP</v>
      </c>
      <c r="S41" s="457">
        <f t="shared" ref="S41:S70" ca="1" si="39">J41-D41</f>
        <v>-4.6280291871982349E-2</v>
      </c>
      <c r="T41" s="456">
        <f t="shared" ref="T41:T70" ca="1" si="40">ABS(J41-D41)</f>
        <v>4.6280291871982349E-2</v>
      </c>
      <c r="U41" s="456">
        <f t="shared" ref="U41:U70" ca="1" si="41">T41^2</f>
        <v>2.1418654157558756E-3</v>
      </c>
      <c r="V41" s="457">
        <f t="shared" ref="V41:V70" ca="1" si="42">T41/F41</f>
        <v>9.2560583743964697E-2</v>
      </c>
      <c r="W41" s="458">
        <f t="shared" ref="W41:W70" ca="1" si="43">ABS(T41/D41)</f>
        <v>4.6280291871982349E-2</v>
      </c>
      <c r="X41" s="459" t="str">
        <f t="shared" ref="X41:X70" ca="1" si="44">IF(W41=Y41,"=","≠")</f>
        <v>≠</v>
      </c>
      <c r="Y41" s="458">
        <f t="shared" ref="Y41:Y70" ca="1" si="45">ABS((J41-D41)/J41)</f>
        <v>4.8526093649487796E-2</v>
      </c>
      <c r="Z41" s="456">
        <f t="shared" ref="Z41:Z70" ca="1" si="46">T41/ABS(J41+D41)</f>
        <v>2.3688296575728574E-2</v>
      </c>
      <c r="AA41" s="457">
        <f t="shared" ref="AA41:AA70" ca="1" si="47">D41*LOG(J41,2)</f>
        <v>-6.8362764830110098E-2</v>
      </c>
      <c r="AB41" s="457">
        <f t="shared" ref="AB41:AB70" ca="1" si="48">IF(D41=CN,CP,CN)*LOG(J41,2)</f>
        <v>0</v>
      </c>
    </row>
    <row r="42" spans="1:28" x14ac:dyDescent="0.15">
      <c r="A42" s="385">
        <v>22</v>
      </c>
      <c r="B42" s="450">
        <v>0</v>
      </c>
      <c r="C42" s="451">
        <f t="shared" ca="1" si="9"/>
        <v>0</v>
      </c>
      <c r="D42" s="452">
        <f t="shared" ca="1" si="25"/>
        <v>0</v>
      </c>
      <c r="E42" s="457">
        <f t="shared" ca="1" si="26"/>
        <v>0</v>
      </c>
      <c r="F42" s="457">
        <f t="shared" ca="1" si="27"/>
        <v>0.5</v>
      </c>
      <c r="G42" s="457">
        <f t="shared" ca="1" si="28"/>
        <v>0.25</v>
      </c>
      <c r="H42" s="453">
        <v>0.01</v>
      </c>
      <c r="I42" s="454">
        <f t="shared" ca="1" si="29"/>
        <v>0.6283814623242534</v>
      </c>
      <c r="J42" s="452">
        <f t="shared" ca="1" si="30"/>
        <v>0.6283814623242534</v>
      </c>
      <c r="K42" s="452" t="e">
        <f t="shared" ca="1" si="31"/>
        <v>#DIV/0!</v>
      </c>
      <c r="L42" s="452" t="e">
        <f t="shared" ca="1" si="32"/>
        <v>#DIV/0!</v>
      </c>
      <c r="M42" s="452" t="e">
        <f t="shared" ca="1" si="33"/>
        <v>#DIV/0!</v>
      </c>
      <c r="N42" s="452">
        <f t="shared" ca="1" si="34"/>
        <v>0</v>
      </c>
      <c r="O42" s="452" t="e">
        <f t="shared" ca="1" si="35"/>
        <v>#DIV/0!</v>
      </c>
      <c r="P42" s="455" t="str">
        <f t="shared" ca="1" si="36"/>
        <v>N</v>
      </c>
      <c r="Q42" s="455" t="str">
        <f t="shared" ca="1" si="37"/>
        <v>OP</v>
      </c>
      <c r="R42" s="455" t="str">
        <f t="shared" ca="1" si="38"/>
        <v>FP</v>
      </c>
      <c r="S42" s="457">
        <f t="shared" ca="1" si="39"/>
        <v>0.6283814623242534</v>
      </c>
      <c r="T42" s="456">
        <f t="shared" ca="1" si="40"/>
        <v>0.6283814623242534</v>
      </c>
      <c r="U42" s="456">
        <f t="shared" ca="1" si="41"/>
        <v>0.39486326219276707</v>
      </c>
      <c r="V42" s="457">
        <f t="shared" ca="1" si="42"/>
        <v>1.2567629246485068</v>
      </c>
      <c r="W42" s="458" t="e">
        <f t="shared" ca="1" si="43"/>
        <v>#DIV/0!</v>
      </c>
      <c r="X42" s="459" t="e">
        <f t="shared" ca="1" si="44"/>
        <v>#DIV/0!</v>
      </c>
      <c r="Y42" s="458">
        <f t="shared" ca="1" si="45"/>
        <v>1</v>
      </c>
      <c r="Z42" s="456">
        <f t="shared" ca="1" si="46"/>
        <v>1</v>
      </c>
      <c r="AA42" s="457">
        <f t="shared" ca="1" si="47"/>
        <v>0</v>
      </c>
      <c r="AB42" s="457">
        <f t="shared" ca="1" si="48"/>
        <v>-0.67028747410145206</v>
      </c>
    </row>
    <row r="43" spans="1:28" x14ac:dyDescent="0.15">
      <c r="A43" s="385">
        <v>23</v>
      </c>
      <c r="B43" s="450">
        <v>0</v>
      </c>
      <c r="C43" s="451">
        <f t="shared" ca="1" si="9"/>
        <v>1</v>
      </c>
      <c r="D43" s="452">
        <f t="shared" ca="1" si="25"/>
        <v>1</v>
      </c>
      <c r="E43" s="457">
        <f t="shared" ca="1" si="26"/>
        <v>1</v>
      </c>
      <c r="F43" s="457">
        <f t="shared" ca="1" si="27"/>
        <v>0.5</v>
      </c>
      <c r="G43" s="457">
        <f t="shared" ca="1" si="28"/>
        <v>0.25</v>
      </c>
      <c r="H43" s="453">
        <v>0.01</v>
      </c>
      <c r="I43" s="454">
        <f t="shared" ca="1" si="29"/>
        <v>0.96099411157119652</v>
      </c>
      <c r="J43" s="452">
        <f t="shared" ca="1" si="30"/>
        <v>0.96099411157119652</v>
      </c>
      <c r="K43" s="452">
        <f t="shared" ca="1" si="31"/>
        <v>-3.9005888428803481E-2</v>
      </c>
      <c r="L43" s="452">
        <f t="shared" ca="1" si="32"/>
        <v>1.5214593321202653E-3</v>
      </c>
      <c r="M43" s="452">
        <f t="shared" ca="1" si="33"/>
        <v>3.9005888428803481E-2</v>
      </c>
      <c r="N43" s="452">
        <f t="shared" ca="1" si="34"/>
        <v>0.96099411157119652</v>
      </c>
      <c r="O43" s="452">
        <f t="shared" ca="1" si="35"/>
        <v>2.4087957162517389E-6</v>
      </c>
      <c r="P43" s="455" t="str">
        <f t="shared" ca="1" si="36"/>
        <v>P</v>
      </c>
      <c r="Q43" s="455" t="str">
        <f t="shared" ca="1" si="37"/>
        <v>OP</v>
      </c>
      <c r="R43" s="455" t="str">
        <f t="shared" ca="1" si="38"/>
        <v>TP</v>
      </c>
      <c r="S43" s="457">
        <f t="shared" ca="1" si="39"/>
        <v>-3.9005888428803481E-2</v>
      </c>
      <c r="T43" s="456">
        <f t="shared" ca="1" si="40"/>
        <v>3.9005888428803481E-2</v>
      </c>
      <c r="U43" s="456">
        <f t="shared" ca="1" si="41"/>
        <v>1.5214593321202653E-3</v>
      </c>
      <c r="V43" s="457">
        <f t="shared" ca="1" si="42"/>
        <v>7.8011776857606963E-2</v>
      </c>
      <c r="W43" s="458">
        <f t="shared" ca="1" si="43"/>
        <v>3.9005888428803481E-2</v>
      </c>
      <c r="X43" s="459" t="str">
        <f t="shared" ca="1" si="44"/>
        <v>≠</v>
      </c>
      <c r="Y43" s="458">
        <f t="shared" ca="1" si="45"/>
        <v>4.0589102429597644E-2</v>
      </c>
      <c r="Z43" s="456">
        <f t="shared" ca="1" si="46"/>
        <v>1.9890874836717896E-2</v>
      </c>
      <c r="AA43" s="457">
        <f t="shared" ca="1" si="47"/>
        <v>-5.7400503881115263E-2</v>
      </c>
      <c r="AB43" s="457">
        <f t="shared" ca="1" si="48"/>
        <v>0</v>
      </c>
    </row>
    <row r="44" spans="1:28" x14ac:dyDescent="0.15">
      <c r="A44" s="385">
        <v>24</v>
      </c>
      <c r="B44" s="450">
        <v>0</v>
      </c>
      <c r="C44" s="451">
        <f t="shared" ca="1" si="9"/>
        <v>1</v>
      </c>
      <c r="D44" s="452">
        <f t="shared" ca="1" si="25"/>
        <v>1</v>
      </c>
      <c r="E44" s="457">
        <f t="shared" ca="1" si="26"/>
        <v>1</v>
      </c>
      <c r="F44" s="457">
        <f t="shared" ca="1" si="27"/>
        <v>0.5</v>
      </c>
      <c r="G44" s="457">
        <f t="shared" ca="1" si="28"/>
        <v>0.25</v>
      </c>
      <c r="H44" s="453">
        <v>0.01</v>
      </c>
      <c r="I44" s="454">
        <f t="shared" ca="1" si="29"/>
        <v>0.90263970998970522</v>
      </c>
      <c r="J44" s="452">
        <f t="shared" ca="1" si="30"/>
        <v>0.90263970998970522</v>
      </c>
      <c r="K44" s="452">
        <f t="shared" ca="1" si="31"/>
        <v>-9.7360290010294781E-2</v>
      </c>
      <c r="L44" s="452">
        <f t="shared" ca="1" si="32"/>
        <v>9.4790260708887061E-3</v>
      </c>
      <c r="M44" s="452">
        <f t="shared" ca="1" si="33"/>
        <v>9.7360290010294781E-2</v>
      </c>
      <c r="N44" s="452">
        <f t="shared" ca="1" si="34"/>
        <v>0.90263970998970522</v>
      </c>
      <c r="O44" s="452">
        <f t="shared" ca="1" si="35"/>
        <v>9.9543521360934316E-5</v>
      </c>
      <c r="P44" s="455" t="str">
        <f t="shared" ca="1" si="36"/>
        <v>P</v>
      </c>
      <c r="Q44" s="455" t="str">
        <f t="shared" ca="1" si="37"/>
        <v>OP</v>
      </c>
      <c r="R44" s="455" t="str">
        <f t="shared" ca="1" si="38"/>
        <v>TP</v>
      </c>
      <c r="S44" s="457">
        <f t="shared" ca="1" si="39"/>
        <v>-9.7360290010294781E-2</v>
      </c>
      <c r="T44" s="456">
        <f t="shared" ca="1" si="40"/>
        <v>9.7360290010294781E-2</v>
      </c>
      <c r="U44" s="456">
        <f t="shared" ca="1" si="41"/>
        <v>9.4790260708887061E-3</v>
      </c>
      <c r="V44" s="457">
        <f t="shared" ca="1" si="42"/>
        <v>0.19472058002058956</v>
      </c>
      <c r="W44" s="458">
        <f t="shared" ca="1" si="43"/>
        <v>9.7360290010294781E-2</v>
      </c>
      <c r="X44" s="459" t="str">
        <f t="shared" ca="1" si="44"/>
        <v>≠</v>
      </c>
      <c r="Y44" s="458">
        <f t="shared" ca="1" si="45"/>
        <v>0.10786174032982129</v>
      </c>
      <c r="Z44" s="456">
        <f t="shared" ca="1" si="46"/>
        <v>5.117116472399369E-2</v>
      </c>
      <c r="AA44" s="457">
        <f t="shared" ca="1" si="47"/>
        <v>-0.14777784620065421</v>
      </c>
      <c r="AB44" s="457">
        <f t="shared" ca="1" si="48"/>
        <v>0</v>
      </c>
    </row>
    <row r="45" spans="1:28" x14ac:dyDescent="0.15">
      <c r="A45" s="385">
        <v>25</v>
      </c>
      <c r="B45" s="450">
        <v>0</v>
      </c>
      <c r="C45" s="451">
        <f t="shared" ca="1" si="9"/>
        <v>0</v>
      </c>
      <c r="D45" s="452">
        <f t="shared" ca="1" si="25"/>
        <v>0</v>
      </c>
      <c r="E45" s="457">
        <f t="shared" ca="1" si="26"/>
        <v>0</v>
      </c>
      <c r="F45" s="457">
        <f t="shared" ca="1" si="27"/>
        <v>0.5</v>
      </c>
      <c r="G45" s="457">
        <f t="shared" ca="1" si="28"/>
        <v>0.25</v>
      </c>
      <c r="H45" s="453">
        <v>0.01</v>
      </c>
      <c r="I45" s="454">
        <f t="shared" ca="1" si="29"/>
        <v>0.5568300812297986</v>
      </c>
      <c r="J45" s="452">
        <f t="shared" ca="1" si="30"/>
        <v>0.5568300812297986</v>
      </c>
      <c r="K45" s="452" t="e">
        <f t="shared" ca="1" si="31"/>
        <v>#DIV/0!</v>
      </c>
      <c r="L45" s="452" t="e">
        <f t="shared" ca="1" si="32"/>
        <v>#DIV/0!</v>
      </c>
      <c r="M45" s="452" t="e">
        <f t="shared" ca="1" si="33"/>
        <v>#DIV/0!</v>
      </c>
      <c r="N45" s="452">
        <f t="shared" ca="1" si="34"/>
        <v>0</v>
      </c>
      <c r="O45" s="452" t="e">
        <f t="shared" ca="1" si="35"/>
        <v>#DIV/0!</v>
      </c>
      <c r="P45" s="455" t="str">
        <f t="shared" ca="1" si="36"/>
        <v>N</v>
      </c>
      <c r="Q45" s="455" t="str">
        <f t="shared" ca="1" si="37"/>
        <v>OP</v>
      </c>
      <c r="R45" s="455" t="str">
        <f t="shared" ca="1" si="38"/>
        <v>FP</v>
      </c>
      <c r="S45" s="457">
        <f t="shared" ca="1" si="39"/>
        <v>0.5568300812297986</v>
      </c>
      <c r="T45" s="456">
        <f t="shared" ca="1" si="40"/>
        <v>0.5568300812297986</v>
      </c>
      <c r="U45" s="456">
        <f t="shared" ca="1" si="41"/>
        <v>0.31005973936238412</v>
      </c>
      <c r="V45" s="457">
        <f t="shared" ca="1" si="42"/>
        <v>1.1136601624595972</v>
      </c>
      <c r="W45" s="458" t="e">
        <f t="shared" ca="1" si="43"/>
        <v>#DIV/0!</v>
      </c>
      <c r="X45" s="459" t="e">
        <f t="shared" ca="1" si="44"/>
        <v>#DIV/0!</v>
      </c>
      <c r="Y45" s="458">
        <f t="shared" ca="1" si="45"/>
        <v>1</v>
      </c>
      <c r="Z45" s="456">
        <f t="shared" ca="1" si="46"/>
        <v>1</v>
      </c>
      <c r="AA45" s="457">
        <f t="shared" ca="1" si="47"/>
        <v>0</v>
      </c>
      <c r="AB45" s="457">
        <f t="shared" ca="1" si="48"/>
        <v>-0.84469094392198063</v>
      </c>
    </row>
    <row r="46" spans="1:28" x14ac:dyDescent="0.15">
      <c r="A46" s="385">
        <v>26</v>
      </c>
      <c r="B46" s="450">
        <v>0</v>
      </c>
      <c r="C46" s="451">
        <f t="shared" ca="1" si="9"/>
        <v>0</v>
      </c>
      <c r="D46" s="452">
        <f t="shared" ca="1" si="25"/>
        <v>0</v>
      </c>
      <c r="E46" s="457">
        <f t="shared" ca="1" si="26"/>
        <v>0</v>
      </c>
      <c r="F46" s="457">
        <f t="shared" ca="1" si="27"/>
        <v>0.5</v>
      </c>
      <c r="G46" s="457">
        <f t="shared" ca="1" si="28"/>
        <v>0.25</v>
      </c>
      <c r="H46" s="453">
        <v>0.01</v>
      </c>
      <c r="I46" s="454">
        <f t="shared" ca="1" si="29"/>
        <v>0.36706853566092512</v>
      </c>
      <c r="J46" s="452">
        <f t="shared" ca="1" si="30"/>
        <v>0.36706853566092512</v>
      </c>
      <c r="K46" s="452" t="e">
        <f t="shared" ca="1" si="31"/>
        <v>#DIV/0!</v>
      </c>
      <c r="L46" s="452" t="e">
        <f t="shared" ca="1" si="32"/>
        <v>#DIV/0!</v>
      </c>
      <c r="M46" s="452" t="e">
        <f t="shared" ca="1" si="33"/>
        <v>#DIV/0!</v>
      </c>
      <c r="N46" s="452">
        <f t="shared" ca="1" si="34"/>
        <v>0</v>
      </c>
      <c r="O46" s="452" t="e">
        <f t="shared" ca="1" si="35"/>
        <v>#DIV/0!</v>
      </c>
      <c r="P46" s="455" t="str">
        <f t="shared" ca="1" si="36"/>
        <v>N</v>
      </c>
      <c r="Q46" s="455" t="str">
        <f t="shared" ca="1" si="37"/>
        <v>ON</v>
      </c>
      <c r="R46" s="455" t="str">
        <f t="shared" ca="1" si="38"/>
        <v>TN</v>
      </c>
      <c r="S46" s="457">
        <f t="shared" ca="1" si="39"/>
        <v>0.36706853566092512</v>
      </c>
      <c r="T46" s="456">
        <f t="shared" ca="1" si="40"/>
        <v>0.36706853566092512</v>
      </c>
      <c r="U46" s="456">
        <f t="shared" ca="1" si="41"/>
        <v>0.13473930987225585</v>
      </c>
      <c r="V46" s="457">
        <f t="shared" ca="1" si="42"/>
        <v>0.73413707132185024</v>
      </c>
      <c r="W46" s="458" t="e">
        <f t="shared" ca="1" si="43"/>
        <v>#DIV/0!</v>
      </c>
      <c r="X46" s="459" t="e">
        <f t="shared" ca="1" si="44"/>
        <v>#DIV/0!</v>
      </c>
      <c r="Y46" s="458">
        <f t="shared" ca="1" si="45"/>
        <v>1</v>
      </c>
      <c r="Z46" s="456">
        <f t="shared" ca="1" si="46"/>
        <v>1</v>
      </c>
      <c r="AA46" s="457">
        <f t="shared" ca="1" si="47"/>
        <v>0</v>
      </c>
      <c r="AB46" s="457">
        <f t="shared" ca="1" si="48"/>
        <v>-1.4458786399198222</v>
      </c>
    </row>
    <row r="47" spans="1:28" x14ac:dyDescent="0.15">
      <c r="A47" s="385">
        <v>27</v>
      </c>
      <c r="B47" s="450">
        <v>0</v>
      </c>
      <c r="C47" s="451">
        <f t="shared" ca="1" si="9"/>
        <v>1</v>
      </c>
      <c r="D47" s="452">
        <f t="shared" ca="1" si="25"/>
        <v>1</v>
      </c>
      <c r="E47" s="457">
        <f t="shared" ca="1" si="26"/>
        <v>1</v>
      </c>
      <c r="F47" s="457">
        <f t="shared" ca="1" si="27"/>
        <v>0.5</v>
      </c>
      <c r="G47" s="457">
        <f t="shared" ca="1" si="28"/>
        <v>0.25</v>
      </c>
      <c r="H47" s="453">
        <v>0.01</v>
      </c>
      <c r="I47" s="454">
        <f t="shared" ca="1" si="29"/>
        <v>0.97637113301174216</v>
      </c>
      <c r="J47" s="452">
        <f t="shared" ca="1" si="30"/>
        <v>0.97637113301174216</v>
      </c>
      <c r="K47" s="452">
        <f t="shared" ca="1" si="31"/>
        <v>-2.3628866988257835E-2</v>
      </c>
      <c r="L47" s="452">
        <f t="shared" ca="1" si="32"/>
        <v>5.5832335514878094E-4</v>
      </c>
      <c r="M47" s="452">
        <f t="shared" ca="1" si="33"/>
        <v>2.3628866988257835E-2</v>
      </c>
      <c r="N47" s="452">
        <f t="shared" ca="1" si="34"/>
        <v>0.97637113301174216</v>
      </c>
      <c r="O47" s="452">
        <f t="shared" ca="1" si="35"/>
        <v>3.1926893203308465E-7</v>
      </c>
      <c r="P47" s="455" t="str">
        <f t="shared" ca="1" si="36"/>
        <v>P</v>
      </c>
      <c r="Q47" s="455" t="str">
        <f t="shared" ca="1" si="37"/>
        <v>OP</v>
      </c>
      <c r="R47" s="455" t="str">
        <f t="shared" ca="1" si="38"/>
        <v>TP</v>
      </c>
      <c r="S47" s="457">
        <f t="shared" ca="1" si="39"/>
        <v>-2.3628866988257835E-2</v>
      </c>
      <c r="T47" s="456">
        <f t="shared" ca="1" si="40"/>
        <v>2.3628866988257835E-2</v>
      </c>
      <c r="U47" s="456">
        <f t="shared" ca="1" si="41"/>
        <v>5.5832335514878094E-4</v>
      </c>
      <c r="V47" s="457">
        <f t="shared" ca="1" si="42"/>
        <v>4.725773397651567E-2</v>
      </c>
      <c r="W47" s="458">
        <f t="shared" ca="1" si="43"/>
        <v>2.3628866988257835E-2</v>
      </c>
      <c r="X47" s="459" t="str">
        <f t="shared" ca="1" si="44"/>
        <v>≠</v>
      </c>
      <c r="Y47" s="458">
        <f t="shared" ca="1" si="45"/>
        <v>2.4200702160633896E-2</v>
      </c>
      <c r="Z47" s="456">
        <f t="shared" ca="1" si="46"/>
        <v>1.1955683117193885E-2</v>
      </c>
      <c r="AA47" s="457">
        <f t="shared" ca="1" si="47"/>
        <v>-3.4498453267319512E-2</v>
      </c>
      <c r="AB47" s="457">
        <f t="shared" ca="1" si="48"/>
        <v>0</v>
      </c>
    </row>
    <row r="48" spans="1:28" x14ac:dyDescent="0.15">
      <c r="A48" s="385">
        <v>28</v>
      </c>
      <c r="B48" s="450">
        <v>0</v>
      </c>
      <c r="C48" s="451">
        <f t="shared" ca="1" si="9"/>
        <v>1</v>
      </c>
      <c r="D48" s="452">
        <f t="shared" ca="1" si="25"/>
        <v>1</v>
      </c>
      <c r="E48" s="457">
        <f t="shared" ca="1" si="26"/>
        <v>1</v>
      </c>
      <c r="F48" s="457">
        <f t="shared" ca="1" si="27"/>
        <v>0.5</v>
      </c>
      <c r="G48" s="457">
        <f t="shared" ca="1" si="28"/>
        <v>0.25</v>
      </c>
      <c r="H48" s="453">
        <v>0.01</v>
      </c>
      <c r="I48" s="454">
        <f t="shared" ca="1" si="29"/>
        <v>0.68161353744652331</v>
      </c>
      <c r="J48" s="452">
        <f t="shared" ca="1" si="30"/>
        <v>0.68161353744652331</v>
      </c>
      <c r="K48" s="452">
        <f t="shared" ca="1" si="31"/>
        <v>-0.31838646255347669</v>
      </c>
      <c r="L48" s="452">
        <f t="shared" ca="1" si="32"/>
        <v>0.10136993953731642</v>
      </c>
      <c r="M48" s="452">
        <f t="shared" ca="1" si="33"/>
        <v>0.31838646255347669</v>
      </c>
      <c r="N48" s="452">
        <f t="shared" ca="1" si="34"/>
        <v>0.68161353744652331</v>
      </c>
      <c r="O48" s="452">
        <f t="shared" ca="1" si="35"/>
        <v>1.5075793066397818E-2</v>
      </c>
      <c r="P48" s="455" t="str">
        <f t="shared" ca="1" si="36"/>
        <v>P</v>
      </c>
      <c r="Q48" s="455" t="str">
        <f t="shared" ca="1" si="37"/>
        <v>OP</v>
      </c>
      <c r="R48" s="455" t="str">
        <f t="shared" ca="1" si="38"/>
        <v>TP</v>
      </c>
      <c r="S48" s="457">
        <f t="shared" ca="1" si="39"/>
        <v>-0.31838646255347669</v>
      </c>
      <c r="T48" s="456">
        <f t="shared" ca="1" si="40"/>
        <v>0.31838646255347669</v>
      </c>
      <c r="U48" s="456">
        <f t="shared" ca="1" si="41"/>
        <v>0.10136993953731642</v>
      </c>
      <c r="V48" s="457">
        <f t="shared" ca="1" si="42"/>
        <v>0.63677292510695338</v>
      </c>
      <c r="W48" s="458">
        <f t="shared" ca="1" si="43"/>
        <v>0.31838646255347669</v>
      </c>
      <c r="X48" s="459" t="str">
        <f t="shared" ca="1" si="44"/>
        <v>≠</v>
      </c>
      <c r="Y48" s="458">
        <f t="shared" ca="1" si="45"/>
        <v>0.46710701161573692</v>
      </c>
      <c r="Z48" s="456">
        <f t="shared" ca="1" si="46"/>
        <v>0.18933390785907706</v>
      </c>
      <c r="AA48" s="457">
        <f t="shared" ca="1" si="47"/>
        <v>-0.55297410584206974</v>
      </c>
      <c r="AB48" s="457">
        <f t="shared" ca="1" si="48"/>
        <v>0</v>
      </c>
    </row>
    <row r="49" spans="1:28" x14ac:dyDescent="0.15">
      <c r="A49" s="385">
        <v>29</v>
      </c>
      <c r="B49" s="450">
        <v>0</v>
      </c>
      <c r="C49" s="451">
        <f t="shared" ca="1" si="9"/>
        <v>0</v>
      </c>
      <c r="D49" s="452">
        <f t="shared" ca="1" si="25"/>
        <v>0</v>
      </c>
      <c r="E49" s="457">
        <f t="shared" ca="1" si="26"/>
        <v>0</v>
      </c>
      <c r="F49" s="457">
        <f t="shared" ca="1" si="27"/>
        <v>0.5</v>
      </c>
      <c r="G49" s="457">
        <f t="shared" ca="1" si="28"/>
        <v>0.25</v>
      </c>
      <c r="H49" s="453">
        <v>0.01</v>
      </c>
      <c r="I49" s="454">
        <f t="shared" ca="1" si="29"/>
        <v>0.62565558642612662</v>
      </c>
      <c r="J49" s="452">
        <f t="shared" ca="1" si="30"/>
        <v>0.62565558642612662</v>
      </c>
      <c r="K49" s="452" t="e">
        <f t="shared" ca="1" si="31"/>
        <v>#DIV/0!</v>
      </c>
      <c r="L49" s="452" t="e">
        <f t="shared" ca="1" si="32"/>
        <v>#DIV/0!</v>
      </c>
      <c r="M49" s="452" t="e">
        <f t="shared" ca="1" si="33"/>
        <v>#DIV/0!</v>
      </c>
      <c r="N49" s="452">
        <f t="shared" ca="1" si="34"/>
        <v>0</v>
      </c>
      <c r="O49" s="452" t="e">
        <f t="shared" ca="1" si="35"/>
        <v>#DIV/0!</v>
      </c>
      <c r="P49" s="455" t="str">
        <f t="shared" ca="1" si="36"/>
        <v>N</v>
      </c>
      <c r="Q49" s="455" t="str">
        <f t="shared" ca="1" si="37"/>
        <v>OP</v>
      </c>
      <c r="R49" s="455" t="str">
        <f t="shared" ca="1" si="38"/>
        <v>FP</v>
      </c>
      <c r="S49" s="457">
        <f t="shared" ca="1" si="39"/>
        <v>0.62565558642612662</v>
      </c>
      <c r="T49" s="456">
        <f t="shared" ca="1" si="40"/>
        <v>0.62565558642612662</v>
      </c>
      <c r="U49" s="456">
        <f t="shared" ca="1" si="41"/>
        <v>0.3914449128262204</v>
      </c>
      <c r="V49" s="457">
        <f t="shared" ca="1" si="42"/>
        <v>1.2513111728522532</v>
      </c>
      <c r="W49" s="458" t="e">
        <f t="shared" ca="1" si="43"/>
        <v>#DIV/0!</v>
      </c>
      <c r="X49" s="459" t="e">
        <f t="shared" ca="1" si="44"/>
        <v>#DIV/0!</v>
      </c>
      <c r="Y49" s="458">
        <f t="shared" ca="1" si="45"/>
        <v>1</v>
      </c>
      <c r="Z49" s="456">
        <f t="shared" ca="1" si="46"/>
        <v>1</v>
      </c>
      <c r="AA49" s="457">
        <f t="shared" ca="1" si="47"/>
        <v>0</v>
      </c>
      <c r="AB49" s="457">
        <f t="shared" ca="1" si="48"/>
        <v>-0.67655940017883787</v>
      </c>
    </row>
    <row r="50" spans="1:28" x14ac:dyDescent="0.15">
      <c r="A50" s="385">
        <v>30</v>
      </c>
      <c r="B50" s="450">
        <v>0</v>
      </c>
      <c r="C50" s="451">
        <f t="shared" ca="1" si="9"/>
        <v>0</v>
      </c>
      <c r="D50" s="452">
        <f t="shared" ca="1" si="25"/>
        <v>0</v>
      </c>
      <c r="E50" s="457">
        <f t="shared" ca="1" si="26"/>
        <v>0</v>
      </c>
      <c r="F50" s="457">
        <f t="shared" ca="1" si="27"/>
        <v>0.5</v>
      </c>
      <c r="G50" s="457">
        <f t="shared" ca="1" si="28"/>
        <v>0.25</v>
      </c>
      <c r="H50" s="453">
        <v>0.01</v>
      </c>
      <c r="I50" s="454">
        <f t="shared" ca="1" si="29"/>
        <v>0.80094360145671772</v>
      </c>
      <c r="J50" s="452">
        <f t="shared" ca="1" si="30"/>
        <v>0.80094360145671772</v>
      </c>
      <c r="K50" s="452" t="e">
        <f t="shared" ca="1" si="31"/>
        <v>#DIV/0!</v>
      </c>
      <c r="L50" s="452" t="e">
        <f t="shared" ca="1" si="32"/>
        <v>#DIV/0!</v>
      </c>
      <c r="M50" s="452" t="e">
        <f t="shared" ca="1" si="33"/>
        <v>#DIV/0!</v>
      </c>
      <c r="N50" s="452">
        <f t="shared" ca="1" si="34"/>
        <v>0</v>
      </c>
      <c r="O50" s="452" t="e">
        <f t="shared" ca="1" si="35"/>
        <v>#DIV/0!</v>
      </c>
      <c r="P50" s="455" t="str">
        <f t="shared" ca="1" si="36"/>
        <v>N</v>
      </c>
      <c r="Q50" s="455" t="str">
        <f t="shared" ca="1" si="37"/>
        <v>OP</v>
      </c>
      <c r="R50" s="455" t="str">
        <f t="shared" ca="1" si="38"/>
        <v>FP</v>
      </c>
      <c r="S50" s="457">
        <f t="shared" ca="1" si="39"/>
        <v>0.80094360145671772</v>
      </c>
      <c r="T50" s="456">
        <f t="shared" ca="1" si="40"/>
        <v>0.80094360145671772</v>
      </c>
      <c r="U50" s="456">
        <f t="shared" ca="1" si="41"/>
        <v>0.64151065271445751</v>
      </c>
      <c r="V50" s="457">
        <f t="shared" ca="1" si="42"/>
        <v>1.6018872029134354</v>
      </c>
      <c r="W50" s="458" t="e">
        <f t="shared" ca="1" si="43"/>
        <v>#DIV/0!</v>
      </c>
      <c r="X50" s="459" t="e">
        <f t="shared" ca="1" si="44"/>
        <v>#DIV/0!</v>
      </c>
      <c r="Y50" s="458">
        <f t="shared" ca="1" si="45"/>
        <v>1</v>
      </c>
      <c r="Z50" s="456">
        <f t="shared" ca="1" si="46"/>
        <v>1</v>
      </c>
      <c r="AA50" s="457">
        <f t="shared" ca="1" si="47"/>
        <v>0</v>
      </c>
      <c r="AB50" s="457">
        <f t="shared" ca="1" si="48"/>
        <v>-0.32022743622757716</v>
      </c>
    </row>
    <row r="51" spans="1:28" x14ac:dyDescent="0.15">
      <c r="A51" s="385">
        <v>31</v>
      </c>
      <c r="B51" s="450">
        <v>0</v>
      </c>
      <c r="C51" s="451">
        <f t="shared" ca="1" si="9"/>
        <v>1</v>
      </c>
      <c r="D51" s="452">
        <f t="shared" ca="1" si="25"/>
        <v>1</v>
      </c>
      <c r="E51" s="457">
        <f t="shared" ca="1" si="26"/>
        <v>1</v>
      </c>
      <c r="F51" s="457">
        <f t="shared" ca="1" si="27"/>
        <v>0.5</v>
      </c>
      <c r="G51" s="457">
        <f t="shared" ca="1" si="28"/>
        <v>0.25</v>
      </c>
      <c r="H51" s="453">
        <v>0.01</v>
      </c>
      <c r="I51" s="454">
        <f t="shared" ca="1" si="29"/>
        <v>0.40563077444220291</v>
      </c>
      <c r="J51" s="452">
        <f t="shared" ca="1" si="30"/>
        <v>0.40563077444220291</v>
      </c>
      <c r="K51" s="452">
        <f t="shared" ca="1" si="31"/>
        <v>-0.59436922555779703</v>
      </c>
      <c r="L51" s="452">
        <f t="shared" ca="1" si="32"/>
        <v>0.3532747762901754</v>
      </c>
      <c r="M51" s="452">
        <f t="shared" ca="1" si="33"/>
        <v>0.59436922555779703</v>
      </c>
      <c r="N51" s="452">
        <f t="shared" ca="1" si="34"/>
        <v>0.40563077444220291</v>
      </c>
      <c r="O51" s="452">
        <f t="shared" ca="1" si="35"/>
        <v>0.30767652610799695</v>
      </c>
      <c r="P51" s="455" t="str">
        <f t="shared" ca="1" si="36"/>
        <v>P</v>
      </c>
      <c r="Q51" s="455" t="str">
        <f t="shared" ca="1" si="37"/>
        <v>ON</v>
      </c>
      <c r="R51" s="455" t="str">
        <f t="shared" ca="1" si="38"/>
        <v>FN</v>
      </c>
      <c r="S51" s="457">
        <f t="shared" ca="1" si="39"/>
        <v>-0.59436922555779703</v>
      </c>
      <c r="T51" s="456">
        <f t="shared" ca="1" si="40"/>
        <v>0.59436922555779703</v>
      </c>
      <c r="U51" s="456">
        <f t="shared" ca="1" si="41"/>
        <v>0.3532747762901754</v>
      </c>
      <c r="V51" s="457">
        <f t="shared" ca="1" si="42"/>
        <v>1.1887384511155941</v>
      </c>
      <c r="W51" s="458">
        <f t="shared" ca="1" si="43"/>
        <v>0.59436922555779703</v>
      </c>
      <c r="X51" s="459" t="str">
        <f t="shared" ca="1" si="44"/>
        <v>≠</v>
      </c>
      <c r="Y51" s="458">
        <f t="shared" ca="1" si="45"/>
        <v>1.4652961831486651</v>
      </c>
      <c r="Z51" s="456">
        <f t="shared" ca="1" si="46"/>
        <v>0.42284875684630679</v>
      </c>
      <c r="AA51" s="457">
        <f t="shared" ca="1" si="47"/>
        <v>-1.3017609838407138</v>
      </c>
      <c r="AB51" s="457">
        <f t="shared" ca="1" si="48"/>
        <v>0</v>
      </c>
    </row>
    <row r="52" spans="1:28" x14ac:dyDescent="0.15">
      <c r="A52" s="385">
        <v>32</v>
      </c>
      <c r="B52" s="450">
        <v>0</v>
      </c>
      <c r="C52" s="451">
        <f t="shared" ca="1" si="9"/>
        <v>0</v>
      </c>
      <c r="D52" s="452">
        <f t="shared" ca="1" si="25"/>
        <v>0</v>
      </c>
      <c r="E52" s="457">
        <f t="shared" ca="1" si="26"/>
        <v>0</v>
      </c>
      <c r="F52" s="457">
        <f t="shared" ca="1" si="27"/>
        <v>0.5</v>
      </c>
      <c r="G52" s="457">
        <f t="shared" ca="1" si="28"/>
        <v>0.25</v>
      </c>
      <c r="H52" s="453">
        <v>0.01</v>
      </c>
      <c r="I52" s="454">
        <f t="shared" ca="1" si="29"/>
        <v>0.25271091719257344</v>
      </c>
      <c r="J52" s="452">
        <f t="shared" ca="1" si="30"/>
        <v>0.25271091719257344</v>
      </c>
      <c r="K52" s="452" t="e">
        <f t="shared" ca="1" si="31"/>
        <v>#DIV/0!</v>
      </c>
      <c r="L52" s="452" t="e">
        <f t="shared" ca="1" si="32"/>
        <v>#DIV/0!</v>
      </c>
      <c r="M52" s="452" t="e">
        <f t="shared" ca="1" si="33"/>
        <v>#DIV/0!</v>
      </c>
      <c r="N52" s="452">
        <f t="shared" ca="1" si="34"/>
        <v>0</v>
      </c>
      <c r="O52" s="452" t="e">
        <f t="shared" ca="1" si="35"/>
        <v>#DIV/0!</v>
      </c>
      <c r="P52" s="455" t="str">
        <f t="shared" ca="1" si="36"/>
        <v>N</v>
      </c>
      <c r="Q52" s="455" t="str">
        <f t="shared" ca="1" si="37"/>
        <v>ON</v>
      </c>
      <c r="R52" s="455" t="str">
        <f t="shared" ca="1" si="38"/>
        <v>TN</v>
      </c>
      <c r="S52" s="457">
        <f t="shared" ca="1" si="39"/>
        <v>0.25271091719257344</v>
      </c>
      <c r="T52" s="456">
        <f t="shared" ca="1" si="40"/>
        <v>0.25271091719257344</v>
      </c>
      <c r="U52" s="456">
        <f t="shared" ca="1" si="41"/>
        <v>6.3862807668311705E-2</v>
      </c>
      <c r="V52" s="457">
        <f t="shared" ca="1" si="42"/>
        <v>0.50542183438514687</v>
      </c>
      <c r="W52" s="458" t="e">
        <f t="shared" ca="1" si="43"/>
        <v>#DIV/0!</v>
      </c>
      <c r="X52" s="459" t="e">
        <f t="shared" ca="1" si="44"/>
        <v>#DIV/0!</v>
      </c>
      <c r="Y52" s="458">
        <f t="shared" ca="1" si="45"/>
        <v>1</v>
      </c>
      <c r="Z52" s="456">
        <f t="shared" ca="1" si="46"/>
        <v>1</v>
      </c>
      <c r="AA52" s="457">
        <f t="shared" ca="1" si="47"/>
        <v>0</v>
      </c>
      <c r="AB52" s="457">
        <f t="shared" ca="1" si="48"/>
        <v>-1.984440104370504</v>
      </c>
    </row>
    <row r="53" spans="1:28" x14ac:dyDescent="0.15">
      <c r="A53" s="385">
        <v>33</v>
      </c>
      <c r="B53" s="450">
        <v>0</v>
      </c>
      <c r="C53" s="451">
        <f t="shared" ca="1" si="9"/>
        <v>0</v>
      </c>
      <c r="D53" s="452">
        <f t="shared" ca="1" si="25"/>
        <v>0</v>
      </c>
      <c r="E53" s="457">
        <f t="shared" ca="1" si="26"/>
        <v>0</v>
      </c>
      <c r="F53" s="457">
        <f t="shared" ca="1" si="27"/>
        <v>0.5</v>
      </c>
      <c r="G53" s="457">
        <f t="shared" ca="1" si="28"/>
        <v>0.25</v>
      </c>
      <c r="H53" s="453">
        <v>0.01</v>
      </c>
      <c r="I53" s="454">
        <f t="shared" ca="1" si="29"/>
        <v>0.10226942660710486</v>
      </c>
      <c r="J53" s="452">
        <f t="shared" ca="1" si="30"/>
        <v>0.10226942660710486</v>
      </c>
      <c r="K53" s="452" t="e">
        <f t="shared" ca="1" si="31"/>
        <v>#DIV/0!</v>
      </c>
      <c r="L53" s="452" t="e">
        <f t="shared" ca="1" si="32"/>
        <v>#DIV/0!</v>
      </c>
      <c r="M53" s="452" t="e">
        <f t="shared" ca="1" si="33"/>
        <v>#DIV/0!</v>
      </c>
      <c r="N53" s="452">
        <f t="shared" ca="1" si="34"/>
        <v>0</v>
      </c>
      <c r="O53" s="452" t="e">
        <f t="shared" ca="1" si="35"/>
        <v>#DIV/0!</v>
      </c>
      <c r="P53" s="455" t="str">
        <f t="shared" ca="1" si="36"/>
        <v>N</v>
      </c>
      <c r="Q53" s="455" t="str">
        <f t="shared" ca="1" si="37"/>
        <v>ON</v>
      </c>
      <c r="R53" s="455" t="str">
        <f t="shared" ca="1" si="38"/>
        <v>TN</v>
      </c>
      <c r="S53" s="457">
        <f t="shared" ca="1" si="39"/>
        <v>0.10226942660710486</v>
      </c>
      <c r="T53" s="456">
        <f t="shared" ca="1" si="40"/>
        <v>0.10226942660710486</v>
      </c>
      <c r="U53" s="456">
        <f t="shared" ca="1" si="41"/>
        <v>1.0459035618546008E-2</v>
      </c>
      <c r="V53" s="457">
        <f t="shared" ca="1" si="42"/>
        <v>0.20453885321420973</v>
      </c>
      <c r="W53" s="458" t="e">
        <f t="shared" ca="1" si="43"/>
        <v>#DIV/0!</v>
      </c>
      <c r="X53" s="459" t="e">
        <f t="shared" ca="1" si="44"/>
        <v>#DIV/0!</v>
      </c>
      <c r="Y53" s="458">
        <f t="shared" ca="1" si="45"/>
        <v>1</v>
      </c>
      <c r="Z53" s="456">
        <f t="shared" ca="1" si="46"/>
        <v>1</v>
      </c>
      <c r="AA53" s="457">
        <f t="shared" ca="1" si="47"/>
        <v>0</v>
      </c>
      <c r="AB53" s="457">
        <f t="shared" ca="1" si="48"/>
        <v>-3.2895531782958161</v>
      </c>
    </row>
    <row r="54" spans="1:28" x14ac:dyDescent="0.15">
      <c r="A54" s="385">
        <v>34</v>
      </c>
      <c r="B54" s="450">
        <v>0</v>
      </c>
      <c r="C54" s="451">
        <f t="shared" ca="1" si="9"/>
        <v>1</v>
      </c>
      <c r="D54" s="452">
        <f t="shared" ca="1" si="25"/>
        <v>1</v>
      </c>
      <c r="E54" s="457">
        <f t="shared" ca="1" si="26"/>
        <v>1</v>
      </c>
      <c r="F54" s="457">
        <f t="shared" ca="1" si="27"/>
        <v>0.5</v>
      </c>
      <c r="G54" s="457">
        <f t="shared" ca="1" si="28"/>
        <v>0.25</v>
      </c>
      <c r="H54" s="453">
        <v>0.01</v>
      </c>
      <c r="I54" s="454">
        <f t="shared" ca="1" si="29"/>
        <v>0.49067141136723408</v>
      </c>
      <c r="J54" s="452">
        <f t="shared" ca="1" si="30"/>
        <v>0.49067141136723408</v>
      </c>
      <c r="K54" s="452">
        <f t="shared" ca="1" si="31"/>
        <v>-0.50932858863276587</v>
      </c>
      <c r="L54" s="452">
        <f t="shared" ca="1" si="32"/>
        <v>0.25941561119864526</v>
      </c>
      <c r="M54" s="452">
        <f t="shared" ca="1" si="33"/>
        <v>0.50932858863276587</v>
      </c>
      <c r="N54" s="452">
        <f t="shared" ca="1" si="34"/>
        <v>0.49067141136723408</v>
      </c>
      <c r="O54" s="452">
        <f t="shared" ca="1" si="35"/>
        <v>0.13715178380995968</v>
      </c>
      <c r="P54" s="455" t="str">
        <f t="shared" ca="1" si="36"/>
        <v>P</v>
      </c>
      <c r="Q54" s="455" t="str">
        <f t="shared" ca="1" si="37"/>
        <v>ON</v>
      </c>
      <c r="R54" s="455" t="str">
        <f t="shared" ca="1" si="38"/>
        <v>FN</v>
      </c>
      <c r="S54" s="457">
        <f t="shared" ca="1" si="39"/>
        <v>-0.50932858863276587</v>
      </c>
      <c r="T54" s="456">
        <f t="shared" ca="1" si="40"/>
        <v>0.50932858863276587</v>
      </c>
      <c r="U54" s="456">
        <f t="shared" ca="1" si="41"/>
        <v>0.25941561119864526</v>
      </c>
      <c r="V54" s="457">
        <f t="shared" ca="1" si="42"/>
        <v>1.0186571772655317</v>
      </c>
      <c r="W54" s="458">
        <f t="shared" ca="1" si="43"/>
        <v>0.50932858863276587</v>
      </c>
      <c r="X54" s="459" t="str">
        <f t="shared" ca="1" si="44"/>
        <v>≠</v>
      </c>
      <c r="Y54" s="458">
        <f t="shared" ca="1" si="45"/>
        <v>1.0380237707624831</v>
      </c>
      <c r="Z54" s="456">
        <f t="shared" ca="1" si="46"/>
        <v>0.34167730376314992</v>
      </c>
      <c r="AA54" s="457">
        <f t="shared" ca="1" si="47"/>
        <v>-1.0271708786681801</v>
      </c>
      <c r="AB54" s="457">
        <f t="shared" ca="1" si="48"/>
        <v>0</v>
      </c>
    </row>
    <row r="55" spans="1:28" x14ac:dyDescent="0.15">
      <c r="A55" s="385">
        <v>35</v>
      </c>
      <c r="B55" s="450">
        <v>0</v>
      </c>
      <c r="C55" s="451">
        <f t="shared" ca="1" si="9"/>
        <v>0</v>
      </c>
      <c r="D55" s="452">
        <f t="shared" ca="1" si="25"/>
        <v>0</v>
      </c>
      <c r="E55" s="457">
        <f t="shared" ca="1" si="26"/>
        <v>0</v>
      </c>
      <c r="F55" s="457">
        <f t="shared" ca="1" si="27"/>
        <v>0.5</v>
      </c>
      <c r="G55" s="457">
        <f t="shared" ca="1" si="28"/>
        <v>0.25</v>
      </c>
      <c r="H55" s="453">
        <v>0.01</v>
      </c>
      <c r="I55" s="454">
        <f t="shared" ca="1" si="29"/>
        <v>0.80573739465162841</v>
      </c>
      <c r="J55" s="452">
        <f t="shared" ca="1" si="30"/>
        <v>0.80573739465162841</v>
      </c>
      <c r="K55" s="452" t="e">
        <f t="shared" ca="1" si="31"/>
        <v>#DIV/0!</v>
      </c>
      <c r="L55" s="452" t="e">
        <f t="shared" ca="1" si="32"/>
        <v>#DIV/0!</v>
      </c>
      <c r="M55" s="452" t="e">
        <f t="shared" ca="1" si="33"/>
        <v>#DIV/0!</v>
      </c>
      <c r="N55" s="452">
        <f t="shared" ca="1" si="34"/>
        <v>0</v>
      </c>
      <c r="O55" s="452" t="e">
        <f t="shared" ca="1" si="35"/>
        <v>#DIV/0!</v>
      </c>
      <c r="P55" s="455" t="str">
        <f t="shared" ca="1" si="36"/>
        <v>N</v>
      </c>
      <c r="Q55" s="455" t="str">
        <f t="shared" ca="1" si="37"/>
        <v>OP</v>
      </c>
      <c r="R55" s="455" t="str">
        <f t="shared" ca="1" si="38"/>
        <v>FP</v>
      </c>
      <c r="S55" s="457">
        <f t="shared" ca="1" si="39"/>
        <v>0.80573739465162841</v>
      </c>
      <c r="T55" s="456">
        <f t="shared" ca="1" si="40"/>
        <v>0.80573739465162841</v>
      </c>
      <c r="U55" s="456">
        <f t="shared" ca="1" si="41"/>
        <v>0.64921274913999405</v>
      </c>
      <c r="V55" s="457">
        <f t="shared" ca="1" si="42"/>
        <v>1.6114747893032568</v>
      </c>
      <c r="W55" s="458" t="e">
        <f t="shared" ca="1" si="43"/>
        <v>#DIV/0!</v>
      </c>
      <c r="X55" s="459" t="e">
        <f t="shared" ca="1" si="44"/>
        <v>#DIV/0!</v>
      </c>
      <c r="Y55" s="458">
        <f t="shared" ca="1" si="45"/>
        <v>1</v>
      </c>
      <c r="Z55" s="456">
        <f t="shared" ca="1" si="46"/>
        <v>1</v>
      </c>
      <c r="AA55" s="457">
        <f t="shared" ca="1" si="47"/>
        <v>0</v>
      </c>
      <c r="AB55" s="457">
        <f t="shared" ca="1" si="48"/>
        <v>-0.31161838165012046</v>
      </c>
    </row>
    <row r="56" spans="1:28" x14ac:dyDescent="0.15">
      <c r="A56" s="385">
        <v>36</v>
      </c>
      <c r="B56" s="450">
        <v>0</v>
      </c>
      <c r="C56" s="451">
        <f t="shared" ca="1" si="9"/>
        <v>0</v>
      </c>
      <c r="D56" s="452">
        <f t="shared" ca="1" si="25"/>
        <v>0</v>
      </c>
      <c r="E56" s="457">
        <f t="shared" ca="1" si="26"/>
        <v>0</v>
      </c>
      <c r="F56" s="457">
        <f t="shared" ca="1" si="27"/>
        <v>0.5</v>
      </c>
      <c r="G56" s="457">
        <f t="shared" ca="1" si="28"/>
        <v>0.25</v>
      </c>
      <c r="H56" s="453">
        <v>0.01</v>
      </c>
      <c r="I56" s="454">
        <f t="shared" ca="1" si="29"/>
        <v>0.74567044364278612</v>
      </c>
      <c r="J56" s="452">
        <f t="shared" ca="1" si="30"/>
        <v>0.74567044364278612</v>
      </c>
      <c r="K56" s="452" t="e">
        <f t="shared" ca="1" si="31"/>
        <v>#DIV/0!</v>
      </c>
      <c r="L56" s="452" t="e">
        <f t="shared" ca="1" si="32"/>
        <v>#DIV/0!</v>
      </c>
      <c r="M56" s="452" t="e">
        <f t="shared" ca="1" si="33"/>
        <v>#DIV/0!</v>
      </c>
      <c r="N56" s="452">
        <f t="shared" ca="1" si="34"/>
        <v>0</v>
      </c>
      <c r="O56" s="452" t="e">
        <f t="shared" ca="1" si="35"/>
        <v>#DIV/0!</v>
      </c>
      <c r="P56" s="455" t="str">
        <f t="shared" ca="1" si="36"/>
        <v>N</v>
      </c>
      <c r="Q56" s="455" t="str">
        <f t="shared" ca="1" si="37"/>
        <v>OP</v>
      </c>
      <c r="R56" s="455" t="str">
        <f t="shared" ca="1" si="38"/>
        <v>FP</v>
      </c>
      <c r="S56" s="457">
        <f t="shared" ca="1" si="39"/>
        <v>0.74567044364278612</v>
      </c>
      <c r="T56" s="456">
        <f t="shared" ca="1" si="40"/>
        <v>0.74567044364278612</v>
      </c>
      <c r="U56" s="456">
        <f t="shared" ca="1" si="41"/>
        <v>0.55602441052242946</v>
      </c>
      <c r="V56" s="457">
        <f t="shared" ca="1" si="42"/>
        <v>1.4913408872855722</v>
      </c>
      <c r="W56" s="458" t="e">
        <f t="shared" ca="1" si="43"/>
        <v>#DIV/0!</v>
      </c>
      <c r="X56" s="459" t="e">
        <f t="shared" ca="1" si="44"/>
        <v>#DIV/0!</v>
      </c>
      <c r="Y56" s="458">
        <f t="shared" ca="1" si="45"/>
        <v>1</v>
      </c>
      <c r="Z56" s="456">
        <f t="shared" ca="1" si="46"/>
        <v>1</v>
      </c>
      <c r="AA56" s="457">
        <f t="shared" ca="1" si="47"/>
        <v>0</v>
      </c>
      <c r="AB56" s="457">
        <f t="shared" ca="1" si="48"/>
        <v>-0.4233899367547232</v>
      </c>
    </row>
    <row r="57" spans="1:28" x14ac:dyDescent="0.15">
      <c r="A57" s="385">
        <v>37</v>
      </c>
      <c r="B57" s="450">
        <v>0</v>
      </c>
      <c r="C57" s="451">
        <f t="shared" ca="1" si="9"/>
        <v>0</v>
      </c>
      <c r="D57" s="452">
        <f t="shared" ca="1" si="25"/>
        <v>0</v>
      </c>
      <c r="E57" s="457">
        <f t="shared" ca="1" si="26"/>
        <v>0</v>
      </c>
      <c r="F57" s="457">
        <f t="shared" ca="1" si="27"/>
        <v>0.5</v>
      </c>
      <c r="G57" s="457">
        <f t="shared" ca="1" si="28"/>
        <v>0.25</v>
      </c>
      <c r="H57" s="453">
        <v>0.01</v>
      </c>
      <c r="I57" s="454">
        <f t="shared" ca="1" si="29"/>
        <v>0.76925410610187783</v>
      </c>
      <c r="J57" s="452">
        <f t="shared" ca="1" si="30"/>
        <v>0.76925410610187783</v>
      </c>
      <c r="K57" s="452" t="e">
        <f t="shared" ca="1" si="31"/>
        <v>#DIV/0!</v>
      </c>
      <c r="L57" s="452" t="e">
        <f t="shared" ca="1" si="32"/>
        <v>#DIV/0!</v>
      </c>
      <c r="M57" s="452" t="e">
        <f t="shared" ca="1" si="33"/>
        <v>#DIV/0!</v>
      </c>
      <c r="N57" s="452">
        <f t="shared" ca="1" si="34"/>
        <v>0</v>
      </c>
      <c r="O57" s="452" t="e">
        <f t="shared" ca="1" si="35"/>
        <v>#DIV/0!</v>
      </c>
      <c r="P57" s="455" t="str">
        <f t="shared" ca="1" si="36"/>
        <v>N</v>
      </c>
      <c r="Q57" s="455" t="str">
        <f t="shared" ca="1" si="37"/>
        <v>OP</v>
      </c>
      <c r="R57" s="455" t="str">
        <f t="shared" ca="1" si="38"/>
        <v>FP</v>
      </c>
      <c r="S57" s="457">
        <f t="shared" ca="1" si="39"/>
        <v>0.76925410610187783</v>
      </c>
      <c r="T57" s="456">
        <f t="shared" ca="1" si="40"/>
        <v>0.76925410610187783</v>
      </c>
      <c r="U57" s="456">
        <f t="shared" ca="1" si="41"/>
        <v>0.59175187975459909</v>
      </c>
      <c r="V57" s="457">
        <f t="shared" ca="1" si="42"/>
        <v>1.5385082122037557</v>
      </c>
      <c r="W57" s="458" t="e">
        <f t="shared" ca="1" si="43"/>
        <v>#DIV/0!</v>
      </c>
      <c r="X57" s="459" t="e">
        <f t="shared" ca="1" si="44"/>
        <v>#DIV/0!</v>
      </c>
      <c r="Y57" s="458">
        <f t="shared" ca="1" si="45"/>
        <v>1</v>
      </c>
      <c r="Z57" s="456">
        <f t="shared" ca="1" si="46"/>
        <v>1</v>
      </c>
      <c r="AA57" s="457">
        <f t="shared" ca="1" si="47"/>
        <v>0</v>
      </c>
      <c r="AB57" s="457">
        <f t="shared" ca="1" si="48"/>
        <v>-0.37846785553295381</v>
      </c>
    </row>
    <row r="58" spans="1:28" x14ac:dyDescent="0.15">
      <c r="A58" s="385">
        <v>38</v>
      </c>
      <c r="B58" s="450">
        <v>0</v>
      </c>
      <c r="C58" s="451">
        <f t="shared" ca="1" si="9"/>
        <v>0</v>
      </c>
      <c r="D58" s="452">
        <f t="shared" ca="1" si="25"/>
        <v>0</v>
      </c>
      <c r="E58" s="457">
        <f t="shared" ca="1" si="26"/>
        <v>0</v>
      </c>
      <c r="F58" s="457">
        <f t="shared" ca="1" si="27"/>
        <v>0.5</v>
      </c>
      <c r="G58" s="457">
        <f t="shared" ca="1" si="28"/>
        <v>0.25</v>
      </c>
      <c r="H58" s="453">
        <v>0.01</v>
      </c>
      <c r="I58" s="454">
        <f t="shared" ca="1" si="29"/>
        <v>0.96785867399759362</v>
      </c>
      <c r="J58" s="452">
        <f t="shared" ca="1" si="30"/>
        <v>0.96785867399759362</v>
      </c>
      <c r="K58" s="452" t="e">
        <f t="shared" ca="1" si="31"/>
        <v>#DIV/0!</v>
      </c>
      <c r="L58" s="452" t="e">
        <f t="shared" ca="1" si="32"/>
        <v>#DIV/0!</v>
      </c>
      <c r="M58" s="452" t="e">
        <f t="shared" ca="1" si="33"/>
        <v>#DIV/0!</v>
      </c>
      <c r="N58" s="452">
        <f t="shared" ca="1" si="34"/>
        <v>0</v>
      </c>
      <c r="O58" s="452" t="e">
        <f t="shared" ca="1" si="35"/>
        <v>#DIV/0!</v>
      </c>
      <c r="P58" s="455" t="str">
        <f t="shared" ca="1" si="36"/>
        <v>N</v>
      </c>
      <c r="Q58" s="455" t="str">
        <f t="shared" ca="1" si="37"/>
        <v>OP</v>
      </c>
      <c r="R58" s="455" t="str">
        <f t="shared" ca="1" si="38"/>
        <v>FP</v>
      </c>
      <c r="S58" s="457">
        <f t="shared" ca="1" si="39"/>
        <v>0.96785867399759362</v>
      </c>
      <c r="T58" s="456">
        <f t="shared" ca="1" si="40"/>
        <v>0.96785867399759362</v>
      </c>
      <c r="U58" s="456">
        <f t="shared" ca="1" si="41"/>
        <v>0.93675041283238025</v>
      </c>
      <c r="V58" s="457">
        <f t="shared" ca="1" si="42"/>
        <v>1.9357173479951872</v>
      </c>
      <c r="W58" s="458" t="e">
        <f t="shared" ca="1" si="43"/>
        <v>#DIV/0!</v>
      </c>
      <c r="X58" s="459" t="e">
        <f t="shared" ca="1" si="44"/>
        <v>#DIV/0!</v>
      </c>
      <c r="Y58" s="458">
        <f t="shared" ca="1" si="45"/>
        <v>1</v>
      </c>
      <c r="Z58" s="456">
        <f t="shared" ca="1" si="46"/>
        <v>1</v>
      </c>
      <c r="AA58" s="457">
        <f t="shared" ca="1" si="47"/>
        <v>0</v>
      </c>
      <c r="AB58" s="457">
        <f t="shared" ca="1" si="48"/>
        <v>-4.7131693263579688E-2</v>
      </c>
    </row>
    <row r="59" spans="1:28" x14ac:dyDescent="0.15">
      <c r="A59" s="385">
        <v>39</v>
      </c>
      <c r="B59" s="450">
        <v>0</v>
      </c>
      <c r="C59" s="451">
        <f t="shared" ca="1" si="9"/>
        <v>0</v>
      </c>
      <c r="D59" s="452">
        <f t="shared" ca="1" si="25"/>
        <v>0</v>
      </c>
      <c r="E59" s="457">
        <f t="shared" ca="1" si="26"/>
        <v>0</v>
      </c>
      <c r="F59" s="457">
        <f t="shared" ca="1" si="27"/>
        <v>0.5</v>
      </c>
      <c r="G59" s="457">
        <f t="shared" ca="1" si="28"/>
        <v>0.25</v>
      </c>
      <c r="H59" s="453">
        <v>0.01</v>
      </c>
      <c r="I59" s="454">
        <f t="shared" ca="1" si="29"/>
        <v>0.43347115663864205</v>
      </c>
      <c r="J59" s="452">
        <f t="shared" ca="1" si="30"/>
        <v>0.43347115663864205</v>
      </c>
      <c r="K59" s="452" t="e">
        <f t="shared" ca="1" si="31"/>
        <v>#DIV/0!</v>
      </c>
      <c r="L59" s="452" t="e">
        <f t="shared" ca="1" si="32"/>
        <v>#DIV/0!</v>
      </c>
      <c r="M59" s="452" t="e">
        <f t="shared" ca="1" si="33"/>
        <v>#DIV/0!</v>
      </c>
      <c r="N59" s="452">
        <f t="shared" ca="1" si="34"/>
        <v>0</v>
      </c>
      <c r="O59" s="452" t="e">
        <f t="shared" ca="1" si="35"/>
        <v>#DIV/0!</v>
      </c>
      <c r="P59" s="455" t="str">
        <f t="shared" ca="1" si="36"/>
        <v>N</v>
      </c>
      <c r="Q59" s="455" t="str">
        <f t="shared" ca="1" si="37"/>
        <v>ON</v>
      </c>
      <c r="R59" s="455" t="str">
        <f t="shared" ca="1" si="38"/>
        <v>TN</v>
      </c>
      <c r="S59" s="457">
        <f t="shared" ca="1" si="39"/>
        <v>0.43347115663864205</v>
      </c>
      <c r="T59" s="456">
        <f t="shared" ca="1" si="40"/>
        <v>0.43347115663864205</v>
      </c>
      <c r="U59" s="456">
        <f t="shared" ca="1" si="41"/>
        <v>0.18789724363764215</v>
      </c>
      <c r="V59" s="457">
        <f t="shared" ca="1" si="42"/>
        <v>0.8669423132772841</v>
      </c>
      <c r="W59" s="458" t="e">
        <f t="shared" ca="1" si="43"/>
        <v>#DIV/0!</v>
      </c>
      <c r="X59" s="459" t="e">
        <f t="shared" ca="1" si="44"/>
        <v>#DIV/0!</v>
      </c>
      <c r="Y59" s="458">
        <f t="shared" ca="1" si="45"/>
        <v>1</v>
      </c>
      <c r="Z59" s="456">
        <f t="shared" ca="1" si="46"/>
        <v>1</v>
      </c>
      <c r="AA59" s="457">
        <f t="shared" ca="1" si="47"/>
        <v>0</v>
      </c>
      <c r="AB59" s="457">
        <f t="shared" ca="1" si="48"/>
        <v>-1.2059920958089005</v>
      </c>
    </row>
    <row r="60" spans="1:28" x14ac:dyDescent="0.15">
      <c r="A60" s="385">
        <v>40</v>
      </c>
      <c r="B60" s="450">
        <v>0</v>
      </c>
      <c r="C60" s="451">
        <f t="shared" ca="1" si="9"/>
        <v>1</v>
      </c>
      <c r="D60" s="452">
        <f t="shared" ca="1" si="25"/>
        <v>1</v>
      </c>
      <c r="E60" s="457">
        <f t="shared" ca="1" si="26"/>
        <v>1</v>
      </c>
      <c r="F60" s="457">
        <f t="shared" ca="1" si="27"/>
        <v>0.5</v>
      </c>
      <c r="G60" s="457">
        <f t="shared" ca="1" si="28"/>
        <v>0.25</v>
      </c>
      <c r="H60" s="453">
        <v>0.01</v>
      </c>
      <c r="I60" s="454">
        <f t="shared" ca="1" si="29"/>
        <v>0.54483724338861272</v>
      </c>
      <c r="J60" s="452">
        <f t="shared" ca="1" si="30"/>
        <v>0.54483724338861272</v>
      </c>
      <c r="K60" s="452">
        <f t="shared" ca="1" si="31"/>
        <v>-0.45516275661138728</v>
      </c>
      <c r="L60" s="452">
        <f t="shared" ca="1" si="32"/>
        <v>0.20717313500607698</v>
      </c>
      <c r="M60" s="452">
        <f t="shared" ca="1" si="33"/>
        <v>0.45516275661138728</v>
      </c>
      <c r="N60" s="452">
        <f t="shared" ca="1" si="34"/>
        <v>0.54483724338861272</v>
      </c>
      <c r="O60" s="452">
        <f t="shared" ca="1" si="35"/>
        <v>7.8777118100996649E-2</v>
      </c>
      <c r="P60" s="455" t="str">
        <f t="shared" ca="1" si="36"/>
        <v>P</v>
      </c>
      <c r="Q60" s="455" t="str">
        <f t="shared" ca="1" si="37"/>
        <v>OP</v>
      </c>
      <c r="R60" s="455" t="str">
        <f t="shared" ca="1" si="38"/>
        <v>TP</v>
      </c>
      <c r="S60" s="457">
        <f t="shared" ca="1" si="39"/>
        <v>-0.45516275661138728</v>
      </c>
      <c r="T60" s="456">
        <f t="shared" ca="1" si="40"/>
        <v>0.45516275661138728</v>
      </c>
      <c r="U60" s="456">
        <f t="shared" ca="1" si="41"/>
        <v>0.20717313500607698</v>
      </c>
      <c r="V60" s="457">
        <f t="shared" ca="1" si="42"/>
        <v>0.91032551322277455</v>
      </c>
      <c r="W60" s="458">
        <f t="shared" ca="1" si="43"/>
        <v>0.45516275661138728</v>
      </c>
      <c r="X60" s="459" t="str">
        <f t="shared" ca="1" si="44"/>
        <v>≠</v>
      </c>
      <c r="Y60" s="458">
        <f t="shared" ca="1" si="45"/>
        <v>0.83541050494364999</v>
      </c>
      <c r="Z60" s="456">
        <f t="shared" ca="1" si="46"/>
        <v>0.29463476399169675</v>
      </c>
      <c r="AA60" s="457">
        <f t="shared" ca="1" si="47"/>
        <v>-0.87610276999630232</v>
      </c>
      <c r="AB60" s="457">
        <f t="shared" ca="1" si="48"/>
        <v>0</v>
      </c>
    </row>
    <row r="61" spans="1:28" x14ac:dyDescent="0.15">
      <c r="A61" s="385">
        <v>41</v>
      </c>
      <c r="B61" s="450">
        <v>0</v>
      </c>
      <c r="C61" s="451">
        <f t="shared" ca="1" si="9"/>
        <v>1</v>
      </c>
      <c r="D61" s="452">
        <f t="shared" ca="1" si="25"/>
        <v>1</v>
      </c>
      <c r="E61" s="457">
        <f t="shared" ca="1" si="26"/>
        <v>1</v>
      </c>
      <c r="F61" s="457">
        <f t="shared" ca="1" si="27"/>
        <v>0.5</v>
      </c>
      <c r="G61" s="457">
        <f t="shared" ca="1" si="28"/>
        <v>0.25</v>
      </c>
      <c r="H61" s="453">
        <v>0.01</v>
      </c>
      <c r="I61" s="454">
        <f t="shared" ca="1" si="29"/>
        <v>0.15305504738348863</v>
      </c>
      <c r="J61" s="452">
        <f t="shared" ca="1" si="30"/>
        <v>0.15305504738348863</v>
      </c>
      <c r="K61" s="452">
        <f t="shared" ca="1" si="31"/>
        <v>-0.84694495261651137</v>
      </c>
      <c r="L61" s="452">
        <f t="shared" ca="1" si="32"/>
        <v>0.71731575276258475</v>
      </c>
      <c r="M61" s="452">
        <f t="shared" ca="1" si="33"/>
        <v>0.84694495261651137</v>
      </c>
      <c r="N61" s="452">
        <f t="shared" ca="1" si="34"/>
        <v>0.15305504738348863</v>
      </c>
      <c r="O61" s="452">
        <f t="shared" ca="1" si="35"/>
        <v>3.3618093487118914</v>
      </c>
      <c r="P61" s="455" t="str">
        <f t="shared" ca="1" si="36"/>
        <v>P</v>
      </c>
      <c r="Q61" s="455" t="str">
        <f t="shared" ca="1" si="37"/>
        <v>ON</v>
      </c>
      <c r="R61" s="455" t="str">
        <f t="shared" ca="1" si="38"/>
        <v>FN</v>
      </c>
      <c r="S61" s="457">
        <f t="shared" ca="1" si="39"/>
        <v>-0.84694495261651137</v>
      </c>
      <c r="T61" s="456">
        <f t="shared" ca="1" si="40"/>
        <v>0.84694495261651137</v>
      </c>
      <c r="U61" s="456">
        <f t="shared" ca="1" si="41"/>
        <v>0.71731575276258475</v>
      </c>
      <c r="V61" s="457">
        <f t="shared" ca="1" si="42"/>
        <v>1.6938899052330227</v>
      </c>
      <c r="W61" s="458">
        <f t="shared" ca="1" si="43"/>
        <v>0.84694495261651137</v>
      </c>
      <c r="X61" s="459" t="str">
        <f t="shared" ca="1" si="44"/>
        <v>≠</v>
      </c>
      <c r="Y61" s="458">
        <f t="shared" ca="1" si="45"/>
        <v>5.5335970103255718</v>
      </c>
      <c r="Z61" s="456">
        <f t="shared" ca="1" si="46"/>
        <v>0.73452256641033575</v>
      </c>
      <c r="AA61" s="457">
        <f t="shared" ca="1" si="47"/>
        <v>-2.7078774726617354</v>
      </c>
      <c r="AB61" s="457">
        <f t="shared" ca="1" si="48"/>
        <v>0</v>
      </c>
    </row>
    <row r="62" spans="1:28" x14ac:dyDescent="0.15">
      <c r="A62" s="385">
        <v>42</v>
      </c>
      <c r="B62" s="450">
        <v>0</v>
      </c>
      <c r="C62" s="451">
        <f t="shared" ca="1" si="9"/>
        <v>0</v>
      </c>
      <c r="D62" s="452">
        <f t="shared" ca="1" si="25"/>
        <v>0</v>
      </c>
      <c r="E62" s="457">
        <f t="shared" ca="1" si="26"/>
        <v>0</v>
      </c>
      <c r="F62" s="457">
        <f t="shared" ca="1" si="27"/>
        <v>0.5</v>
      </c>
      <c r="G62" s="457">
        <f t="shared" ca="1" si="28"/>
        <v>0.25</v>
      </c>
      <c r="H62" s="453">
        <v>0.01</v>
      </c>
      <c r="I62" s="454">
        <f t="shared" ca="1" si="29"/>
        <v>0.81283673834782122</v>
      </c>
      <c r="J62" s="452">
        <f t="shared" ca="1" si="30"/>
        <v>0.81283673834782122</v>
      </c>
      <c r="K62" s="452" t="e">
        <f t="shared" ca="1" si="31"/>
        <v>#DIV/0!</v>
      </c>
      <c r="L62" s="452" t="e">
        <f t="shared" ca="1" si="32"/>
        <v>#DIV/0!</v>
      </c>
      <c r="M62" s="452" t="e">
        <f t="shared" ca="1" si="33"/>
        <v>#DIV/0!</v>
      </c>
      <c r="N62" s="452">
        <f t="shared" ca="1" si="34"/>
        <v>0</v>
      </c>
      <c r="O62" s="452" t="e">
        <f t="shared" ca="1" si="35"/>
        <v>#DIV/0!</v>
      </c>
      <c r="P62" s="455" t="str">
        <f t="shared" ca="1" si="36"/>
        <v>N</v>
      </c>
      <c r="Q62" s="455" t="str">
        <f t="shared" ca="1" si="37"/>
        <v>OP</v>
      </c>
      <c r="R62" s="455" t="str">
        <f t="shared" ca="1" si="38"/>
        <v>FP</v>
      </c>
      <c r="S62" s="457">
        <f t="shared" ca="1" si="39"/>
        <v>0.81283673834782122</v>
      </c>
      <c r="T62" s="456">
        <f t="shared" ca="1" si="40"/>
        <v>0.81283673834782122</v>
      </c>
      <c r="U62" s="456">
        <f t="shared" ca="1" si="41"/>
        <v>0.66070356320792434</v>
      </c>
      <c r="V62" s="457">
        <f t="shared" ca="1" si="42"/>
        <v>1.6256734766956424</v>
      </c>
      <c r="W62" s="458" t="e">
        <f t="shared" ca="1" si="43"/>
        <v>#DIV/0!</v>
      </c>
      <c r="X62" s="459" t="e">
        <f t="shared" ca="1" si="44"/>
        <v>#DIV/0!</v>
      </c>
      <c r="Y62" s="458">
        <f t="shared" ca="1" si="45"/>
        <v>1</v>
      </c>
      <c r="Z62" s="456">
        <f t="shared" ca="1" si="46"/>
        <v>1</v>
      </c>
      <c r="AA62" s="457">
        <f t="shared" ca="1" si="47"/>
        <v>0</v>
      </c>
      <c r="AB62" s="457">
        <f t="shared" ca="1" si="48"/>
        <v>-0.2989624848117266</v>
      </c>
    </row>
    <row r="63" spans="1:28" x14ac:dyDescent="0.15">
      <c r="A63" s="385">
        <v>43</v>
      </c>
      <c r="B63" s="450">
        <v>0</v>
      </c>
      <c r="C63" s="451">
        <f t="shared" ca="1" si="9"/>
        <v>1</v>
      </c>
      <c r="D63" s="452">
        <f t="shared" ca="1" si="25"/>
        <v>1</v>
      </c>
      <c r="E63" s="457">
        <f t="shared" ca="1" si="26"/>
        <v>1</v>
      </c>
      <c r="F63" s="457">
        <f t="shared" ca="1" si="27"/>
        <v>0.5</v>
      </c>
      <c r="G63" s="457">
        <f t="shared" ca="1" si="28"/>
        <v>0.25</v>
      </c>
      <c r="H63" s="453">
        <v>0.01</v>
      </c>
      <c r="I63" s="454">
        <f t="shared" ca="1" si="29"/>
        <v>0.64987745947924958</v>
      </c>
      <c r="J63" s="452">
        <f t="shared" ca="1" si="30"/>
        <v>0.64987745947924958</v>
      </c>
      <c r="K63" s="452">
        <f t="shared" ca="1" si="31"/>
        <v>-0.35012254052075042</v>
      </c>
      <c r="L63" s="452">
        <f t="shared" ca="1" si="32"/>
        <v>0.12258579338070452</v>
      </c>
      <c r="M63" s="452">
        <f t="shared" ca="1" si="33"/>
        <v>0.35012254052075042</v>
      </c>
      <c r="N63" s="452">
        <f t="shared" ca="1" si="34"/>
        <v>0.64987745947924958</v>
      </c>
      <c r="O63" s="452">
        <f t="shared" ca="1" si="35"/>
        <v>2.3123246574543791E-2</v>
      </c>
      <c r="P63" s="455" t="str">
        <f t="shared" ca="1" si="36"/>
        <v>P</v>
      </c>
      <c r="Q63" s="455" t="str">
        <f t="shared" ca="1" si="37"/>
        <v>OP</v>
      </c>
      <c r="R63" s="455" t="str">
        <f t="shared" ca="1" si="38"/>
        <v>TP</v>
      </c>
      <c r="S63" s="457">
        <f t="shared" ca="1" si="39"/>
        <v>-0.35012254052075042</v>
      </c>
      <c r="T63" s="456">
        <f t="shared" ca="1" si="40"/>
        <v>0.35012254052075042</v>
      </c>
      <c r="U63" s="456">
        <f t="shared" ca="1" si="41"/>
        <v>0.12258579338070452</v>
      </c>
      <c r="V63" s="457">
        <f t="shared" ca="1" si="42"/>
        <v>0.70024508104150085</v>
      </c>
      <c r="W63" s="458">
        <f t="shared" ca="1" si="43"/>
        <v>0.35012254052075042</v>
      </c>
      <c r="X63" s="459" t="str">
        <f t="shared" ca="1" si="44"/>
        <v>≠</v>
      </c>
      <c r="Y63" s="458">
        <f t="shared" ca="1" si="45"/>
        <v>0.53875162988620284</v>
      </c>
      <c r="Z63" s="456">
        <f t="shared" ca="1" si="46"/>
        <v>0.21221123939183914</v>
      </c>
      <c r="AA63" s="457">
        <f t="shared" ca="1" si="47"/>
        <v>-0.62176038485107898</v>
      </c>
      <c r="AB63" s="457">
        <f t="shared" ca="1" si="48"/>
        <v>0</v>
      </c>
    </row>
    <row r="64" spans="1:28" x14ac:dyDescent="0.15">
      <c r="A64" s="385">
        <v>44</v>
      </c>
      <c r="B64" s="450">
        <v>0</v>
      </c>
      <c r="C64" s="451">
        <f t="shared" ca="1" si="9"/>
        <v>1</v>
      </c>
      <c r="D64" s="452">
        <f t="shared" ca="1" si="25"/>
        <v>1</v>
      </c>
      <c r="E64" s="457">
        <f t="shared" ca="1" si="26"/>
        <v>1</v>
      </c>
      <c r="F64" s="457">
        <f t="shared" ca="1" si="27"/>
        <v>0.5</v>
      </c>
      <c r="G64" s="457">
        <f t="shared" ca="1" si="28"/>
        <v>0.25</v>
      </c>
      <c r="H64" s="453">
        <v>0.01</v>
      </c>
      <c r="I64" s="454">
        <f t="shared" ca="1" si="29"/>
        <v>0.24551109399434917</v>
      </c>
      <c r="J64" s="452">
        <f t="shared" ca="1" si="30"/>
        <v>0.24551109399434917</v>
      </c>
      <c r="K64" s="452">
        <f t="shared" ca="1" si="31"/>
        <v>-0.75448890600565077</v>
      </c>
      <c r="L64" s="452">
        <f t="shared" ca="1" si="32"/>
        <v>0.5692535092856037</v>
      </c>
      <c r="M64" s="452">
        <f t="shared" ca="1" si="33"/>
        <v>0.75448890600565077</v>
      </c>
      <c r="N64" s="452">
        <f t="shared" ca="1" si="34"/>
        <v>0.24551109399434917</v>
      </c>
      <c r="O64" s="452">
        <f t="shared" ca="1" si="35"/>
        <v>1.3198978203462912</v>
      </c>
      <c r="P64" s="455" t="str">
        <f t="shared" ca="1" si="36"/>
        <v>P</v>
      </c>
      <c r="Q64" s="455" t="str">
        <f t="shared" ca="1" si="37"/>
        <v>ON</v>
      </c>
      <c r="R64" s="455" t="str">
        <f t="shared" ca="1" si="38"/>
        <v>FN</v>
      </c>
      <c r="S64" s="457">
        <f t="shared" ca="1" si="39"/>
        <v>-0.75448890600565077</v>
      </c>
      <c r="T64" s="456">
        <f t="shared" ca="1" si="40"/>
        <v>0.75448890600565077</v>
      </c>
      <c r="U64" s="456">
        <f t="shared" ca="1" si="41"/>
        <v>0.5692535092856037</v>
      </c>
      <c r="V64" s="457">
        <f t="shared" ca="1" si="42"/>
        <v>1.5089778120113015</v>
      </c>
      <c r="W64" s="458">
        <f t="shared" ca="1" si="43"/>
        <v>0.75448890600565077</v>
      </c>
      <c r="X64" s="459" t="str">
        <f t="shared" ca="1" si="44"/>
        <v>≠</v>
      </c>
      <c r="Y64" s="458">
        <f t="shared" ca="1" si="45"/>
        <v>3.0731356930983189</v>
      </c>
      <c r="Z64" s="456">
        <f t="shared" ca="1" si="46"/>
        <v>0.60576650793692077</v>
      </c>
      <c r="AA64" s="457">
        <f t="shared" ca="1" si="47"/>
        <v>-2.02613987731681</v>
      </c>
      <c r="AB64" s="457">
        <f t="shared" ca="1" si="48"/>
        <v>0</v>
      </c>
    </row>
    <row r="65" spans="1:28" x14ac:dyDescent="0.15">
      <c r="A65" s="385">
        <v>45</v>
      </c>
      <c r="B65" s="450">
        <v>0</v>
      </c>
      <c r="C65" s="451">
        <f t="shared" ca="1" si="9"/>
        <v>0</v>
      </c>
      <c r="D65" s="452">
        <f t="shared" ca="1" si="25"/>
        <v>0</v>
      </c>
      <c r="E65" s="457">
        <f t="shared" ca="1" si="26"/>
        <v>0</v>
      </c>
      <c r="F65" s="457">
        <f t="shared" ca="1" si="27"/>
        <v>0.5</v>
      </c>
      <c r="G65" s="457">
        <f t="shared" ca="1" si="28"/>
        <v>0.25</v>
      </c>
      <c r="H65" s="453">
        <v>0.01</v>
      </c>
      <c r="I65" s="454">
        <f t="shared" ca="1" si="29"/>
        <v>0.14652072241302144</v>
      </c>
      <c r="J65" s="452">
        <f t="shared" ca="1" si="30"/>
        <v>0.14652072241302144</v>
      </c>
      <c r="K65" s="452" t="e">
        <f t="shared" ca="1" si="31"/>
        <v>#DIV/0!</v>
      </c>
      <c r="L65" s="452" t="e">
        <f t="shared" ca="1" si="32"/>
        <v>#DIV/0!</v>
      </c>
      <c r="M65" s="452" t="e">
        <f t="shared" ca="1" si="33"/>
        <v>#DIV/0!</v>
      </c>
      <c r="N65" s="452">
        <f t="shared" ca="1" si="34"/>
        <v>0</v>
      </c>
      <c r="O65" s="452" t="e">
        <f t="shared" ca="1" si="35"/>
        <v>#DIV/0!</v>
      </c>
      <c r="P65" s="455" t="str">
        <f t="shared" ca="1" si="36"/>
        <v>N</v>
      </c>
      <c r="Q65" s="455" t="str">
        <f t="shared" ca="1" si="37"/>
        <v>ON</v>
      </c>
      <c r="R65" s="455" t="str">
        <f t="shared" ca="1" si="38"/>
        <v>TN</v>
      </c>
      <c r="S65" s="457">
        <f t="shared" ca="1" si="39"/>
        <v>0.14652072241302144</v>
      </c>
      <c r="T65" s="456">
        <f t="shared" ca="1" si="40"/>
        <v>0.14652072241302144</v>
      </c>
      <c r="U65" s="456">
        <f t="shared" ca="1" si="41"/>
        <v>2.1468322096433685E-2</v>
      </c>
      <c r="V65" s="457">
        <f t="shared" ca="1" si="42"/>
        <v>0.29304144482604289</v>
      </c>
      <c r="W65" s="458" t="e">
        <f t="shared" ca="1" si="43"/>
        <v>#DIV/0!</v>
      </c>
      <c r="X65" s="459" t="e">
        <f t="shared" ca="1" si="44"/>
        <v>#DIV/0!</v>
      </c>
      <c r="Y65" s="458">
        <f t="shared" ca="1" si="45"/>
        <v>1</v>
      </c>
      <c r="Z65" s="456">
        <f t="shared" ca="1" si="46"/>
        <v>1</v>
      </c>
      <c r="AA65" s="457">
        <f t="shared" ca="1" si="47"/>
        <v>0</v>
      </c>
      <c r="AB65" s="457">
        <f t="shared" ca="1" si="48"/>
        <v>-2.7708233755756848</v>
      </c>
    </row>
    <row r="66" spans="1:28" x14ac:dyDescent="0.15">
      <c r="A66" s="385">
        <v>46</v>
      </c>
      <c r="B66" s="450">
        <v>0</v>
      </c>
      <c r="C66" s="451">
        <f t="shared" ca="1" si="9"/>
        <v>1</v>
      </c>
      <c r="D66" s="452">
        <f t="shared" ca="1" si="25"/>
        <v>1</v>
      </c>
      <c r="E66" s="457">
        <f t="shared" ca="1" si="26"/>
        <v>1</v>
      </c>
      <c r="F66" s="457">
        <f t="shared" ca="1" si="27"/>
        <v>0.5</v>
      </c>
      <c r="G66" s="457">
        <f t="shared" ca="1" si="28"/>
        <v>0.25</v>
      </c>
      <c r="H66" s="453">
        <v>0.01</v>
      </c>
      <c r="I66" s="454">
        <f t="shared" ca="1" si="29"/>
        <v>0.95976687279744077</v>
      </c>
      <c r="J66" s="452">
        <f t="shared" ca="1" si="30"/>
        <v>0.95976687279744077</v>
      </c>
      <c r="K66" s="452">
        <f t="shared" ca="1" si="31"/>
        <v>-4.0233127202559227E-2</v>
      </c>
      <c r="L66" s="452">
        <f t="shared" ca="1" si="32"/>
        <v>1.6187045244973111E-3</v>
      </c>
      <c r="M66" s="452">
        <f t="shared" ca="1" si="33"/>
        <v>4.0233127202559227E-2</v>
      </c>
      <c r="N66" s="452">
        <f t="shared" ca="1" si="34"/>
        <v>0.95976687279744077</v>
      </c>
      <c r="O66" s="452">
        <f t="shared" ca="1" si="35"/>
        <v>2.7300424841617364E-6</v>
      </c>
      <c r="P66" s="455" t="str">
        <f t="shared" ca="1" si="36"/>
        <v>P</v>
      </c>
      <c r="Q66" s="455" t="str">
        <f t="shared" ca="1" si="37"/>
        <v>OP</v>
      </c>
      <c r="R66" s="455" t="str">
        <f t="shared" ca="1" si="38"/>
        <v>TP</v>
      </c>
      <c r="S66" s="457">
        <f t="shared" ca="1" si="39"/>
        <v>-4.0233127202559227E-2</v>
      </c>
      <c r="T66" s="456">
        <f t="shared" ca="1" si="40"/>
        <v>4.0233127202559227E-2</v>
      </c>
      <c r="U66" s="456">
        <f t="shared" ca="1" si="41"/>
        <v>1.6187045244973111E-3</v>
      </c>
      <c r="V66" s="457">
        <f t="shared" ca="1" si="42"/>
        <v>8.0466254405118454E-2</v>
      </c>
      <c r="W66" s="458">
        <f t="shared" ca="1" si="43"/>
        <v>4.0233127202559227E-2</v>
      </c>
      <c r="X66" s="459" t="str">
        <f t="shared" ca="1" si="44"/>
        <v>≠</v>
      </c>
      <c r="Y66" s="458">
        <f t="shared" ca="1" si="45"/>
        <v>4.1919687314578159E-2</v>
      </c>
      <c r="Z66" s="456">
        <f t="shared" ca="1" si="46"/>
        <v>2.0529547550280323E-2</v>
      </c>
      <c r="AA66" s="457">
        <f t="shared" ca="1" si="47"/>
        <v>-5.9244076869347059E-2</v>
      </c>
      <c r="AB66" s="457">
        <f t="shared" ca="1" si="48"/>
        <v>0</v>
      </c>
    </row>
    <row r="67" spans="1:28" x14ac:dyDescent="0.15">
      <c r="A67" s="385">
        <v>47</v>
      </c>
      <c r="B67" s="450">
        <v>0</v>
      </c>
      <c r="C67" s="451">
        <f t="shared" ca="1" si="9"/>
        <v>1</v>
      </c>
      <c r="D67" s="452">
        <f t="shared" ca="1" si="25"/>
        <v>1</v>
      </c>
      <c r="E67" s="457">
        <f t="shared" ca="1" si="26"/>
        <v>1</v>
      </c>
      <c r="F67" s="457">
        <f t="shared" ca="1" si="27"/>
        <v>0.5</v>
      </c>
      <c r="G67" s="457">
        <f t="shared" ca="1" si="28"/>
        <v>0.25</v>
      </c>
      <c r="H67" s="453">
        <v>0.01</v>
      </c>
      <c r="I67" s="454">
        <f t="shared" ca="1" si="29"/>
        <v>0.62716040030515008</v>
      </c>
      <c r="J67" s="452">
        <f t="shared" ca="1" si="30"/>
        <v>0.62716040030515008</v>
      </c>
      <c r="K67" s="452">
        <f t="shared" ca="1" si="31"/>
        <v>-0.37283959969484992</v>
      </c>
      <c r="L67" s="452">
        <f t="shared" ca="1" si="32"/>
        <v>0.13900936710061593</v>
      </c>
      <c r="M67" s="452">
        <f t="shared" ca="1" si="33"/>
        <v>0.37283959969484992</v>
      </c>
      <c r="N67" s="452">
        <f t="shared" ca="1" si="34"/>
        <v>0.62716040030515008</v>
      </c>
      <c r="O67" s="452">
        <f t="shared" ca="1" si="35"/>
        <v>3.0811263166985261E-2</v>
      </c>
      <c r="P67" s="455" t="str">
        <f t="shared" ca="1" si="36"/>
        <v>P</v>
      </c>
      <c r="Q67" s="455" t="str">
        <f t="shared" ca="1" si="37"/>
        <v>OP</v>
      </c>
      <c r="R67" s="455" t="str">
        <f t="shared" ca="1" si="38"/>
        <v>TP</v>
      </c>
      <c r="S67" s="457">
        <f t="shared" ca="1" si="39"/>
        <v>-0.37283959969484992</v>
      </c>
      <c r="T67" s="456">
        <f t="shared" ca="1" si="40"/>
        <v>0.37283959969484992</v>
      </c>
      <c r="U67" s="456">
        <f t="shared" ca="1" si="41"/>
        <v>0.13900936710061593</v>
      </c>
      <c r="V67" s="457">
        <f t="shared" ca="1" si="42"/>
        <v>0.74567919938969984</v>
      </c>
      <c r="W67" s="458">
        <f t="shared" ca="1" si="43"/>
        <v>0.37283959969484992</v>
      </c>
      <c r="X67" s="459" t="str">
        <f t="shared" ca="1" si="44"/>
        <v>≠</v>
      </c>
      <c r="Y67" s="458">
        <f t="shared" ca="1" si="45"/>
        <v>0.59448842674607916</v>
      </c>
      <c r="Z67" s="456">
        <f t="shared" ca="1" si="46"/>
        <v>0.22913512375604109</v>
      </c>
      <c r="AA67" s="457">
        <f t="shared" ca="1" si="47"/>
        <v>-0.67309362613414814</v>
      </c>
      <c r="AB67" s="457">
        <f t="shared" ca="1" si="48"/>
        <v>0</v>
      </c>
    </row>
    <row r="68" spans="1:28" x14ac:dyDescent="0.15">
      <c r="A68" s="385">
        <v>48</v>
      </c>
      <c r="B68" s="450">
        <v>0</v>
      </c>
      <c r="C68" s="451">
        <f t="shared" ca="1" si="9"/>
        <v>1</v>
      </c>
      <c r="D68" s="452">
        <f t="shared" ca="1" si="25"/>
        <v>1</v>
      </c>
      <c r="E68" s="457">
        <f t="shared" ca="1" si="26"/>
        <v>1</v>
      </c>
      <c r="F68" s="457">
        <f t="shared" ca="1" si="27"/>
        <v>0.5</v>
      </c>
      <c r="G68" s="457">
        <f t="shared" ca="1" si="28"/>
        <v>0.25</v>
      </c>
      <c r="H68" s="453">
        <v>0.01</v>
      </c>
      <c r="I68" s="454">
        <f t="shared" ca="1" si="29"/>
        <v>0.48456928017203599</v>
      </c>
      <c r="J68" s="452">
        <f t="shared" ca="1" si="30"/>
        <v>0.48456928017203599</v>
      </c>
      <c r="K68" s="452">
        <f t="shared" ca="1" si="31"/>
        <v>-0.51543071982796396</v>
      </c>
      <c r="L68" s="452">
        <f t="shared" ca="1" si="32"/>
        <v>0.26566882694237309</v>
      </c>
      <c r="M68" s="452">
        <f t="shared" ca="1" si="33"/>
        <v>0.51543071982796396</v>
      </c>
      <c r="N68" s="452">
        <f t="shared" ca="1" si="34"/>
        <v>0.48456928017203599</v>
      </c>
      <c r="O68" s="452">
        <f t="shared" ca="1" si="35"/>
        <v>0.14565497338972599</v>
      </c>
      <c r="P68" s="455" t="str">
        <f t="shared" ca="1" si="36"/>
        <v>P</v>
      </c>
      <c r="Q68" s="455" t="str">
        <f t="shared" ca="1" si="37"/>
        <v>ON</v>
      </c>
      <c r="R68" s="455" t="str">
        <f t="shared" ca="1" si="38"/>
        <v>FN</v>
      </c>
      <c r="S68" s="457">
        <f t="shared" ca="1" si="39"/>
        <v>-0.51543071982796396</v>
      </c>
      <c r="T68" s="456">
        <f t="shared" ca="1" si="40"/>
        <v>0.51543071982796396</v>
      </c>
      <c r="U68" s="456">
        <f t="shared" ca="1" si="41"/>
        <v>0.26566882694237309</v>
      </c>
      <c r="V68" s="457">
        <f t="shared" ca="1" si="42"/>
        <v>1.0308614396559279</v>
      </c>
      <c r="W68" s="458">
        <f t="shared" ca="1" si="43"/>
        <v>0.51543071982796396</v>
      </c>
      <c r="X68" s="459" t="str">
        <f t="shared" ca="1" si="44"/>
        <v>≠</v>
      </c>
      <c r="Y68" s="458">
        <f t="shared" ca="1" si="45"/>
        <v>1.0636883948668212</v>
      </c>
      <c r="Z68" s="456">
        <f t="shared" ca="1" si="46"/>
        <v>0.34719209585707878</v>
      </c>
      <c r="AA68" s="457">
        <f t="shared" ca="1" si="47"/>
        <v>-1.0452251485138455</v>
      </c>
      <c r="AB68" s="457">
        <f t="shared" ca="1" si="48"/>
        <v>0</v>
      </c>
    </row>
    <row r="69" spans="1:28" x14ac:dyDescent="0.15">
      <c r="A69" s="385">
        <v>49</v>
      </c>
      <c r="B69" s="450">
        <v>0</v>
      </c>
      <c r="C69" s="451">
        <f t="shared" ca="1" si="9"/>
        <v>0</v>
      </c>
      <c r="D69" s="452">
        <f t="shared" ca="1" si="25"/>
        <v>0</v>
      </c>
      <c r="E69" s="457">
        <f t="shared" ca="1" si="26"/>
        <v>0</v>
      </c>
      <c r="F69" s="457">
        <f t="shared" ca="1" si="27"/>
        <v>0.5</v>
      </c>
      <c r="G69" s="457">
        <f t="shared" ca="1" si="28"/>
        <v>0.25</v>
      </c>
      <c r="H69" s="453">
        <v>0.01</v>
      </c>
      <c r="I69" s="454">
        <f t="shared" ca="1" si="29"/>
        <v>0.11688343992762024</v>
      </c>
      <c r="J69" s="452">
        <f t="shared" ca="1" si="30"/>
        <v>0.11688343992762024</v>
      </c>
      <c r="K69" s="452" t="e">
        <f t="shared" ca="1" si="31"/>
        <v>#DIV/0!</v>
      </c>
      <c r="L69" s="452" t="e">
        <f t="shared" ca="1" si="32"/>
        <v>#DIV/0!</v>
      </c>
      <c r="M69" s="452" t="e">
        <f t="shared" ca="1" si="33"/>
        <v>#DIV/0!</v>
      </c>
      <c r="N69" s="452">
        <f t="shared" ca="1" si="34"/>
        <v>0</v>
      </c>
      <c r="O69" s="452" t="e">
        <f t="shared" ca="1" si="35"/>
        <v>#DIV/0!</v>
      </c>
      <c r="P69" s="455" t="str">
        <f t="shared" ca="1" si="36"/>
        <v>N</v>
      </c>
      <c r="Q69" s="455" t="str">
        <f t="shared" ca="1" si="37"/>
        <v>ON</v>
      </c>
      <c r="R69" s="455" t="str">
        <f t="shared" ca="1" si="38"/>
        <v>TN</v>
      </c>
      <c r="S69" s="457">
        <f t="shared" ca="1" si="39"/>
        <v>0.11688343992762024</v>
      </c>
      <c r="T69" s="456">
        <f t="shared" ca="1" si="40"/>
        <v>0.11688343992762024</v>
      </c>
      <c r="U69" s="456">
        <f t="shared" ca="1" si="41"/>
        <v>1.3661738529313608E-2</v>
      </c>
      <c r="V69" s="457">
        <f t="shared" ca="1" si="42"/>
        <v>0.23376687985524047</v>
      </c>
      <c r="W69" s="458" t="e">
        <f t="shared" ca="1" si="43"/>
        <v>#DIV/0!</v>
      </c>
      <c r="X69" s="459" t="e">
        <f t="shared" ca="1" si="44"/>
        <v>#DIV/0!</v>
      </c>
      <c r="Y69" s="458">
        <f t="shared" ca="1" si="45"/>
        <v>1</v>
      </c>
      <c r="Z69" s="456">
        <f t="shared" ca="1" si="46"/>
        <v>1</v>
      </c>
      <c r="AA69" s="457">
        <f t="shared" ca="1" si="47"/>
        <v>0</v>
      </c>
      <c r="AB69" s="457">
        <f t="shared" ca="1" si="48"/>
        <v>-3.0968575519011958</v>
      </c>
    </row>
    <row r="70" spans="1:28" x14ac:dyDescent="0.15">
      <c r="A70" s="385">
        <v>50</v>
      </c>
      <c r="B70" s="450">
        <v>0</v>
      </c>
      <c r="C70" s="451">
        <f t="shared" ca="1" si="9"/>
        <v>1</v>
      </c>
      <c r="D70" s="452">
        <f t="shared" ca="1" si="25"/>
        <v>1</v>
      </c>
      <c r="E70" s="457">
        <f t="shared" ca="1" si="26"/>
        <v>1</v>
      </c>
      <c r="F70" s="457">
        <f t="shared" ca="1" si="27"/>
        <v>0.5</v>
      </c>
      <c r="G70" s="457">
        <f t="shared" ca="1" si="28"/>
        <v>0.25</v>
      </c>
      <c r="H70" s="453">
        <v>0.01</v>
      </c>
      <c r="I70" s="454">
        <f t="shared" ca="1" si="29"/>
        <v>0.52110747702271154</v>
      </c>
      <c r="J70" s="452">
        <f t="shared" ca="1" si="30"/>
        <v>0.52110747702271154</v>
      </c>
      <c r="K70" s="452">
        <f t="shared" ca="1" si="31"/>
        <v>-0.47889252297728846</v>
      </c>
      <c r="L70" s="452">
        <f t="shared" ca="1" si="32"/>
        <v>0.22933804856355275</v>
      </c>
      <c r="M70" s="452">
        <f t="shared" ca="1" si="33"/>
        <v>0.47889252297728846</v>
      </c>
      <c r="N70" s="452">
        <f t="shared" ca="1" si="34"/>
        <v>0.52110747702271154</v>
      </c>
      <c r="O70" s="452">
        <f t="shared" ca="1" si="35"/>
        <v>0.10093108012849751</v>
      </c>
      <c r="P70" s="455" t="str">
        <f t="shared" ca="1" si="36"/>
        <v>P</v>
      </c>
      <c r="Q70" s="455" t="str">
        <f t="shared" ca="1" si="37"/>
        <v>OP</v>
      </c>
      <c r="R70" s="455" t="str">
        <f t="shared" ca="1" si="38"/>
        <v>TP</v>
      </c>
      <c r="S70" s="457">
        <f t="shared" ca="1" si="39"/>
        <v>-0.47889252297728846</v>
      </c>
      <c r="T70" s="456">
        <f t="shared" ca="1" si="40"/>
        <v>0.47889252297728846</v>
      </c>
      <c r="U70" s="456">
        <f t="shared" ca="1" si="41"/>
        <v>0.22933804856355275</v>
      </c>
      <c r="V70" s="457">
        <f t="shared" ca="1" si="42"/>
        <v>0.95778504595457692</v>
      </c>
      <c r="W70" s="458">
        <f t="shared" ca="1" si="43"/>
        <v>0.47889252297728846</v>
      </c>
      <c r="X70" s="459" t="str">
        <f t="shared" ca="1" si="44"/>
        <v>≠</v>
      </c>
      <c r="Y70" s="458">
        <f t="shared" ca="1" si="45"/>
        <v>0.91898992836062643</v>
      </c>
      <c r="Z70" s="456">
        <f t="shared" ca="1" si="46"/>
        <v>0.31483148312085918</v>
      </c>
      <c r="AA70" s="457">
        <f t="shared" ca="1" si="47"/>
        <v>-0.94034713970301265</v>
      </c>
      <c r="AB70" s="457">
        <f t="shared" ca="1" si="48"/>
        <v>0</v>
      </c>
    </row>
  </sheetData>
  <mergeCells count="22">
    <mergeCell ref="T1:W1"/>
    <mergeCell ref="AA1:AB1"/>
    <mergeCell ref="B6:I6"/>
    <mergeCell ref="S6:S8"/>
    <mergeCell ref="B7:I7"/>
    <mergeCell ref="B1:I4"/>
    <mergeCell ref="P1:S1"/>
    <mergeCell ref="B5:C5"/>
    <mergeCell ref="Y5:Z7"/>
    <mergeCell ref="Y3:Z3"/>
    <mergeCell ref="Y4:Z4"/>
    <mergeCell ref="Y14:Z15"/>
    <mergeCell ref="P12:AB12"/>
    <mergeCell ref="A14:A15"/>
    <mergeCell ref="A7:A13"/>
    <mergeCell ref="AA19:AB19"/>
    <mergeCell ref="B9:H9"/>
    <mergeCell ref="B12:C12"/>
    <mergeCell ref="H12:I12"/>
    <mergeCell ref="AA18:AB18"/>
    <mergeCell ref="B18:I18"/>
    <mergeCell ref="B14:I15"/>
  </mergeCells>
  <conditionalFormatting sqref="B17:C17 B16">
    <cfRule type="duplicateValues" dxfId="43" priority="23"/>
  </conditionalFormatting>
  <conditionalFormatting sqref="D17">
    <cfRule type="duplicateValues" dxfId="42" priority="22"/>
  </conditionalFormatting>
  <conditionalFormatting sqref="B8:B10 Q20:Q1048576">
    <cfRule type="cellIs" dxfId="41" priority="20" operator="equal">
      <formula>"ON"</formula>
    </cfRule>
    <cfRule type="cellIs" dxfId="40" priority="21" operator="equal">
      <formula>"OP"</formula>
    </cfRule>
  </conditionalFormatting>
  <conditionalFormatting sqref="P20:P1048576">
    <cfRule type="cellIs" dxfId="39" priority="18" operator="equal">
      <formula>"N"</formula>
    </cfRule>
    <cfRule type="cellIs" dxfId="38" priority="19" operator="equal">
      <formula>"P"</formula>
    </cfRule>
  </conditionalFormatting>
  <conditionalFormatting sqref="R21:R1048576">
    <cfRule type="cellIs" dxfId="37" priority="14" operator="equal">
      <formula>"FN"</formula>
    </cfRule>
    <cfRule type="cellIs" dxfId="36" priority="15" operator="equal">
      <formula>"FP"</formula>
    </cfRule>
    <cfRule type="cellIs" dxfId="35" priority="16" operator="equal">
      <formula>"TN"</formula>
    </cfRule>
    <cfRule type="cellIs" dxfId="34" priority="17" operator="equal">
      <formula>"TP"</formula>
    </cfRule>
  </conditionalFormatting>
  <conditionalFormatting sqref="R20">
    <cfRule type="cellIs" dxfId="33" priority="12" operator="equal">
      <formula>"ON"</formula>
    </cfRule>
    <cfRule type="cellIs" dxfId="32" priority="13" operator="equal">
      <formula>"OP"</formula>
    </cfRule>
  </conditionalFormatting>
  <conditionalFormatting sqref="E17">
    <cfRule type="duplicateValues" dxfId="31" priority="11"/>
  </conditionalFormatting>
  <conditionalFormatting sqref="F17">
    <cfRule type="duplicateValues" dxfId="30" priority="10"/>
  </conditionalFormatting>
  <conditionalFormatting sqref="G17">
    <cfRule type="duplicateValues" dxfId="29" priority="8"/>
  </conditionalFormatting>
  <conditionalFormatting sqref="H16 J19 H17:I17">
    <cfRule type="duplicateValues" dxfId="28" priority="37"/>
  </conditionalFormatting>
  <conditionalFormatting sqref="N19">
    <cfRule type="duplicateValues" dxfId="27" priority="41"/>
  </conditionalFormatting>
  <conditionalFormatting sqref="O19">
    <cfRule type="duplicateValues" dxfId="26" priority="42"/>
  </conditionalFormatting>
  <conditionalFormatting sqref="K19:L19">
    <cfRule type="duplicateValues" dxfId="25" priority="2"/>
  </conditionalFormatting>
  <conditionalFormatting sqref="M19">
    <cfRule type="duplicateValues" dxfId="24" priority="1"/>
  </conditionalFormatting>
  <dataValidations count="4">
    <dataValidation type="list" allowBlank="1" showInputMessage="1" showErrorMessage="1" sqref="B16 H16" xr:uid="{00000000-0002-0000-0400-000000000000}">
      <formula1>$B$17:$C$17</formula1>
    </dataValidation>
    <dataValidation type="decimal" operator="greaterThan" allowBlank="1" showInputMessage="1" showErrorMessage="1" errorTitle="Invalid max(pi)" error="max(pi) must be greated than min(pi)" sqref="I10" xr:uid="{00000000-0002-0000-0400-000001000000}">
      <formula1>I8</formula1>
    </dataValidation>
    <dataValidation type="decimal" allowBlank="1" showInputMessage="1" showErrorMessage="1" sqref="I8:I9" xr:uid="{00000000-0002-0000-0400-000002000000}">
      <formula1>C8</formula1>
      <formula2>C10</formula2>
    </dataValidation>
    <dataValidation type="decimal" operator="greaterThan" allowBlank="1" showInputMessage="1" showErrorMessage="1" sqref="C10" xr:uid="{00000000-0002-0000-0400-000003000000}">
      <formula1>C8</formula1>
    </dataValidation>
  </dataValidations>
  <hyperlinks>
    <hyperlink ref="I5" location="'Licance for use'!A1" display="See &quot;License for use&quot;" xr:uid="{00000000-0004-0000-0400-000000000000}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BX178"/>
  <sheetViews>
    <sheetView workbookViewId="0">
      <pane xSplit="2" ySplit="6" topLeftCell="C7" activePane="bottomRight" state="frozenSplit"/>
      <selection activeCell="R28" sqref="R28"/>
      <selection pane="topRight" activeCell="R28" sqref="R28"/>
      <selection pane="bottomLeft" activeCell="R28" sqref="R28"/>
      <selection pane="bottomRight" activeCell="R28" sqref="R28"/>
    </sheetView>
  </sheetViews>
  <sheetFormatPr baseColWidth="10" defaultColWidth="8" defaultRowHeight="15" x14ac:dyDescent="0.2"/>
  <cols>
    <col min="1" max="1" width="2.83203125" style="461" customWidth="1"/>
    <col min="2" max="2" width="56" style="461" customWidth="1"/>
    <col min="3" max="3" width="5" style="461" bestFit="1" customWidth="1"/>
    <col min="4" max="4" width="5.83203125" style="461" customWidth="1"/>
    <col min="5" max="5" width="6" style="461" customWidth="1"/>
    <col min="6" max="6" width="5.1640625" style="461" customWidth="1"/>
    <col min="7" max="9" width="6" style="461" customWidth="1"/>
    <col min="10" max="10" width="5.83203125" style="461" customWidth="1"/>
    <col min="11" max="11" width="5.1640625" style="461" customWidth="1"/>
    <col min="12" max="13" width="6" style="461" customWidth="1"/>
    <col min="14" max="16" width="8.6640625" style="461" customWidth="1"/>
    <col min="17" max="17" width="7" style="461" customWidth="1"/>
    <col min="18" max="18" width="7.33203125" style="461" customWidth="1"/>
    <col min="19" max="20" width="7.6640625" style="461" customWidth="1"/>
    <col min="21" max="21" width="7.83203125" style="461" customWidth="1"/>
    <col min="22" max="27" width="7.1640625" style="461" customWidth="1"/>
    <col min="28" max="28" width="8.5" style="461" bestFit="1" customWidth="1"/>
    <col min="29" max="29" width="5" style="461" bestFit="1" customWidth="1"/>
    <col min="30" max="30" width="5.33203125" style="461" bestFit="1" customWidth="1"/>
    <col min="31" max="31" width="7.33203125" style="461" customWidth="1"/>
    <col min="32" max="32" width="11.6640625" style="461" customWidth="1"/>
    <col min="33" max="33" width="7.33203125" style="461" customWidth="1"/>
    <col min="34" max="38" width="8.33203125" style="461" customWidth="1"/>
    <col min="39" max="39" width="9.5" style="461" bestFit="1" customWidth="1"/>
    <col min="40" max="40" width="9" style="461" bestFit="1" customWidth="1"/>
    <col min="41" max="41" width="7.6640625" style="461" customWidth="1"/>
    <col min="42" max="42" width="10.83203125" style="461" bestFit="1" customWidth="1"/>
    <col min="43" max="43" width="8" style="461" customWidth="1"/>
    <col min="44" max="44" width="8.6640625" style="485" bestFit="1" customWidth="1"/>
    <col min="45" max="45" width="7.83203125" style="485" customWidth="1"/>
    <col min="46" max="46" width="8.33203125" style="699" customWidth="1"/>
    <col min="47" max="47" width="9" style="699" customWidth="1"/>
    <col min="48" max="48" width="8.33203125" style="699" customWidth="1"/>
    <col min="49" max="49" width="11.83203125" style="461" customWidth="1"/>
    <col min="50" max="50" width="14.83203125" style="461" customWidth="1"/>
    <col min="51" max="51" width="12.1640625" style="461" customWidth="1"/>
    <col min="52" max="52" width="14.83203125" style="461" customWidth="1"/>
    <col min="53" max="53" width="12" style="461" customWidth="1"/>
    <col min="54" max="54" width="10.83203125" style="461" customWidth="1"/>
    <col min="55" max="55" width="9.33203125" style="461" customWidth="1"/>
    <col min="56" max="56" width="9.83203125" style="461" customWidth="1"/>
    <col min="57" max="57" width="11.83203125" style="461" bestFit="1" customWidth="1"/>
    <col min="58" max="58" width="11.83203125" style="461" customWidth="1"/>
    <col min="59" max="60" width="11.1640625" style="461" customWidth="1"/>
    <col min="61" max="61" width="10.83203125" style="461" bestFit="1" customWidth="1"/>
    <col min="62" max="62" width="10.33203125" style="461" customWidth="1"/>
    <col min="63" max="65" width="10.5" style="461" customWidth="1"/>
    <col min="66" max="66" width="12.5" style="461" customWidth="1"/>
    <col min="67" max="67" width="14" style="461" customWidth="1"/>
    <col min="68" max="68" width="11.5" style="461" customWidth="1"/>
    <col min="69" max="69" width="10.5" style="461" customWidth="1"/>
    <col min="70" max="70" width="11" style="461" customWidth="1"/>
    <col min="71" max="73" width="9.1640625" style="461" customWidth="1"/>
    <col min="74" max="74" width="10.83203125" style="461" bestFit="1" customWidth="1"/>
    <col min="75" max="75" width="9.5" style="461" customWidth="1"/>
    <col min="76" max="76" width="12.5" style="461" customWidth="1"/>
    <col min="77" max="16384" width="8" style="461"/>
  </cols>
  <sheetData>
    <row r="1" spans="1:76" s="699" customFormat="1" ht="16" customHeight="1" x14ac:dyDescent="0.2">
      <c r="B1" s="1170" t="s">
        <v>714</v>
      </c>
      <c r="AR1" s="710"/>
      <c r="AS1" s="710"/>
      <c r="AV1" s="731" t="s">
        <v>686</v>
      </c>
      <c r="AW1" s="729" t="s">
        <v>688</v>
      </c>
      <c r="AX1" s="1175" t="s">
        <v>658</v>
      </c>
      <c r="AY1" s="1176"/>
      <c r="AZ1" s="1176"/>
      <c r="BA1" s="1176"/>
      <c r="BB1" s="1176"/>
      <c r="BC1" s="1176"/>
      <c r="BD1" s="1176"/>
      <c r="BE1" s="1176"/>
      <c r="BF1" s="1177"/>
      <c r="BG1" s="1175" t="s">
        <v>284</v>
      </c>
      <c r="BH1" s="1176"/>
      <c r="BI1" s="1176"/>
      <c r="BJ1" s="1176"/>
      <c r="BK1" s="1175" t="s">
        <v>293</v>
      </c>
      <c r="BL1" s="1176"/>
      <c r="BM1" s="1176"/>
      <c r="BN1" s="1176"/>
      <c r="BO1" s="1176"/>
      <c r="BP1" s="1175" t="s">
        <v>285</v>
      </c>
      <c r="BQ1" s="1176"/>
      <c r="BR1" s="1176"/>
      <c r="BS1" s="1176"/>
      <c r="BT1" s="1176"/>
      <c r="BU1" s="1176"/>
      <c r="BV1" s="1175" t="s">
        <v>367</v>
      </c>
      <c r="BW1" s="1176"/>
      <c r="BX1" s="730" t="s">
        <v>685</v>
      </c>
    </row>
    <row r="2" spans="1:76" ht="16" customHeight="1" x14ac:dyDescent="0.2">
      <c r="B2" s="1171"/>
      <c r="AV2" s="731" t="s">
        <v>687</v>
      </c>
      <c r="AW2" s="694" t="s">
        <v>198</v>
      </c>
      <c r="AX2" s="704" t="s">
        <v>199</v>
      </c>
      <c r="AY2" s="704" t="s">
        <v>199</v>
      </c>
      <c r="AZ2" s="694" t="s">
        <v>199</v>
      </c>
      <c r="BA2" s="699" t="s">
        <v>101</v>
      </c>
      <c r="BB2" s="699" t="s">
        <v>101</v>
      </c>
      <c r="BC2" s="699" t="s">
        <v>101</v>
      </c>
      <c r="BD2" s="699" t="s">
        <v>101</v>
      </c>
      <c r="BE2" s="699" t="s">
        <v>101</v>
      </c>
      <c r="BF2" s="699" t="s">
        <v>101</v>
      </c>
      <c r="BG2" s="704" t="s">
        <v>199</v>
      </c>
      <c r="BH2" s="704" t="s">
        <v>199</v>
      </c>
      <c r="BI2" s="704" t="s">
        <v>199</v>
      </c>
      <c r="BJ2" s="694" t="s">
        <v>199</v>
      </c>
      <c r="BK2" s="705" t="s">
        <v>101</v>
      </c>
      <c r="BL2" s="705" t="s">
        <v>101</v>
      </c>
      <c r="BM2" s="705" t="s">
        <v>101</v>
      </c>
      <c r="BN2" s="699" t="s">
        <v>101</v>
      </c>
      <c r="BO2" s="699" t="s">
        <v>101</v>
      </c>
      <c r="BP2" s="694" t="s">
        <v>198</v>
      </c>
      <c r="BQ2" s="694" t="s">
        <v>199</v>
      </c>
      <c r="BS2" s="694" t="s">
        <v>199</v>
      </c>
      <c r="BT2" s="694" t="s">
        <v>199</v>
      </c>
      <c r="BU2" s="694" t="s">
        <v>199</v>
      </c>
      <c r="BV2" s="704" t="s">
        <v>199</v>
      </c>
      <c r="BW2" s="694" t="s">
        <v>199</v>
      </c>
    </row>
    <row r="3" spans="1:76" s="690" customFormat="1" ht="31" customHeight="1" x14ac:dyDescent="0.2">
      <c r="A3" s="689"/>
      <c r="B3" s="1171"/>
      <c r="C3" s="1174" t="s">
        <v>336</v>
      </c>
      <c r="D3" s="1174"/>
      <c r="E3" s="1174"/>
      <c r="F3" s="1174"/>
      <c r="G3" s="1174"/>
      <c r="H3" s="1174"/>
      <c r="I3" s="1174"/>
      <c r="J3" s="1174"/>
      <c r="K3" s="1174"/>
      <c r="L3" s="1174"/>
      <c r="M3" s="1174"/>
      <c r="N3" s="1174"/>
      <c r="O3" s="1174"/>
      <c r="P3" s="1174"/>
      <c r="Q3" s="1174"/>
      <c r="R3" s="1174" t="s">
        <v>337</v>
      </c>
      <c r="S3" s="1174"/>
      <c r="T3" s="1174"/>
      <c r="U3" s="1174"/>
      <c r="V3" s="1174"/>
      <c r="W3" s="1174"/>
      <c r="X3" s="1174"/>
      <c r="Y3" s="1174"/>
      <c r="Z3" s="1174"/>
      <c r="AA3" s="1174"/>
      <c r="AB3" s="1174"/>
      <c r="AC3" s="1174"/>
      <c r="AD3" s="1174"/>
      <c r="AE3" s="1174"/>
      <c r="AF3" s="1174"/>
      <c r="AG3" s="1174"/>
      <c r="AH3" s="1174" t="s">
        <v>338</v>
      </c>
      <c r="AI3" s="1174"/>
      <c r="AJ3" s="1174"/>
      <c r="AK3" s="1174"/>
      <c r="AL3" s="1174"/>
      <c r="AM3" s="1172" t="s">
        <v>345</v>
      </c>
      <c r="AN3" s="1172"/>
      <c r="AO3" s="1172" t="s">
        <v>346</v>
      </c>
      <c r="AP3" s="1172"/>
      <c r="AQ3" s="1172"/>
      <c r="AR3" s="1172" t="s">
        <v>359</v>
      </c>
      <c r="AS3" s="1172"/>
      <c r="AT3" s="735" t="s">
        <v>353</v>
      </c>
      <c r="AU3" s="735" t="s">
        <v>346</v>
      </c>
      <c r="AV3" s="735" t="s">
        <v>358</v>
      </c>
      <c r="AW3" s="732" t="str">
        <f>"["&amp;ROUND(MIN(AW$7:AW$526), 2)&amp;", "&amp;ROUND(MAX(AW$7:AW$526), 2)&amp;"]"&amp;IF(COUNTIF(AW$7:AW$526, "Div-by-0") &gt; 0, CONCATENATE(CHAR(10), COUNTIF(AW$7:AW$526, "Div-by-0"), " Div/0!"), "")</f>
        <v>[-0.99, 0.99]</v>
      </c>
      <c r="AX3" s="732" t="str">
        <f>"["&amp;ROUND(MIN(AX$7:AX$526), 4)&amp;", "&amp;ROUND(MAX(AX$7:AX$526), 4)&amp;"]"</f>
        <v>[0, 1]</v>
      </c>
      <c r="AY3" s="732" t="str">
        <f>"["&amp;ROUND(MIN(AY$7:AY$526), 4)&amp;", "&amp;ROUND(MAX(AY$7:AY$526), 4)&amp;"]"</f>
        <v>[0, 1]</v>
      </c>
      <c r="AZ3" s="732" t="str">
        <f t="shared" ref="AZ3:BF3" si="0">"["&amp;ROUND(MIN(AZ$7:AZ$526), 2)&amp;", "&amp;ROUND(MAX(AZ$7:AZ$526), 2)&amp;"]"&amp;IF(COUNTIF(AZ$7:AZ$526, "Div-by-0") &gt; 0, CONCATENATE(CHAR(10), COUNTIF(AZ$7:AZ$526, "Div-by-0"), " Div/0!"), "")</f>
        <v>[0, 1]</v>
      </c>
      <c r="BA3" s="732" t="str">
        <f t="shared" si="0"/>
        <v>[0, 25]</v>
      </c>
      <c r="BB3" s="732" t="str">
        <f>"["&amp;ROUND(MIN(BB$7:BB$526), 2)&amp;", "&amp;ROUND(MAX(BB$7:BB$526), 2)&amp;"]"&amp;IF(COUNTIF(BB$7:BB$526, "Div-by-0") &gt; 0, CONCATENATE(CHAR(10), COUNTIF(BB$7:BB$526, "Div-by-0"), " Div/0!"), "")</f>
        <v>[0, 187.24]
2 Div/0!</v>
      </c>
      <c r="BC3" s="732" t="str">
        <f t="shared" si="0"/>
        <v>[0, 25]
6 Div/0!</v>
      </c>
      <c r="BD3" s="732" t="str">
        <f t="shared" si="0"/>
        <v>[0, 26.04]
6 Div/0!</v>
      </c>
      <c r="BE3" s="732" t="str">
        <f>"["&amp;ROUND(MIN(BE$7:BE$526), 2)&amp;", "&amp;ROUND(MAX(BE$7:BE$526), 2)&amp;"]"&amp;IF(COUNTIF(BE$7:BE$526, "Div-by-0") &gt; 0, CONCATENATE(CHAR(10), COUNTIF(BE$7:BE$526, "Div-by-0"), " Div/0!"), "")</f>
        <v>[0, 25]
2 Div/0!</v>
      </c>
      <c r="BF3" s="733" t="e">
        <f t="shared" si="0"/>
        <v>#DIV/0!</v>
      </c>
      <c r="BG3" s="732" t="str">
        <f>"["&amp;ROUND(MIN(BG$7:BG$526), 4)&amp;", "&amp;ROUND(MAX(BG$7:BG$526), 4)&amp;"]"</f>
        <v>[0, 1]</v>
      </c>
      <c r="BH3" s="732" t="str">
        <f>"["&amp;ROUND(MIN(BH$7:BH$526), 4)&amp;", "&amp;ROUND(MAX(BH$7:BH$526), 4)&amp;"]"</f>
        <v>[0, 1]</v>
      </c>
      <c r="BI3" s="732" t="str">
        <f>"["&amp;ROUND(MIN(BI$7:BI$526), 4)&amp;", "&amp;ROUND(MAX(BI$7:BI$526), 4)&amp;"]"</f>
        <v>[0, 1]</v>
      </c>
      <c r="BJ3" s="732" t="str">
        <f t="shared" ref="BJ3:BU3" si="1">"["&amp;ROUND(MIN(BJ$7:BJ$526), 2)&amp;", "&amp;ROUND(MAX(BJ$7:BJ$526), 2)&amp;"]"&amp;IF(COUNTIF(BJ$7:BJ$526, "Div-by-0") &gt; 0, CONCATENATE(CHAR(10), COUNTIF(BJ$7:BJ$526, "Div-by-0"), " Div/0!"), "")</f>
        <v>[0, 1]
2 Div/0!</v>
      </c>
      <c r="BK3" s="732" t="str">
        <f t="shared" si="1"/>
        <v>[0, 24.04]
6 Div/0!</v>
      </c>
      <c r="BL3" s="732" t="str">
        <f t="shared" si="1"/>
        <v>[0, 25]
6 Div/0!</v>
      </c>
      <c r="BM3" s="732" t="str">
        <f t="shared" si="1"/>
        <v>[0.02, 22.02]
8 Div/0!</v>
      </c>
      <c r="BN3" s="732" t="str">
        <f t="shared" si="1"/>
        <v>[0, 601.04]
6 Div/0!</v>
      </c>
      <c r="BO3" s="732" t="str">
        <f t="shared" si="1"/>
        <v>[0, 15001.09]
6 Div/0!</v>
      </c>
      <c r="BP3" s="733" t="e">
        <f t="shared" si="1"/>
        <v>#DIV/0!</v>
      </c>
      <c r="BQ3" s="733" t="e">
        <f t="shared" si="1"/>
        <v>#DIV/0!</v>
      </c>
      <c r="BR3" s="734" t="str">
        <f t="shared" si="1"/>
        <v>[0, 334.62]
4 Div/0!</v>
      </c>
      <c r="BS3" s="733" t="e">
        <f t="shared" si="1"/>
        <v>#DIV/0!</v>
      </c>
      <c r="BT3" s="733" t="e">
        <f t="shared" si="1"/>
        <v>#DIV/0!</v>
      </c>
      <c r="BU3" s="733" t="e">
        <f t="shared" si="1"/>
        <v>#DIV/0!</v>
      </c>
      <c r="BV3" s="732" t="str">
        <f>"["&amp;ROUND(MIN(BV$7:BV$526), 3)&amp;", "&amp;ROUND(MAX(BV$7:BV$526), 3)&amp;"]"&amp;IF(COUNTIF(BV$7:BV$526, "Div-by-0") &gt; 0, CONCATENATE(CHAR(10), COUNTIF(BV$7:BV$526, "Div-by-0"), " Div/0!"), "")</f>
        <v>[0, 1]
2 Div/0!</v>
      </c>
      <c r="BW3" s="732" t="str">
        <f>"["&amp;ROUND(MIN(BW$7:BW$526), 2)&amp;", "&amp;ROUND(MAX(BW$7:BW$526), 2)&amp;"]"&amp;IF(COUNTIF(BW$7:BW$526, "Div-by-0") &gt; 0, CONCATENATE(CHAR(10), COUNTIF(BW$7:BW$526, "Div-by-0"), " Div/0!"), "")</f>
        <v>[0, 1]
2 Div/0!</v>
      </c>
      <c r="BX3" s="732" t="str">
        <f>"["&amp;ROUND(MIN(BX$7:BX$526), 2)&amp;", "&amp;ROUND(MAX(BX$7:BX$526), 2)&amp;"]"&amp;IF(COUNTIF(BX$7:BX$526, "Div-by-0") &gt; 0, CONCATENATE(CHAR(10), COUNTIF(BX$7:BX$526, "Div-by-0"), " Div/0!"), "")</f>
        <v>[-2.59, 17.73]
5 Div/0!</v>
      </c>
    </row>
    <row r="4" spans="1:76" s="590" customFormat="1" ht="16" customHeight="1" x14ac:dyDescent="0.2">
      <c r="A4" s="460"/>
      <c r="B4" s="1171"/>
      <c r="C4" s="593">
        <v>1</v>
      </c>
      <c r="D4" s="593">
        <v>2</v>
      </c>
      <c r="E4" s="593">
        <v>3</v>
      </c>
      <c r="F4" s="593">
        <v>4</v>
      </c>
      <c r="G4" s="593">
        <v>5</v>
      </c>
      <c r="H4" s="593">
        <v>6</v>
      </c>
      <c r="I4" s="593">
        <v>7</v>
      </c>
      <c r="J4" s="593">
        <v>8</v>
      </c>
      <c r="K4" s="593">
        <v>9</v>
      </c>
      <c r="L4" s="593">
        <v>10</v>
      </c>
      <c r="M4" s="593">
        <v>11</v>
      </c>
      <c r="N4" s="593">
        <v>12</v>
      </c>
      <c r="O4" s="593">
        <v>13</v>
      </c>
      <c r="P4" s="593">
        <v>17</v>
      </c>
      <c r="Q4" s="593">
        <v>21</v>
      </c>
      <c r="R4" s="592">
        <v>1</v>
      </c>
      <c r="S4" s="592">
        <v>2</v>
      </c>
      <c r="T4" s="592">
        <v>3</v>
      </c>
      <c r="U4" s="592">
        <v>4</v>
      </c>
      <c r="V4" s="592">
        <v>5</v>
      </c>
      <c r="W4" s="592">
        <v>6</v>
      </c>
      <c r="X4" s="592">
        <v>7</v>
      </c>
      <c r="Y4" s="592">
        <v>8</v>
      </c>
      <c r="Z4" s="592">
        <v>16</v>
      </c>
      <c r="AA4" s="592">
        <v>17</v>
      </c>
      <c r="AB4" s="592">
        <v>19</v>
      </c>
      <c r="AC4" s="592">
        <v>9</v>
      </c>
      <c r="AD4" s="592">
        <v>10</v>
      </c>
      <c r="AE4" s="592">
        <v>21</v>
      </c>
      <c r="AF4" s="592">
        <v>22</v>
      </c>
      <c r="AG4" s="592">
        <v>23</v>
      </c>
      <c r="AH4" s="592">
        <v>23</v>
      </c>
      <c r="AI4" s="592">
        <v>24</v>
      </c>
      <c r="AJ4" s="592">
        <v>13</v>
      </c>
      <c r="AK4" s="592">
        <v>14</v>
      </c>
      <c r="AL4" s="592">
        <v>20</v>
      </c>
      <c r="AM4" s="1172"/>
      <c r="AN4" s="1172"/>
      <c r="AO4" s="1172"/>
      <c r="AP4" s="1172"/>
      <c r="AQ4" s="1172"/>
      <c r="AR4" s="1172"/>
      <c r="AS4" s="1172"/>
      <c r="AT4" s="1173" t="s">
        <v>689</v>
      </c>
      <c r="AU4" s="1173"/>
      <c r="AV4" s="1173"/>
      <c r="AW4" s="611" t="s">
        <v>675</v>
      </c>
      <c r="AX4" s="610" t="s">
        <v>272</v>
      </c>
      <c r="AY4" s="610" t="s">
        <v>433</v>
      </c>
      <c r="AZ4" s="611" t="s">
        <v>736</v>
      </c>
      <c r="BA4" s="701" t="s">
        <v>738</v>
      </c>
      <c r="BB4" s="611" t="s">
        <v>734</v>
      </c>
      <c r="BC4" s="611" t="s">
        <v>739</v>
      </c>
      <c r="BD4" s="611" t="s">
        <v>740</v>
      </c>
      <c r="BE4" s="611" t="s">
        <v>731</v>
      </c>
      <c r="BF4" s="611" t="s">
        <v>741</v>
      </c>
      <c r="BG4" s="610" t="s">
        <v>273</v>
      </c>
      <c r="BH4" s="610" t="s">
        <v>457</v>
      </c>
      <c r="BI4" s="610" t="s">
        <v>436</v>
      </c>
      <c r="BJ4" s="610" t="s">
        <v>737</v>
      </c>
      <c r="BK4" s="700" t="s">
        <v>661</v>
      </c>
      <c r="BL4" s="700" t="s">
        <v>662</v>
      </c>
      <c r="BM4" s="700" t="s">
        <v>663</v>
      </c>
      <c r="BN4" s="701" t="s">
        <v>664</v>
      </c>
      <c r="BO4" s="701" t="s">
        <v>665</v>
      </c>
      <c r="BP4" s="611" t="s">
        <v>676</v>
      </c>
      <c r="BQ4" s="611" t="s">
        <v>677</v>
      </c>
      <c r="BR4" s="610" t="s">
        <v>678</v>
      </c>
      <c r="BS4" s="611" t="s">
        <v>679</v>
      </c>
      <c r="BT4" s="611" t="s">
        <v>680</v>
      </c>
      <c r="BU4" s="611" t="s">
        <v>681</v>
      </c>
      <c r="BV4" s="716" t="s">
        <v>435</v>
      </c>
      <c r="BW4" s="716" t="s">
        <v>437</v>
      </c>
      <c r="BX4" s="612"/>
    </row>
    <row r="5" spans="1:76" ht="18" x14ac:dyDescent="0.25">
      <c r="A5" s="460"/>
      <c r="B5" s="1171"/>
      <c r="C5" s="462" t="str">
        <f>'4.1.BenchMetrics Prob'!Q5</f>
        <v>TP</v>
      </c>
      <c r="D5" s="462" t="str">
        <f>'4.1.BenchMetrics Prob'!R5</f>
        <v>FP</v>
      </c>
      <c r="E5" s="462" t="str">
        <f>'4.1.BenchMetrics Prob'!Q7</f>
        <v>FN</v>
      </c>
      <c r="F5" s="463" t="str">
        <f>'4.1.BenchMetrics Prob'!R7</f>
        <v>TN</v>
      </c>
      <c r="G5" s="464" t="str">
        <f>'4.1.BenchMetrics Prob'!Q3</f>
        <v>P</v>
      </c>
      <c r="H5" s="464" t="str">
        <f>'4.1.BenchMetrics Prob'!R3</f>
        <v>N</v>
      </c>
      <c r="I5" s="464" t="str">
        <f>'4.1.BenchMetrics Prob'!P5</f>
        <v>OP</v>
      </c>
      <c r="J5" s="464" t="str">
        <f>'4.1.BenchMetrics Prob'!P7</f>
        <v>ON</v>
      </c>
      <c r="K5" s="464" t="str">
        <f>'4.1.BenchMetrics Prob'!P3</f>
        <v>TC</v>
      </c>
      <c r="L5" s="464" t="str">
        <f>'4.1.BenchMetrics Prob'!S3</f>
        <v>FC</v>
      </c>
      <c r="M5" s="464" t="str">
        <f>'4.1.BenchMetrics Prob'!P9</f>
        <v>Sn</v>
      </c>
      <c r="N5" s="466" t="str">
        <f>'4.1.BenchMetrics Prob'!Q9</f>
        <v>PREV</v>
      </c>
      <c r="O5" s="466" t="str">
        <f>'4.1.BenchMetrics Prob'!R9</f>
        <v>NER</v>
      </c>
      <c r="P5" s="466" t="str">
        <f>'4.1.BenchMetrics Prob'!S5</f>
        <v>BIAS</v>
      </c>
      <c r="Q5" s="467" t="str">
        <f>'4.1.BenchMetrics Prob'!S9</f>
        <v>DET</v>
      </c>
      <c r="R5" s="468" t="str">
        <f>'4.1.BenchMetrics Prob'!V7</f>
        <v>TPR</v>
      </c>
      <c r="S5" s="468" t="str">
        <f>'4.1.BenchMetrics Prob'!W7</f>
        <v>FPR</v>
      </c>
      <c r="T5" s="468" t="str">
        <f>'4.1.BenchMetrics Prob'!V9</f>
        <v>FNR</v>
      </c>
      <c r="U5" s="468" t="str">
        <f>'4.1.BenchMetrics Prob'!W9</f>
        <v>TNR</v>
      </c>
      <c r="V5" s="468" t="str">
        <f>'4.1.BenchMetrics Prob'!T7</f>
        <v>PPV</v>
      </c>
      <c r="W5" s="468" t="str">
        <f>'4.1.BenchMetrics Prob'!U7</f>
        <v>FDR</v>
      </c>
      <c r="X5" s="468" t="str">
        <f>'4.1.BenchMetrics Prob'!T9</f>
        <v>FOR</v>
      </c>
      <c r="Y5" s="468" t="str">
        <f>'4.1.BenchMetrics Prob'!U9</f>
        <v>NPV</v>
      </c>
      <c r="Z5" s="469" t="str">
        <f>'4.1.BenchMetrics Prob'!V5</f>
        <v>BACC</v>
      </c>
      <c r="AA5" s="469" t="str">
        <f>'4.1.BenchMetrics Prob'!W5</f>
        <v>G</v>
      </c>
      <c r="AB5" s="469" t="str">
        <f>'4.1.BenchMetrics Prob'!W3</f>
        <v>INFORM</v>
      </c>
      <c r="AC5" s="469" t="str">
        <f>'4.1.BenchMetrics Prob'!T5</f>
        <v>ACC</v>
      </c>
      <c r="AD5" s="469" t="str">
        <f>'4.1.BenchMetrics Prob'!U5</f>
        <v>MCR</v>
      </c>
      <c r="AE5" s="469" t="str">
        <f>'4.1.BenchMetrics Prob'!V3</f>
        <v>F1</v>
      </c>
      <c r="AF5" s="469" t="str">
        <f>'4.1.BenchMetrics Prob'!U3</f>
        <v>CK</v>
      </c>
      <c r="AG5" s="470" t="str">
        <f>'4.1.BenchMetrics Prob'!T3</f>
        <v>MCC</v>
      </c>
      <c r="AH5" s="465" t="str">
        <f>'4.1.BenchMetrics Prob'!AB7</f>
        <v>HC</v>
      </c>
      <c r="AI5" s="465" t="str">
        <f>'4.1.BenchMetrics Prob'!AA9</f>
        <v>HO</v>
      </c>
      <c r="AJ5" s="468" t="str">
        <f>'4.1.BenchMetrics Prob'!AA7</f>
        <v>HOC</v>
      </c>
      <c r="AK5" s="468" t="str">
        <f>'4.1.BenchMetrics Prob'!AA5</f>
        <v>MI</v>
      </c>
      <c r="AL5" s="469" t="str">
        <f>'4.1.BenchMetrics Prob'!AB5</f>
        <v>nMI</v>
      </c>
      <c r="AM5" s="471" t="s">
        <v>340</v>
      </c>
      <c r="AN5" s="471" t="s">
        <v>343</v>
      </c>
      <c r="AO5" s="472" t="s">
        <v>341</v>
      </c>
      <c r="AP5" s="473" t="s">
        <v>342</v>
      </c>
      <c r="AQ5" s="472" t="s">
        <v>344</v>
      </c>
      <c r="AR5" s="474" t="s">
        <v>353</v>
      </c>
      <c r="AS5" s="474" t="s">
        <v>346</v>
      </c>
      <c r="AT5" s="1173"/>
      <c r="AU5" s="1173"/>
      <c r="AV5" s="1173"/>
      <c r="AW5" s="696" t="str">
        <f>'4.1.BenchMetrics Prob'!$S$18</f>
        <v>ME</v>
      </c>
      <c r="AX5" s="695" t="str">
        <f>'4.1.BenchMetrics Prob'!$U$18</f>
        <v>MSE</v>
      </c>
      <c r="AY5" s="695" t="str">
        <f>'4.1.BenchMetrics Prob'!$U$16</f>
        <v>RMSE</v>
      </c>
      <c r="AZ5" s="696" t="str">
        <f>'4.1.BenchMetrics Prob'!$P$14</f>
        <v>MdSE</v>
      </c>
      <c r="BA5" s="698" t="str">
        <f>'4.1.BenchMetrics Prob'!$P$16</f>
        <v>SSE</v>
      </c>
      <c r="BB5" s="698" t="s">
        <v>463</v>
      </c>
      <c r="BC5" s="698" t="s">
        <v>464</v>
      </c>
      <c r="BD5" s="698" t="s">
        <v>465</v>
      </c>
      <c r="BE5" s="698" t="s">
        <v>692</v>
      </c>
      <c r="BF5" s="698" t="s">
        <v>466</v>
      </c>
      <c r="BG5" s="695" t="str">
        <f>'4.1.BenchMetrics Prob'!$T$18</f>
        <v>MAE</v>
      </c>
      <c r="BH5" s="696" t="str">
        <f>'4.1.BenchMetrics Prob'!$T$16</f>
        <v>MdAE</v>
      </c>
      <c r="BI5" s="697" t="str">
        <f>'4.1.BenchMetrics Prob'!$S$16</f>
        <v>MxAE</v>
      </c>
      <c r="BJ5" s="696" t="str">
        <f>'4.1.BenchMetrics Prob'!$R$16</f>
        <v>GMAE</v>
      </c>
      <c r="BK5" s="698" t="str">
        <f>'4.1.BenchMetrics Prob'!$V$18</f>
        <v>MRAE</v>
      </c>
      <c r="BL5" s="698" t="str">
        <f>'4.1.BenchMetrics Prob'!$V$16</f>
        <v>MdRAE</v>
      </c>
      <c r="BM5" s="698" t="str">
        <f>'4.1.BenchMetrics Prob'!$V$14</f>
        <v>GMRAE</v>
      </c>
      <c r="BN5" s="698" t="str">
        <f>'4.1.BenchMetrics Prob'!$W$16</f>
        <v>RAE</v>
      </c>
      <c r="BO5" s="698" t="str">
        <f>'4.1.BenchMetrics Prob'!$W$14</f>
        <v>RSE</v>
      </c>
      <c r="BP5" s="696" t="str">
        <f>'4.1.BenchMetrics Prob'!$R$18</f>
        <v>MPE</v>
      </c>
      <c r="BQ5" s="696" t="str">
        <f>'4.1.BenchMetrics Prob'!$W$18</f>
        <v>MAPE(p, c)</v>
      </c>
      <c r="BR5" s="475" t="str">
        <f>'4.1.BenchMetrics Prob'!$Y$18</f>
        <v>MAPE(c, p)</v>
      </c>
      <c r="BS5" s="696" t="str">
        <f>'4.1.BenchMetrics Prob'!$Q$18</f>
        <v>MdAPE</v>
      </c>
      <c r="BT5" s="696" t="str">
        <f>'4.1.BenchMetrics Prob'!$Q$16</f>
        <v>RMSPE</v>
      </c>
      <c r="BU5" s="696" t="str">
        <f>'4.1.BenchMetrics Prob'!$P$18</f>
        <v>RMdSPE</v>
      </c>
      <c r="BV5" s="476" t="str">
        <f>'4.1.BenchMetrics Prob'!$Z$18</f>
        <v>nsMAPE</v>
      </c>
      <c r="BW5" s="476" t="str">
        <f>'4.1.BenchMetrics Prob'!$Z$16</f>
        <v>nsMdAPE</v>
      </c>
      <c r="BX5" s="591" t="str">
        <f>'4.1.BenchMetrics Prob'!$AA$18</f>
        <v>LogLoss</v>
      </c>
    </row>
    <row r="6" spans="1:76" x14ac:dyDescent="0.2">
      <c r="A6" s="477" t="s">
        <v>360</v>
      </c>
      <c r="B6" s="1171"/>
      <c r="C6" s="478">
        <f ca="1">'4.1.BenchMetrics Prob'!Q6</f>
        <v>7</v>
      </c>
      <c r="D6" s="478">
        <f ca="1">'4.1.BenchMetrics Prob'!R6</f>
        <v>5</v>
      </c>
      <c r="E6" s="478">
        <f ca="1">'4.1.BenchMetrics Prob'!Q8</f>
        <v>3</v>
      </c>
      <c r="F6" s="478">
        <f ca="1">'4.1.BenchMetrics Prob'!R8</f>
        <v>5</v>
      </c>
      <c r="G6" s="478">
        <f ca="1">'4.1.BenchMetrics Prob'!Q4</f>
        <v>10</v>
      </c>
      <c r="H6" s="478">
        <f ca="1">'4.1.BenchMetrics Prob'!R4</f>
        <v>10</v>
      </c>
      <c r="I6" s="478">
        <f ca="1">'4.1.BenchMetrics Prob'!$P$6</f>
        <v>12</v>
      </c>
      <c r="J6" s="478">
        <f ca="1">'4.1.BenchMetrics Prob'!$P$8</f>
        <v>8</v>
      </c>
      <c r="K6" s="478">
        <f ca="1">'4.1.BenchMetrics Prob'!$P$4</f>
        <v>12</v>
      </c>
      <c r="L6" s="478">
        <f ca="1">'4.1.BenchMetrics Prob'!$S$4</f>
        <v>8</v>
      </c>
      <c r="M6" s="478">
        <f ca="1">'4.1.BenchMetrics Prob'!$P$10</f>
        <v>20</v>
      </c>
      <c r="N6" s="478">
        <f ca="1">'4.1.BenchMetrics Prob'!Q10</f>
        <v>0.5</v>
      </c>
      <c r="O6" s="478">
        <f ca="1">'4.1.BenchMetrics Prob'!R10</f>
        <v>0.5</v>
      </c>
      <c r="P6" s="479">
        <f ca="1">'4.1.BenchMetrics Prob'!S6</f>
        <v>0.6</v>
      </c>
      <c r="Q6" s="478">
        <f ca="1">'4.1.BenchMetrics Prob'!S10</f>
        <v>20</v>
      </c>
      <c r="R6" s="478">
        <f ca="1">'4.1.BenchMetrics Prob'!V8</f>
        <v>0.7</v>
      </c>
      <c r="S6" s="478">
        <f ca="1">'4.1.BenchMetrics Prob'!W8</f>
        <v>0.5</v>
      </c>
      <c r="T6" s="478">
        <f ca="1">'4.1.BenchMetrics Prob'!V10</f>
        <v>0.3</v>
      </c>
      <c r="U6" s="478">
        <f ca="1">'4.1.BenchMetrics Prob'!W10</f>
        <v>0.5</v>
      </c>
      <c r="V6" s="478">
        <f ca="1">'4.1.BenchMetrics Prob'!T8</f>
        <v>0.58333333333333337</v>
      </c>
      <c r="W6" s="478">
        <f ca="1">'4.1.BenchMetrics Prob'!U8</f>
        <v>0.41666666666666669</v>
      </c>
      <c r="X6" s="478">
        <f ca="1">'4.1.BenchMetrics Prob'!T10</f>
        <v>0.375</v>
      </c>
      <c r="Y6" s="478">
        <f ca="1">'4.1.BenchMetrics Prob'!U10</f>
        <v>0.625</v>
      </c>
      <c r="Z6" s="478">
        <f ca="1">'4.1.BenchMetrics Prob'!V6</f>
        <v>0.6</v>
      </c>
      <c r="AA6" s="478">
        <f ca="1">'4.1.BenchMetrics Prob'!W6</f>
        <v>0.59160797830996159</v>
      </c>
      <c r="AB6" s="478">
        <f ca="1">'4.1.BenchMetrics Prob'!W4</f>
        <v>0.19999999999999996</v>
      </c>
      <c r="AC6" s="478">
        <f ca="1">'4.1.BenchMetrics Prob'!T6</f>
        <v>0.6</v>
      </c>
      <c r="AD6" s="478">
        <f ca="1">'4.1.BenchMetrics Prob'!U6</f>
        <v>0.4</v>
      </c>
      <c r="AE6" s="478">
        <f ca="1">'4.1.BenchMetrics Prob'!V4</f>
        <v>0.63636363636363646</v>
      </c>
      <c r="AF6" s="658">
        <f ca="1">'4.1.BenchMetrics Prob'!U4</f>
        <v>0.2</v>
      </c>
      <c r="AG6" s="478">
        <f ca="1">'4.1.BenchMetrics Prob'!T4</f>
        <v>0.20412414523193151</v>
      </c>
      <c r="AH6" s="658">
        <f ca="1">'4.1.BenchMetrics Prob'!AB8</f>
        <v>1</v>
      </c>
      <c r="AI6" s="658">
        <f ca="1">'4.1.BenchMetrics Prob'!AA10</f>
        <v>0.97095059445466858</v>
      </c>
      <c r="AJ6" s="478">
        <f ca="1">'4.1.BenchMetrics Prob'!AA8</f>
        <v>1.9406454496153465</v>
      </c>
      <c r="AK6" s="478">
        <f ca="1">'4.1.BenchMetrics Prob'!AA6</f>
        <v>3.0305144839322347E-2</v>
      </c>
      <c r="AL6" s="478">
        <f ca="1">'4.1.BenchMetrics Prob'!AB6</f>
        <v>3.0751805676496227E-2</v>
      </c>
      <c r="AM6" s="478">
        <f>'4.1.BenchMetrics Prob'!$C$8</f>
        <v>0</v>
      </c>
      <c r="AN6" s="478">
        <f>'4.1.BenchMetrics Prob'!$C$10</f>
        <v>1</v>
      </c>
      <c r="AO6" s="478">
        <f>'4.1.BenchMetrics Prob'!$I$8</f>
        <v>0</v>
      </c>
      <c r="AP6" s="478">
        <f>'4.1.BenchMetrics Prob'!$I$9</f>
        <v>0.5</v>
      </c>
      <c r="AQ6" s="478">
        <f>'4.1.BenchMetrics Prob'!$I$10</f>
        <v>1</v>
      </c>
      <c r="AR6" s="480" t="str">
        <f>'4.1.BenchMetrics Prob'!$B$16</f>
        <v>Random</v>
      </c>
      <c r="AS6" s="481" t="str">
        <f>'4.1.BenchMetrics Prob'!$H$16</f>
        <v>Random</v>
      </c>
      <c r="AT6" s="736" t="e">
        <f ca="1">COUNTIF(INDIRECT("'4.1.error-loss inst. calculator'!P"&amp;Start_i&amp;":"&amp;"P"&amp;End_i),INDIRECT("'4.1.error-loss inst. calculator'!P"&amp;Start_i))&amp;" / "&amp;End_i-Start_i+1&amp;" "&amp;INDIRECT("'4.1.error-loss inst. Calculator'!P"&amp;Start_i)</f>
        <v>#REF!</v>
      </c>
      <c r="AU6" s="736" t="e">
        <f ca="1">COUNTIF(INDIRECT("'4.1.error-loss inst. calculator'!Q"&amp;Start_i&amp;":"&amp;"Q"&amp;End_i),INDIRECT("'4.1.error-loss inst. calculator'!Q"&amp;Start_i))&amp;" / "&amp;End_i-Start_i+1&amp;" "&amp;INDIRECT("'4.1.error-loss inst. calculator'!Q"&amp;Start_i)</f>
        <v>#REF!</v>
      </c>
      <c r="AV6" s="736" t="e">
        <f ca="1">COUNTIF(INDIRECT("'4.1.error-loss inst. calculator'!R"&amp;Start_i&amp;":"&amp;"R"&amp;End_i),INDIRECT("'4.1.error-loss inst. calculator'!R"&amp;Start_i))&amp;" / "&amp;End_i-Start_i+1&amp;" "&amp;INDIRECT("'4.1.error-loss inst. calculator'!R"&amp;Start_i)</f>
        <v>#REF!</v>
      </c>
      <c r="AW6" s="482">
        <f ca="1">'4.1.BenchMetrics Prob'!$S$19</f>
        <v>5.1925627245497222E-2</v>
      </c>
      <c r="AX6" s="482">
        <f ca="1">'4.1.BenchMetrics Prob'!$U$19</f>
        <v>0.28607544870989277</v>
      </c>
      <c r="AY6" s="482">
        <f ca="1">'4.1.BenchMetrics Prob'!$U$17</f>
        <v>0.53486021417739871</v>
      </c>
      <c r="AZ6" s="482">
        <f ca="1">'4.1.BenchMetrics Prob'!$P$15</f>
        <v>0.1614832050297233</v>
      </c>
      <c r="BA6" s="482">
        <f ca="1">'4.1.BenchMetrics Prob'!$P$17</f>
        <v>5.7215089741978558</v>
      </c>
      <c r="BB6" s="482">
        <f ca="1">'4.1.BenchMetrics Prob'!$U$15</f>
        <v>1.0366449194889298</v>
      </c>
      <c r="BC6" s="482">
        <f ca="1">'4.1.BenchMetrics Prob'!$T$15</f>
        <v>1.0870867050975925</v>
      </c>
      <c r="BD6" s="482">
        <f ca="1">'4.1.BenchMetrics Prob'!$S$15</f>
        <v>1.1443017948395711</v>
      </c>
      <c r="BE6" s="482">
        <f ca="1">'4.1.BenchMetrics Prob'!$R$15</f>
        <v>0.57215089741978553</v>
      </c>
      <c r="BF6" s="482" t="e">
        <f ca="1">'4.1.BenchMetrics Prob'!$Q$15</f>
        <v>#DIV/0!</v>
      </c>
      <c r="BG6" s="482">
        <f ca="1">'4.1.BenchMetrics Prob'!$T$19</f>
        <v>0.47903150399186945</v>
      </c>
      <c r="BH6" s="482">
        <f ca="1">'4.1.BenchMetrics Prob'!$T$17</f>
        <v>0.40168757298224644</v>
      </c>
      <c r="BI6" s="482">
        <f ca="1">'4.1.BenchMetrics Prob'!$S$17</f>
        <v>0.92401720590759995</v>
      </c>
      <c r="BJ6" s="482">
        <f ca="1">'4.1.BenchMetrics Prob'!$R$17</f>
        <v>0.42149835545835518</v>
      </c>
      <c r="BK6" s="482">
        <f ca="1">'4.1.BenchMetrics Prob'!$V$19</f>
        <v>0.95806300798373889</v>
      </c>
      <c r="BL6" s="482">
        <f ca="1">'4.1.BenchMetrics Prob'!$V$17</f>
        <v>0.80337514596449289</v>
      </c>
      <c r="BM6" s="482">
        <f ca="1">'4.1.BenchMetrics Prob'!$V$15</f>
        <v>0.84299671091671036</v>
      </c>
      <c r="BN6" s="482">
        <f ca="1">'4.1.BenchMetrics Prob'!$W$17</f>
        <v>19.161260159674779</v>
      </c>
      <c r="BO6" s="482">
        <f ca="1">'4.1.BenchMetrics Prob'!$W$15</f>
        <v>22.886035896791423</v>
      </c>
      <c r="BP6" s="482" t="e">
        <f ca="1">'4.1.BenchMetrics Prob'!$R$19</f>
        <v>#DIV/0!</v>
      </c>
      <c r="BQ6" s="482" t="e">
        <f ca="1">'4.1.BenchMetrics Prob'!$W$19</f>
        <v>#DIV/0!</v>
      </c>
      <c r="BR6" s="618">
        <f ca="1">'4.1.BenchMetrics Prob'!$Y$19</f>
        <v>1.6132308563611129</v>
      </c>
      <c r="BS6" s="482" t="e">
        <f ca="1">'4.1.BenchMetrics Prob'!$Q$19</f>
        <v>#DIV/0!</v>
      </c>
      <c r="BT6" s="482" t="e">
        <f ca="1">'4.1.BenchMetrics Prob'!$Q$17</f>
        <v>#DIV/0!</v>
      </c>
      <c r="BU6" s="482" t="e">
        <f ca="1">'4.1.BenchMetrics Prob'!$P$19</f>
        <v>#DIV/0!</v>
      </c>
      <c r="BV6" s="482">
        <f ca="1">'4.1.BenchMetrics Prob'!$Z$19</f>
        <v>0.65714069896793803</v>
      </c>
      <c r="BW6" s="482">
        <f ca="1">'4.1.BenchMetrics Prob'!$Z$17</f>
        <v>0.92938289114883843</v>
      </c>
      <c r="BX6" s="482">
        <f ca="1">'4.1.BenchMetrics Prob'!$AA$19</f>
        <v>1.0655755349763747</v>
      </c>
    </row>
    <row r="7" spans="1:76" x14ac:dyDescent="0.2">
      <c r="A7" s="461">
        <v>1</v>
      </c>
      <c r="B7" s="483"/>
      <c r="C7" s="461">
        <v>0</v>
      </c>
      <c r="D7" s="461">
        <v>20</v>
      </c>
      <c r="E7" s="461">
        <v>0</v>
      </c>
      <c r="F7" s="461">
        <v>0</v>
      </c>
      <c r="G7" s="461">
        <v>0</v>
      </c>
      <c r="H7" s="461">
        <v>20</v>
      </c>
      <c r="I7" s="461">
        <v>20</v>
      </c>
      <c r="J7" s="461">
        <v>0</v>
      </c>
      <c r="K7" s="461">
        <v>0</v>
      </c>
      <c r="L7" s="461">
        <v>20</v>
      </c>
      <c r="M7" s="461">
        <v>20</v>
      </c>
      <c r="N7" s="461">
        <v>0</v>
      </c>
      <c r="O7" s="461">
        <v>1</v>
      </c>
      <c r="P7" s="484">
        <v>1</v>
      </c>
      <c r="Q7" s="461">
        <v>0</v>
      </c>
      <c r="R7" s="461" t="e">
        <v>#DIV/0!</v>
      </c>
      <c r="S7" s="461">
        <v>1</v>
      </c>
      <c r="T7" s="461" t="e">
        <v>#DIV/0!</v>
      </c>
      <c r="U7" s="461">
        <v>0</v>
      </c>
      <c r="V7" s="461">
        <v>0</v>
      </c>
      <c r="W7" s="461">
        <v>1</v>
      </c>
      <c r="X7" s="461" t="e">
        <v>#DIV/0!</v>
      </c>
      <c r="Y7" s="461" t="e">
        <v>#DIV/0!</v>
      </c>
      <c r="Z7" s="461" t="e">
        <v>#DIV/0!</v>
      </c>
      <c r="AA7" s="461" t="e">
        <v>#DIV/0!</v>
      </c>
      <c r="AB7" s="461" t="e">
        <v>#DIV/0!</v>
      </c>
      <c r="AC7" s="461">
        <v>0</v>
      </c>
      <c r="AD7" s="461">
        <v>1</v>
      </c>
      <c r="AE7" s="461" t="e">
        <v>#DIV/0!</v>
      </c>
      <c r="AF7" s="488">
        <v>0</v>
      </c>
      <c r="AG7" s="461" t="e">
        <v>#DIV/0!</v>
      </c>
      <c r="AH7" s="488" t="e">
        <v>#NUM!</v>
      </c>
      <c r="AI7" s="488" t="e">
        <v>#NUM!</v>
      </c>
      <c r="AJ7" s="461" t="e">
        <v>#NUM!</v>
      </c>
      <c r="AK7" s="461" t="e">
        <v>#DIV/0!</v>
      </c>
      <c r="AL7" s="461" t="e">
        <v>#DIV/0!</v>
      </c>
      <c r="AM7" s="461">
        <v>1</v>
      </c>
      <c r="AN7" s="461">
        <v>2</v>
      </c>
      <c r="AO7" s="461">
        <v>1.5</v>
      </c>
      <c r="AP7" s="461">
        <v>1.5</v>
      </c>
      <c r="AQ7" s="461">
        <v>2</v>
      </c>
      <c r="AR7" s="485" t="s">
        <v>347</v>
      </c>
      <c r="AS7" s="485" t="s">
        <v>349</v>
      </c>
      <c r="AT7" s="699" t="s">
        <v>477</v>
      </c>
      <c r="AU7" s="699" t="s">
        <v>478</v>
      </c>
      <c r="AV7" s="699" t="s">
        <v>479</v>
      </c>
      <c r="AW7" s="486">
        <v>0.73707056281883521</v>
      </c>
      <c r="AX7" s="486">
        <v>0.5646612327892182</v>
      </c>
      <c r="AY7" s="486">
        <v>0.75143944053344591</v>
      </c>
      <c r="AZ7" s="486">
        <v>0.54828831392236721</v>
      </c>
      <c r="BA7" s="486">
        <v>11.293224655784364</v>
      </c>
      <c r="BB7" s="486">
        <v>0.32506522468086324</v>
      </c>
      <c r="BC7" s="661"/>
      <c r="BD7" s="661"/>
      <c r="BE7" s="486">
        <v>0.5646612327892182</v>
      </c>
      <c r="BF7" s="486">
        <v>0.20005107317822785</v>
      </c>
      <c r="BG7" s="486">
        <v>0.73707056281883521</v>
      </c>
      <c r="BH7" s="486">
        <v>0.73811591030589763</v>
      </c>
      <c r="BI7" s="486">
        <v>0.96545055228827059</v>
      </c>
      <c r="BJ7" s="486">
        <v>0.72235210271006556</v>
      </c>
      <c r="BK7" s="661"/>
      <c r="BL7" s="661"/>
      <c r="BM7" s="661"/>
      <c r="BN7" s="661"/>
      <c r="BO7" s="661"/>
      <c r="BP7" s="486">
        <v>0.73707056281883521</v>
      </c>
      <c r="BQ7" s="486">
        <v>0.73707056281883521</v>
      </c>
      <c r="BR7" s="619">
        <v>0.42020827172022124</v>
      </c>
      <c r="BS7" s="486">
        <v>0.73811591030589763</v>
      </c>
      <c r="BT7" s="486">
        <v>0.75143944053344591</v>
      </c>
      <c r="BU7" s="486">
        <v>0.74046493092000465</v>
      </c>
      <c r="BV7" s="486">
        <v>0.26720124003128737</v>
      </c>
      <c r="BW7" s="482">
        <v>0.27432955677377252</v>
      </c>
      <c r="BX7" s="486">
        <v>-2.3745835083265461</v>
      </c>
    </row>
    <row r="8" spans="1:76" x14ac:dyDescent="0.2">
      <c r="A8" s="461">
        <v>2</v>
      </c>
      <c r="AF8" s="488"/>
      <c r="AH8" s="488"/>
      <c r="AI8" s="488"/>
      <c r="AW8" s="486">
        <v>0.76000293865077351</v>
      </c>
      <c r="AX8" s="486">
        <v>0.60149658781436455</v>
      </c>
      <c r="AY8" s="486">
        <v>0.77556211086821703</v>
      </c>
      <c r="AZ8" s="486">
        <v>0.57856757098639289</v>
      </c>
      <c r="BA8" s="486">
        <v>12.02993175628729</v>
      </c>
      <c r="BB8" s="486">
        <v>0.34175885426388813</v>
      </c>
      <c r="BC8" s="661"/>
      <c r="BD8" s="661"/>
      <c r="BE8" s="486">
        <v>0.60149658781436455</v>
      </c>
      <c r="BF8" s="486">
        <v>0.22429345235730827</v>
      </c>
      <c r="BG8" s="486">
        <v>0.76000293865077351</v>
      </c>
      <c r="BH8" s="486">
        <v>0.76051194526719057</v>
      </c>
      <c r="BI8" s="486">
        <v>0.98489382494694699</v>
      </c>
      <c r="BJ8" s="486">
        <v>0.74365887650680718</v>
      </c>
      <c r="BK8" s="661"/>
      <c r="BL8" s="661"/>
      <c r="BM8" s="661"/>
      <c r="BN8" s="661"/>
      <c r="BO8" s="661"/>
      <c r="BP8" s="486">
        <v>0.76000293865077351</v>
      </c>
      <c r="BQ8" s="486">
        <v>0.76000293865077351</v>
      </c>
      <c r="BR8" s="619">
        <v>0.42734230647222082</v>
      </c>
      <c r="BS8" s="486">
        <v>0.76051194526719057</v>
      </c>
      <c r="BT8" s="486">
        <v>0.77556211086821703</v>
      </c>
      <c r="BU8" s="486">
        <v>0.76063629349801132</v>
      </c>
      <c r="BV8" s="486">
        <v>0.27306654038102574</v>
      </c>
      <c r="BW8" s="486">
        <v>0.26804861310436207</v>
      </c>
      <c r="BX8" s="486">
        <v>-2.4298417567402675</v>
      </c>
    </row>
    <row r="9" spans="1:76" x14ac:dyDescent="0.2">
      <c r="A9" s="461">
        <v>3</v>
      </c>
      <c r="AF9" s="488"/>
      <c r="AH9" s="488"/>
      <c r="AI9" s="488"/>
      <c r="AW9" s="482">
        <v>0.7187894104015673</v>
      </c>
      <c r="AX9" s="482">
        <v>0.53801675167201002</v>
      </c>
      <c r="AY9" s="482">
        <v>0.7334962519822511</v>
      </c>
      <c r="AZ9" s="482">
        <v>0.4975649883044545</v>
      </c>
      <c r="BA9" s="482">
        <v>10.760335033440201</v>
      </c>
      <c r="BB9" s="482">
        <v>0.31302075077732244</v>
      </c>
      <c r="BC9" s="662"/>
      <c r="BD9" s="662"/>
      <c r="BE9" s="482">
        <v>0.53801675167201002</v>
      </c>
      <c r="BF9" s="482">
        <v>0.18496436436915281</v>
      </c>
      <c r="BG9" s="482">
        <v>0.7187894104015673</v>
      </c>
      <c r="BH9" s="482">
        <v>0.70524565632451708</v>
      </c>
      <c r="BI9" s="482">
        <v>0.97988607816795614</v>
      </c>
      <c r="BJ9" s="482">
        <v>0.70399826373029095</v>
      </c>
      <c r="BK9" s="662"/>
      <c r="BL9" s="662"/>
      <c r="BM9" s="662"/>
      <c r="BN9" s="662"/>
      <c r="BO9" s="662"/>
      <c r="BP9" s="482">
        <v>0.7187894104015673</v>
      </c>
      <c r="BQ9" s="482">
        <v>0.7187894104015673</v>
      </c>
      <c r="BR9" s="618">
        <v>0.41401993241921503</v>
      </c>
      <c r="BS9" s="482">
        <v>0.70524565632451708</v>
      </c>
      <c r="BT9" s="482">
        <v>0.7334962519822511</v>
      </c>
      <c r="BU9" s="482">
        <v>0.70538286646647042</v>
      </c>
      <c r="BV9" s="482">
        <v>0.26226967679472812</v>
      </c>
      <c r="BW9" s="482">
        <v>0.26072421227622722</v>
      </c>
      <c r="BX9" s="482">
        <v>-2.3286459818302845</v>
      </c>
    </row>
    <row r="10" spans="1:76" x14ac:dyDescent="0.2">
      <c r="A10" s="487">
        <v>4</v>
      </c>
      <c r="B10" s="487"/>
      <c r="AF10" s="488"/>
      <c r="AH10" s="488"/>
      <c r="AI10" s="488"/>
      <c r="AW10" s="486">
        <v>0.77879781943204551</v>
      </c>
      <c r="AX10" s="486">
        <v>0.61923051349497482</v>
      </c>
      <c r="AY10" s="486">
        <v>0.78691201127888166</v>
      </c>
      <c r="AZ10" s="486">
        <v>0.6063788253605511</v>
      </c>
      <c r="BA10" s="486">
        <v>12.384610269899497</v>
      </c>
      <c r="BB10" s="486">
        <v>0.34811742331272344</v>
      </c>
      <c r="BC10" s="661"/>
      <c r="BD10" s="661"/>
      <c r="BE10" s="486">
        <v>0.61923051349497482</v>
      </c>
      <c r="BF10" s="486">
        <v>0.22598855665298614</v>
      </c>
      <c r="BG10" s="486">
        <v>0.77879781943204551</v>
      </c>
      <c r="BH10" s="486">
        <v>0.77867007538900823</v>
      </c>
      <c r="BI10" s="486">
        <v>0.98406866939634052</v>
      </c>
      <c r="BJ10" s="486">
        <v>0.77046766318551152</v>
      </c>
      <c r="BK10" s="661"/>
      <c r="BL10" s="661"/>
      <c r="BM10" s="661"/>
      <c r="BN10" s="661"/>
      <c r="BO10" s="661"/>
      <c r="BP10" s="486">
        <v>0.77879781943204551</v>
      </c>
      <c r="BQ10" s="486">
        <v>0.77879781943204551</v>
      </c>
      <c r="BR10" s="619">
        <v>0.43553912547922619</v>
      </c>
      <c r="BS10" s="486">
        <v>0.77867007538900823</v>
      </c>
      <c r="BT10" s="486">
        <v>0.78691201127888166</v>
      </c>
      <c r="BU10" s="486">
        <v>0.7787032973864636</v>
      </c>
      <c r="BV10" s="486">
        <v>0.27907350743402326</v>
      </c>
      <c r="BW10" s="486">
        <v>0.27939953533035566</v>
      </c>
      <c r="BX10" s="486">
        <v>-2.4839629798331986</v>
      </c>
    </row>
    <row r="11" spans="1:76" x14ac:dyDescent="0.2">
      <c r="A11" s="461">
        <v>5</v>
      </c>
      <c r="AF11" s="488"/>
      <c r="AH11" s="488"/>
      <c r="AI11" s="488"/>
      <c r="AW11" s="486">
        <v>0.80056274876104183</v>
      </c>
      <c r="AX11" s="486">
        <v>0.66317934403904277</v>
      </c>
      <c r="AY11" s="486">
        <v>0.81435824060363182</v>
      </c>
      <c r="AZ11" s="486">
        <v>0.69262254871788742</v>
      </c>
      <c r="BA11" s="486">
        <v>13.263586880780855</v>
      </c>
      <c r="BB11" s="486">
        <v>0.36831781869050279</v>
      </c>
      <c r="BC11" s="661"/>
      <c r="BD11" s="661"/>
      <c r="BE11" s="486">
        <v>0.66317934403904277</v>
      </c>
      <c r="BF11" s="486">
        <v>0.2611723578785885</v>
      </c>
      <c r="BG11" s="486">
        <v>0.80056274876104183</v>
      </c>
      <c r="BH11" s="486">
        <v>0.83215462362689296</v>
      </c>
      <c r="BI11" s="486">
        <v>0.99529757439126509</v>
      </c>
      <c r="BJ11" s="486">
        <v>0.78487361369816866</v>
      </c>
      <c r="BK11" s="661"/>
      <c r="BL11" s="661"/>
      <c r="BM11" s="661"/>
      <c r="BN11" s="661"/>
      <c r="BO11" s="661"/>
      <c r="BP11" s="486">
        <v>0.80056274876104183</v>
      </c>
      <c r="BQ11" s="486">
        <v>0.80056274876104183</v>
      </c>
      <c r="BR11" s="619">
        <v>0.44051377499991612</v>
      </c>
      <c r="BS11" s="486">
        <v>0.83215462362689296</v>
      </c>
      <c r="BT11" s="486">
        <v>0.81435824060363182</v>
      </c>
      <c r="BU11" s="486">
        <v>0.8322394779856862</v>
      </c>
      <c r="BV11" s="486">
        <v>0.28374025063632924</v>
      </c>
      <c r="BW11" s="486">
        <v>0.28806005566100401</v>
      </c>
      <c r="BX11" s="486">
        <v>-2.5297744603230661</v>
      </c>
    </row>
    <row r="12" spans="1:76" x14ac:dyDescent="0.2">
      <c r="A12" s="461">
        <v>6</v>
      </c>
      <c r="AF12" s="488"/>
      <c r="AH12" s="488"/>
      <c r="AI12" s="488"/>
      <c r="AW12" s="486">
        <v>0.73085642292928032</v>
      </c>
      <c r="AX12" s="486">
        <v>0.55557756035962591</v>
      </c>
      <c r="AY12" s="486">
        <v>0.7453707536250842</v>
      </c>
      <c r="AZ12" s="486">
        <v>0.50696810168026574</v>
      </c>
      <c r="BA12" s="486">
        <v>11.111551207192518</v>
      </c>
      <c r="BB12" s="486">
        <v>0.3209841977645802</v>
      </c>
      <c r="BC12" s="661"/>
      <c r="BD12" s="661"/>
      <c r="BE12" s="486">
        <v>0.55557756035962591</v>
      </c>
      <c r="BF12" s="486">
        <v>0.19535862712362112</v>
      </c>
      <c r="BG12" s="486">
        <v>0.73085642292928032</v>
      </c>
      <c r="BH12" s="486">
        <v>0.71194662494230754</v>
      </c>
      <c r="BI12" s="486">
        <v>0.97947453351004121</v>
      </c>
      <c r="BJ12" s="486">
        <v>0.71631179324627936</v>
      </c>
      <c r="BK12" s="661"/>
      <c r="BL12" s="661"/>
      <c r="BM12" s="661"/>
      <c r="BN12" s="661"/>
      <c r="BO12" s="661"/>
      <c r="BP12" s="486">
        <v>0.73085642292928032</v>
      </c>
      <c r="BQ12" s="486">
        <v>0.73085642292928032</v>
      </c>
      <c r="BR12" s="619">
        <v>0.41815818875191868</v>
      </c>
      <c r="BS12" s="486">
        <v>0.71194662494230754</v>
      </c>
      <c r="BT12" s="486">
        <v>0.7453707536250842</v>
      </c>
      <c r="BU12" s="486">
        <v>0.71201692513609938</v>
      </c>
      <c r="BV12" s="486">
        <v>0.26554415603523085</v>
      </c>
      <c r="BW12" s="486">
        <v>0.27818282656207138</v>
      </c>
      <c r="BX12" s="486">
        <v>-2.3591138522680946</v>
      </c>
    </row>
    <row r="13" spans="1:76" x14ac:dyDescent="0.2">
      <c r="A13" s="461">
        <v>7</v>
      </c>
      <c r="AF13" s="488"/>
      <c r="AH13" s="488"/>
      <c r="AI13" s="488"/>
      <c r="AW13" s="486">
        <v>0.73668597234785926</v>
      </c>
      <c r="AX13" s="486">
        <v>0.56350805402885107</v>
      </c>
      <c r="AY13" s="486">
        <v>0.75067173520044772</v>
      </c>
      <c r="AZ13" s="486">
        <v>0.52195244748948721</v>
      </c>
      <c r="BA13" s="486">
        <v>11.270161080577022</v>
      </c>
      <c r="BB13" s="486">
        <v>0.32447319953130832</v>
      </c>
      <c r="BC13" s="661"/>
      <c r="BD13" s="661"/>
      <c r="BE13" s="486">
        <v>0.56350805402885107</v>
      </c>
      <c r="BF13" s="486">
        <v>0.19945333198168474</v>
      </c>
      <c r="BG13" s="486">
        <v>0.73668597234785926</v>
      </c>
      <c r="BH13" s="486">
        <v>0.72244818686750456</v>
      </c>
      <c r="BI13" s="486">
        <v>0.97497291537511988</v>
      </c>
      <c r="BJ13" s="486">
        <v>0.72271242688039594</v>
      </c>
      <c r="BK13" s="661"/>
      <c r="BL13" s="661"/>
      <c r="BM13" s="661"/>
      <c r="BN13" s="661"/>
      <c r="BO13" s="661"/>
      <c r="BP13" s="486">
        <v>0.73668597234785926</v>
      </c>
      <c r="BQ13" s="486">
        <v>0.73668597234785926</v>
      </c>
      <c r="BR13" s="619">
        <v>0.42025629506128059</v>
      </c>
      <c r="BS13" s="486">
        <v>0.72244818686750456</v>
      </c>
      <c r="BT13" s="486">
        <v>0.75067173520044772</v>
      </c>
      <c r="BU13" s="486">
        <v>0.72246276546925736</v>
      </c>
      <c r="BV13" s="486">
        <v>0.26717662538913911</v>
      </c>
      <c r="BW13" s="486">
        <v>0.2660551342368892</v>
      </c>
      <c r="BX13" s="486">
        <v>-2.374206428449027</v>
      </c>
    </row>
    <row r="14" spans="1:76" x14ac:dyDescent="0.2">
      <c r="A14" s="487">
        <v>8</v>
      </c>
      <c r="AF14" s="488"/>
      <c r="AH14" s="488"/>
      <c r="AI14" s="488"/>
      <c r="AW14" s="486">
        <v>0.73835602440660186</v>
      </c>
      <c r="AX14" s="486">
        <v>0.57327853827475983</v>
      </c>
      <c r="AY14" s="486">
        <v>0.75715159530622389</v>
      </c>
      <c r="AZ14" s="486">
        <v>0.52854696875082596</v>
      </c>
      <c r="BA14" s="486">
        <v>11.465570765495196</v>
      </c>
      <c r="BB14" s="486">
        <v>0.32978200680752484</v>
      </c>
      <c r="BC14" s="661"/>
      <c r="BD14" s="661"/>
      <c r="BE14" s="486">
        <v>0.57327853827475983</v>
      </c>
      <c r="BF14" s="486">
        <v>0.21127317646701918</v>
      </c>
      <c r="BG14" s="486">
        <v>0.73835602440660186</v>
      </c>
      <c r="BH14" s="486">
        <v>0.72700948428087686</v>
      </c>
      <c r="BI14" s="486">
        <v>0.99926220318658032</v>
      </c>
      <c r="BJ14" s="486">
        <v>0.71921323913685609</v>
      </c>
      <c r="BK14" s="661"/>
      <c r="BL14" s="661"/>
      <c r="BM14" s="661"/>
      <c r="BN14" s="661"/>
      <c r="BO14" s="661"/>
      <c r="BP14" s="486">
        <v>0.73835602440660186</v>
      </c>
      <c r="BQ14" s="486">
        <v>0.73835602440660186</v>
      </c>
      <c r="BR14" s="619">
        <v>0.41939592902656875</v>
      </c>
      <c r="BS14" s="486">
        <v>0.72700948428087686</v>
      </c>
      <c r="BT14" s="486">
        <v>0.75715159530622389</v>
      </c>
      <c r="BU14" s="486">
        <v>0.72701235804546405</v>
      </c>
      <c r="BV14" s="486">
        <v>0.2669079344579795</v>
      </c>
      <c r="BW14" s="486">
        <v>0.27668906541625887</v>
      </c>
      <c r="BX14" s="486">
        <v>-2.3731016637396305</v>
      </c>
    </row>
    <row r="15" spans="1:76" x14ac:dyDescent="0.2">
      <c r="A15" s="461">
        <v>9</v>
      </c>
      <c r="AF15" s="488"/>
      <c r="AH15" s="488"/>
      <c r="AI15" s="488"/>
      <c r="AW15" s="486">
        <v>0.75418687313477917</v>
      </c>
      <c r="AX15" s="486">
        <v>0.5949879881511867</v>
      </c>
      <c r="AY15" s="486">
        <v>0.77135464486265115</v>
      </c>
      <c r="AZ15" s="486">
        <v>0.65740613974278461</v>
      </c>
      <c r="BA15" s="486">
        <v>11.899759763023734</v>
      </c>
      <c r="BB15" s="486">
        <v>0.33918164436376569</v>
      </c>
      <c r="BC15" s="661"/>
      <c r="BD15" s="661"/>
      <c r="BE15" s="486">
        <v>0.5949879881511867</v>
      </c>
      <c r="BF15" s="486">
        <v>0.22219882672322294</v>
      </c>
      <c r="BG15" s="486">
        <v>0.75418687313477917</v>
      </c>
      <c r="BH15" s="486">
        <v>0.81073686440116044</v>
      </c>
      <c r="BI15" s="486">
        <v>0.9958667327942905</v>
      </c>
      <c r="BJ15" s="486">
        <v>0.73629002274066457</v>
      </c>
      <c r="BK15" s="661"/>
      <c r="BL15" s="661"/>
      <c r="BM15" s="661"/>
      <c r="BN15" s="661"/>
      <c r="BO15" s="661"/>
      <c r="BP15" s="486">
        <v>0.75418687313477917</v>
      </c>
      <c r="BQ15" s="486">
        <v>0.75418687313477917</v>
      </c>
      <c r="BR15" s="619">
        <v>0.42499776237237336</v>
      </c>
      <c r="BS15" s="486">
        <v>0.81073686440116044</v>
      </c>
      <c r="BT15" s="486">
        <v>0.77135464486265115</v>
      </c>
      <c r="BU15" s="486">
        <v>0.81080585823166362</v>
      </c>
      <c r="BV15" s="486">
        <v>0.27130481473709334</v>
      </c>
      <c r="BW15" s="486">
        <v>0.27857947189718946</v>
      </c>
      <c r="BX15" s="486">
        <v>-2.4138109747846297</v>
      </c>
    </row>
    <row r="16" spans="1:76" x14ac:dyDescent="0.2">
      <c r="A16" s="461">
        <v>10</v>
      </c>
      <c r="AF16" s="488"/>
      <c r="AH16" s="488"/>
      <c r="AI16" s="488"/>
      <c r="AW16" s="486">
        <v>0.75022337976797426</v>
      </c>
      <c r="AX16" s="486">
        <v>0.58272144487388911</v>
      </c>
      <c r="AY16" s="486">
        <v>0.76336193569884603</v>
      </c>
      <c r="AZ16" s="486">
        <v>0.53927462749324462</v>
      </c>
      <c r="BA16" s="486">
        <v>11.654428897477782</v>
      </c>
      <c r="BB16" s="486">
        <v>0.33294118431393604</v>
      </c>
      <c r="BC16" s="661"/>
      <c r="BD16" s="661"/>
      <c r="BE16" s="486">
        <v>0.58272144487388911</v>
      </c>
      <c r="BF16" s="486">
        <v>0.21011980937041569</v>
      </c>
      <c r="BG16" s="486">
        <v>0.75022337976797426</v>
      </c>
      <c r="BH16" s="486">
        <v>0.73388315061498888</v>
      </c>
      <c r="BI16" s="486">
        <v>0.99992455400302527</v>
      </c>
      <c r="BJ16" s="486">
        <v>0.73702838899941991</v>
      </c>
      <c r="BK16" s="661"/>
      <c r="BL16" s="661"/>
      <c r="BM16" s="661"/>
      <c r="BN16" s="661"/>
      <c r="BO16" s="661"/>
      <c r="BP16" s="486">
        <v>0.75022337976797426</v>
      </c>
      <c r="BQ16" s="486">
        <v>0.75022337976797426</v>
      </c>
      <c r="BR16" s="619">
        <v>0.42495484543300799</v>
      </c>
      <c r="BS16" s="486">
        <v>0.73388315061498888</v>
      </c>
      <c r="BT16" s="486">
        <v>0.76336193569884603</v>
      </c>
      <c r="BU16" s="486">
        <v>0.73435320350172406</v>
      </c>
      <c r="BV16" s="486">
        <v>0.27088557376019534</v>
      </c>
      <c r="BW16" s="486">
        <v>0.27347814830325146</v>
      </c>
      <c r="BX16" s="486">
        <v>-2.4086433583339906</v>
      </c>
    </row>
    <row r="17" spans="1:76" x14ac:dyDescent="0.2">
      <c r="A17" s="461">
        <v>11</v>
      </c>
      <c r="AF17" s="488"/>
      <c r="AH17" s="488"/>
      <c r="AI17" s="488"/>
      <c r="AT17" s="737"/>
      <c r="AW17" s="486">
        <v>0.77964070280654718</v>
      </c>
      <c r="AX17" s="486">
        <v>0.62706810809190738</v>
      </c>
      <c r="AY17" s="486">
        <v>0.79187632120925766</v>
      </c>
      <c r="AZ17" s="486">
        <v>0.67894809139428691</v>
      </c>
      <c r="BA17" s="486">
        <v>12.541362161838148</v>
      </c>
      <c r="BB17" s="486">
        <v>0.35235657798959186</v>
      </c>
      <c r="BC17" s="661"/>
      <c r="BD17" s="661"/>
      <c r="BE17" s="486">
        <v>0.62706810809190738</v>
      </c>
      <c r="BF17" s="486">
        <v>0.23652043225920699</v>
      </c>
      <c r="BG17" s="486">
        <v>0.77964070280654718</v>
      </c>
      <c r="BH17" s="486">
        <v>0.82397462714894953</v>
      </c>
      <c r="BI17" s="486">
        <v>0.98942973825880776</v>
      </c>
      <c r="BJ17" s="486">
        <v>0.76687105996564198</v>
      </c>
      <c r="BK17" s="661"/>
      <c r="BL17" s="661"/>
      <c r="BM17" s="661"/>
      <c r="BN17" s="661"/>
      <c r="BO17" s="661"/>
      <c r="BP17" s="486">
        <v>0.77964070280654718</v>
      </c>
      <c r="BQ17" s="486">
        <v>0.77964070280654718</v>
      </c>
      <c r="BR17" s="619">
        <v>0.43460830564287756</v>
      </c>
      <c r="BS17" s="486">
        <v>0.82397462714894953</v>
      </c>
      <c r="BT17" s="486">
        <v>0.79187632120925766</v>
      </c>
      <c r="BU17" s="486">
        <v>0.82398306499241047</v>
      </c>
      <c r="BV17" s="486">
        <v>0.27867337622153998</v>
      </c>
      <c r="BW17" s="486">
        <v>0.28235389728538701</v>
      </c>
      <c r="BX17" s="486">
        <v>-2.481467048337072</v>
      </c>
    </row>
    <row r="18" spans="1:76" x14ac:dyDescent="0.2">
      <c r="A18" s="461">
        <v>12</v>
      </c>
      <c r="AF18" s="488"/>
      <c r="AH18" s="488"/>
      <c r="AI18" s="488"/>
      <c r="AW18" s="486">
        <v>0.75542813660193753</v>
      </c>
      <c r="AX18" s="486">
        <v>0.59465883119210883</v>
      </c>
      <c r="AY18" s="486">
        <v>0.77114125242533149</v>
      </c>
      <c r="AZ18" s="486">
        <v>0.57662349034869143</v>
      </c>
      <c r="BA18" s="486">
        <v>11.893176623842177</v>
      </c>
      <c r="BB18" s="486">
        <v>0.33875430089847886</v>
      </c>
      <c r="BC18" s="661"/>
      <c r="BD18" s="661"/>
      <c r="BE18" s="486">
        <v>0.59465883119210883</v>
      </c>
      <c r="BF18" s="486">
        <v>0.22068897602882345</v>
      </c>
      <c r="BG18" s="486">
        <v>0.75542813660193753</v>
      </c>
      <c r="BH18" s="486">
        <v>0.75927152123577013</v>
      </c>
      <c r="BI18" s="486">
        <v>0.98066981477247106</v>
      </c>
      <c r="BJ18" s="486">
        <v>0.73937803439390382</v>
      </c>
      <c r="BK18" s="661"/>
      <c r="BL18" s="661"/>
      <c r="BM18" s="661"/>
      <c r="BN18" s="661"/>
      <c r="BO18" s="661"/>
      <c r="BP18" s="486">
        <v>0.75542813660193753</v>
      </c>
      <c r="BQ18" s="486">
        <v>0.75542813660193753</v>
      </c>
      <c r="BR18" s="619">
        <v>0.42588492157595309</v>
      </c>
      <c r="BS18" s="486">
        <v>0.75927152123577013</v>
      </c>
      <c r="BT18" s="486">
        <v>0.77114125242533149</v>
      </c>
      <c r="BU18" s="486">
        <v>0.75935728767734323</v>
      </c>
      <c r="BV18" s="486">
        <v>0.27186710640910483</v>
      </c>
      <c r="BW18" s="486">
        <v>0.28283037137374056</v>
      </c>
      <c r="BX18" s="486">
        <v>-2.4186101322735416</v>
      </c>
    </row>
    <row r="19" spans="1:76" x14ac:dyDescent="0.2">
      <c r="A19" s="461">
        <v>13</v>
      </c>
      <c r="AF19" s="488"/>
      <c r="AH19" s="488"/>
      <c r="AI19" s="488"/>
      <c r="AW19" s="486">
        <v>0.70321216896920213</v>
      </c>
      <c r="AX19" s="486">
        <v>0.5130561515798191</v>
      </c>
      <c r="AY19" s="486">
        <v>0.71627938095398158</v>
      </c>
      <c r="AZ19" s="486">
        <v>0.44246550369782406</v>
      </c>
      <c r="BA19" s="486">
        <v>10.261123031596382</v>
      </c>
      <c r="BB19" s="486">
        <v>0.30122856149526278</v>
      </c>
      <c r="BC19" s="661"/>
      <c r="BD19" s="661"/>
      <c r="BE19" s="486">
        <v>0.5130561515798191</v>
      </c>
      <c r="BF19" s="486">
        <v>0.16878462423689133</v>
      </c>
      <c r="BG19" s="486">
        <v>0.70321216896920213</v>
      </c>
      <c r="BH19" s="486">
        <v>0.66508495635923104</v>
      </c>
      <c r="BI19" s="486">
        <v>0.93189839367152727</v>
      </c>
      <c r="BJ19" s="486">
        <v>0.69038571065305177</v>
      </c>
      <c r="BK19" s="661"/>
      <c r="BL19" s="661"/>
      <c r="BM19" s="661"/>
      <c r="BN19" s="661"/>
      <c r="BO19" s="661"/>
      <c r="BP19" s="486">
        <v>0.70321216896920213</v>
      </c>
      <c r="BQ19" s="486">
        <v>0.70321216896920213</v>
      </c>
      <c r="BR19" s="619">
        <v>0.40919363910783335</v>
      </c>
      <c r="BS19" s="486">
        <v>0.66508495635923104</v>
      </c>
      <c r="BT19" s="486">
        <v>0.71627938095398158</v>
      </c>
      <c r="BU19" s="486">
        <v>0.66518080526863077</v>
      </c>
      <c r="BV19" s="486">
        <v>0.25828909132907285</v>
      </c>
      <c r="BW19" s="486">
        <v>0.28707461511850918</v>
      </c>
      <c r="BX19" s="486">
        <v>-2.2911419140519351</v>
      </c>
    </row>
    <row r="20" spans="1:76" x14ac:dyDescent="0.2">
      <c r="A20" s="487">
        <v>14</v>
      </c>
      <c r="AF20" s="488"/>
      <c r="AH20" s="488"/>
      <c r="AI20" s="488"/>
      <c r="AW20" s="486">
        <v>0.71539946505386998</v>
      </c>
      <c r="AX20" s="486">
        <v>0.53159467716928499</v>
      </c>
      <c r="AY20" s="486">
        <v>0.72910539510367434</v>
      </c>
      <c r="AZ20" s="486">
        <v>0.50731943558646564</v>
      </c>
      <c r="BA20" s="486">
        <v>10.631893543385701</v>
      </c>
      <c r="BB20" s="486">
        <v>0.30989555960517384</v>
      </c>
      <c r="BC20" s="661"/>
      <c r="BD20" s="661"/>
      <c r="BE20" s="486">
        <v>0.53159467716928499</v>
      </c>
      <c r="BF20" s="486">
        <v>0.17977386748785817</v>
      </c>
      <c r="BG20" s="486">
        <v>0.71539946505386998</v>
      </c>
      <c r="BH20" s="486">
        <v>0.71217992042455691</v>
      </c>
      <c r="BI20" s="486">
        <v>0.99173512928102348</v>
      </c>
      <c r="BJ20" s="486">
        <v>0.70145551830428776</v>
      </c>
      <c r="BK20" s="661"/>
      <c r="BL20" s="661"/>
      <c r="BM20" s="661"/>
      <c r="BN20" s="661"/>
      <c r="BO20" s="661"/>
      <c r="BP20" s="486">
        <v>0.71539946505386998</v>
      </c>
      <c r="BQ20" s="486">
        <v>0.71539946505386998</v>
      </c>
      <c r="BR20" s="619">
        <v>0.41312282547792395</v>
      </c>
      <c r="BS20" s="486">
        <v>0.71217992042455691</v>
      </c>
      <c r="BT20" s="486">
        <v>0.72910539510367434</v>
      </c>
      <c r="BU20" s="486">
        <v>0.71226359979046072</v>
      </c>
      <c r="BV20" s="486">
        <v>0.26148853619762541</v>
      </c>
      <c r="BW20" s="486">
        <v>0.27273305572859952</v>
      </c>
      <c r="BX20" s="486">
        <v>-2.3211055944417831</v>
      </c>
    </row>
    <row r="21" spans="1:76" x14ac:dyDescent="0.2">
      <c r="A21" s="461">
        <v>15</v>
      </c>
      <c r="AF21" s="488"/>
      <c r="AH21" s="488"/>
      <c r="AI21" s="488"/>
      <c r="AW21" s="486">
        <v>0.78413599452484706</v>
      </c>
      <c r="AX21" s="486">
        <v>0.62817246845671659</v>
      </c>
      <c r="AY21" s="486">
        <v>0.79257332055571783</v>
      </c>
      <c r="AZ21" s="486">
        <v>0.57565966305600547</v>
      </c>
      <c r="BA21" s="486">
        <v>12.563449369134332</v>
      </c>
      <c r="BB21" s="486">
        <v>0.3520877726722913</v>
      </c>
      <c r="BC21" s="661"/>
      <c r="BD21" s="661"/>
      <c r="BE21" s="486">
        <v>0.62817246845671659</v>
      </c>
      <c r="BF21" s="486">
        <v>0.23252583926274095</v>
      </c>
      <c r="BG21" s="486">
        <v>0.78413599452484706</v>
      </c>
      <c r="BH21" s="486">
        <v>0.75869090353722801</v>
      </c>
      <c r="BI21" s="486">
        <v>0.9774696423310254</v>
      </c>
      <c r="BJ21" s="486">
        <v>0.77569977264733037</v>
      </c>
      <c r="BK21" s="661"/>
      <c r="BL21" s="661"/>
      <c r="BM21" s="661"/>
      <c r="BN21" s="661"/>
      <c r="BO21" s="661"/>
      <c r="BP21" s="486">
        <v>0.78413599452484706</v>
      </c>
      <c r="BQ21" s="486">
        <v>0.78413599452484706</v>
      </c>
      <c r="BR21" s="619">
        <v>0.43717455397990423</v>
      </c>
      <c r="BS21" s="486">
        <v>0.75869090353722801</v>
      </c>
      <c r="BT21" s="486">
        <v>0.79257332055571783</v>
      </c>
      <c r="BU21" s="486">
        <v>0.75872238866136377</v>
      </c>
      <c r="BV21" s="486">
        <v>0.28041769034404301</v>
      </c>
      <c r="BW21" s="486">
        <v>0.24521022679114712</v>
      </c>
      <c r="BX21" s="486">
        <v>-2.4966756515546429</v>
      </c>
    </row>
    <row r="22" spans="1:76" x14ac:dyDescent="0.2">
      <c r="A22" s="461">
        <v>16</v>
      </c>
      <c r="AF22" s="488"/>
      <c r="AH22" s="488"/>
      <c r="AI22" s="488"/>
      <c r="AW22" s="486">
        <v>0.73399568073683852</v>
      </c>
      <c r="AX22" s="486">
        <v>0.55531350485137221</v>
      </c>
      <c r="AY22" s="486">
        <v>0.74519360226143394</v>
      </c>
      <c r="AZ22" s="486">
        <v>0.55926198350602152</v>
      </c>
      <c r="BA22" s="486">
        <v>11.106270097027444</v>
      </c>
      <c r="BB22" s="486">
        <v>0.32025080051837207</v>
      </c>
      <c r="BC22" s="661"/>
      <c r="BD22" s="661"/>
      <c r="BE22" s="486">
        <v>0.55531350485137221</v>
      </c>
      <c r="BF22" s="486">
        <v>0.19009223403594513</v>
      </c>
      <c r="BG22" s="486">
        <v>0.73399568073683852</v>
      </c>
      <c r="BH22" s="486">
        <v>0.7478318657584222</v>
      </c>
      <c r="BI22" s="486">
        <v>0.98545640884220487</v>
      </c>
      <c r="BJ22" s="486">
        <v>0.72203989593683882</v>
      </c>
      <c r="BK22" s="661"/>
      <c r="BL22" s="661"/>
      <c r="BM22" s="661"/>
      <c r="BN22" s="661"/>
      <c r="BO22" s="661"/>
      <c r="BP22" s="486">
        <v>0.73399568073683852</v>
      </c>
      <c r="BQ22" s="486">
        <v>0.73399568073683852</v>
      </c>
      <c r="BR22" s="619">
        <v>0.42002215027638146</v>
      </c>
      <c r="BS22" s="486">
        <v>0.7478318657584222</v>
      </c>
      <c r="BT22" s="486">
        <v>0.74519360226143394</v>
      </c>
      <c r="BU22" s="486">
        <v>0.74783820677070356</v>
      </c>
      <c r="BV22" s="486">
        <v>0.26682259806793718</v>
      </c>
      <c r="BW22" s="486">
        <v>0.27664282258237921</v>
      </c>
      <c r="BX22" s="486">
        <v>-2.3701627355370833</v>
      </c>
    </row>
    <row r="23" spans="1:76" x14ac:dyDescent="0.2">
      <c r="A23" s="461">
        <v>17</v>
      </c>
      <c r="AF23" s="488"/>
      <c r="AH23" s="488"/>
      <c r="AI23" s="488"/>
      <c r="AW23" s="486">
        <v>0.73720825472678819</v>
      </c>
      <c r="AX23" s="486">
        <v>0.56549144475599389</v>
      </c>
      <c r="AY23" s="486">
        <v>0.75199165205206497</v>
      </c>
      <c r="AZ23" s="486">
        <v>0.51075675244319696</v>
      </c>
      <c r="BA23" s="486">
        <v>11.309828895119878</v>
      </c>
      <c r="BB23" s="486">
        <v>0.32551735994653624</v>
      </c>
      <c r="BC23" s="661"/>
      <c r="BD23" s="661"/>
      <c r="BE23" s="486">
        <v>0.56549144475599389</v>
      </c>
      <c r="BF23" s="486">
        <v>0.20117757419144003</v>
      </c>
      <c r="BG23" s="486">
        <v>0.73720825472678819</v>
      </c>
      <c r="BH23" s="486">
        <v>0.71433419704116774</v>
      </c>
      <c r="BI23" s="486">
        <v>0.97688419181318409</v>
      </c>
      <c r="BJ23" s="486">
        <v>0.72205037811501771</v>
      </c>
      <c r="BK23" s="661"/>
      <c r="BL23" s="661"/>
      <c r="BM23" s="661"/>
      <c r="BN23" s="661"/>
      <c r="BO23" s="661"/>
      <c r="BP23" s="486">
        <v>0.73720825472678819</v>
      </c>
      <c r="BQ23" s="486">
        <v>0.73720825472678819</v>
      </c>
      <c r="BR23" s="619">
        <v>0.4201394446263983</v>
      </c>
      <c r="BS23" s="486">
        <v>0.71433419704116774</v>
      </c>
      <c r="BT23" s="486">
        <v>0.75199165205206497</v>
      </c>
      <c r="BU23" s="486">
        <v>0.71467247914215704</v>
      </c>
      <c r="BV23" s="486">
        <v>0.26717972082681257</v>
      </c>
      <c r="BW23" s="486">
        <v>0.28515299275479805</v>
      </c>
      <c r="BX23" s="486">
        <v>-2.374496187027904</v>
      </c>
    </row>
    <row r="24" spans="1:76" x14ac:dyDescent="0.2">
      <c r="A24" s="487">
        <v>18</v>
      </c>
      <c r="AF24" s="488"/>
      <c r="AH24" s="488"/>
      <c r="AI24" s="488"/>
      <c r="AW24" s="486">
        <v>0.77537748747660729</v>
      </c>
      <c r="AX24" s="486">
        <v>0.61827816316653395</v>
      </c>
      <c r="AY24" s="486">
        <v>0.78630665974957503</v>
      </c>
      <c r="AZ24" s="486">
        <v>0.67285674731093403</v>
      </c>
      <c r="BA24" s="486">
        <v>12.36556326333068</v>
      </c>
      <c r="BB24" s="486">
        <v>0.34825166339430702</v>
      </c>
      <c r="BC24" s="661"/>
      <c r="BD24" s="661"/>
      <c r="BE24" s="486">
        <v>0.61827816316653395</v>
      </c>
      <c r="BF24" s="486">
        <v>0.22837658797748542</v>
      </c>
      <c r="BG24" s="486">
        <v>0.77537748747660729</v>
      </c>
      <c r="BH24" s="486">
        <v>0.82024654007123876</v>
      </c>
      <c r="BI24" s="486">
        <v>0.97702155706640581</v>
      </c>
      <c r="BJ24" s="486">
        <v>0.76350998525050362</v>
      </c>
      <c r="BK24" s="661"/>
      <c r="BL24" s="661"/>
      <c r="BM24" s="661"/>
      <c r="BN24" s="661"/>
      <c r="BO24" s="661"/>
      <c r="BP24" s="486">
        <v>0.77537748747660729</v>
      </c>
      <c r="BQ24" s="486">
        <v>0.77537748747660729</v>
      </c>
      <c r="BR24" s="619">
        <v>0.43354833777021307</v>
      </c>
      <c r="BS24" s="486">
        <v>0.82024654007123876</v>
      </c>
      <c r="BT24" s="486">
        <v>0.78630665974957503</v>
      </c>
      <c r="BU24" s="486">
        <v>0.82027845717837433</v>
      </c>
      <c r="BV24" s="486">
        <v>0.27773789127416082</v>
      </c>
      <c r="BW24" s="486">
        <v>0.26904043422048085</v>
      </c>
      <c r="BX24" s="486">
        <v>-2.4723221263532622</v>
      </c>
    </row>
    <row r="25" spans="1:76" x14ac:dyDescent="0.2">
      <c r="A25" s="461">
        <v>19</v>
      </c>
      <c r="AF25" s="488"/>
      <c r="AH25" s="488"/>
      <c r="AI25" s="488"/>
      <c r="AW25" s="486">
        <v>0.8218485488702576</v>
      </c>
      <c r="AX25" s="486">
        <v>0.6921574073423955</v>
      </c>
      <c r="AY25" s="486">
        <v>0.83195997941150723</v>
      </c>
      <c r="AZ25" s="486">
        <v>0.69829632567801614</v>
      </c>
      <c r="BA25" s="486">
        <v>13.843148146847909</v>
      </c>
      <c r="BB25" s="486">
        <v>0.37992038787834898</v>
      </c>
      <c r="BC25" s="661"/>
      <c r="BD25" s="661"/>
      <c r="BE25" s="486">
        <v>0.6921574073423955</v>
      </c>
      <c r="BF25" s="486">
        <v>0.27684776233174718</v>
      </c>
      <c r="BG25" s="486">
        <v>0.8218485488702576</v>
      </c>
      <c r="BH25" s="486">
        <v>0.83452456958400467</v>
      </c>
      <c r="BI25" s="486">
        <v>0.98671693501645841</v>
      </c>
      <c r="BJ25" s="486">
        <v>0.81100388297428805</v>
      </c>
      <c r="BK25" s="661"/>
      <c r="BL25" s="661"/>
      <c r="BM25" s="661"/>
      <c r="BN25" s="661"/>
      <c r="BO25" s="661"/>
      <c r="BP25" s="486">
        <v>0.8218485488702576</v>
      </c>
      <c r="BQ25" s="486">
        <v>0.8218485488702576</v>
      </c>
      <c r="BR25" s="619">
        <v>0.44822733815427951</v>
      </c>
      <c r="BS25" s="486">
        <v>0.83452456958400467</v>
      </c>
      <c r="BT25" s="486">
        <v>0.83195997941150723</v>
      </c>
      <c r="BU25" s="486">
        <v>0.83564126614116907</v>
      </c>
      <c r="BV25" s="486">
        <v>0.28972026314897054</v>
      </c>
      <c r="BW25" s="486">
        <v>0.24078755965710719</v>
      </c>
      <c r="BX25" s="486">
        <v>-2.5850254138397259</v>
      </c>
    </row>
    <row r="26" spans="1:76" x14ac:dyDescent="0.2">
      <c r="A26" s="461">
        <v>20</v>
      </c>
      <c r="AF26" s="488"/>
      <c r="AH26" s="488"/>
      <c r="AI26" s="488"/>
      <c r="AW26" s="486">
        <v>0.72750088757672426</v>
      </c>
      <c r="AX26" s="486">
        <v>0.54682725566499779</v>
      </c>
      <c r="AY26" s="486">
        <v>0.73947769112056239</v>
      </c>
      <c r="AZ26" s="486">
        <v>0.54296539380469355</v>
      </c>
      <c r="BA26" s="486">
        <v>10.936545113299957</v>
      </c>
      <c r="BB26" s="486">
        <v>0.3165423876754514</v>
      </c>
      <c r="BC26" s="661"/>
      <c r="BD26" s="661"/>
      <c r="BE26" s="486">
        <v>0.54682725566499779</v>
      </c>
      <c r="BF26" s="486">
        <v>0.18665856677629142</v>
      </c>
      <c r="BG26" s="486">
        <v>0.72750088757672426</v>
      </c>
      <c r="BH26" s="486">
        <v>0.73686146444268963</v>
      </c>
      <c r="BI26" s="486">
        <v>0.99541713918854824</v>
      </c>
      <c r="BJ26" s="486">
        <v>0.7153108417715478</v>
      </c>
      <c r="BK26" s="661"/>
      <c r="BL26" s="661"/>
      <c r="BM26" s="661"/>
      <c r="BN26" s="661"/>
      <c r="BO26" s="661"/>
      <c r="BP26" s="486">
        <v>0.72750088757672426</v>
      </c>
      <c r="BQ26" s="486">
        <v>0.72750088757672426</v>
      </c>
      <c r="BR26" s="619">
        <v>0.41771496791136647</v>
      </c>
      <c r="BS26" s="486">
        <v>0.73686146444268963</v>
      </c>
      <c r="BT26" s="486">
        <v>0.73947769112056239</v>
      </c>
      <c r="BU26" s="486">
        <v>0.73686185530579174</v>
      </c>
      <c r="BV26" s="486">
        <v>0.2649991342162078</v>
      </c>
      <c r="BW26" s="486">
        <v>0.26996207731486055</v>
      </c>
      <c r="BX26" s="486">
        <v>-2.3533293459750086</v>
      </c>
    </row>
    <row r="27" spans="1:76" s="605" customFormat="1" ht="65" thickBot="1" x14ac:dyDescent="0.25">
      <c r="A27" s="765"/>
      <c r="B27" s="634" t="s">
        <v>823</v>
      </c>
      <c r="C27" s="633">
        <v>0</v>
      </c>
      <c r="D27" s="633">
        <v>20</v>
      </c>
      <c r="E27" s="633">
        <v>0</v>
      </c>
      <c r="F27" s="633">
        <v>0</v>
      </c>
      <c r="G27" s="633">
        <v>0</v>
      </c>
      <c r="H27" s="633">
        <v>20</v>
      </c>
      <c r="I27" s="633">
        <v>20</v>
      </c>
      <c r="J27" s="633">
        <v>0</v>
      </c>
      <c r="K27" s="633">
        <v>0</v>
      </c>
      <c r="L27" s="633">
        <v>20</v>
      </c>
      <c r="M27" s="633">
        <v>20</v>
      </c>
      <c r="N27" s="633">
        <v>0</v>
      </c>
      <c r="O27" s="633">
        <v>1</v>
      </c>
      <c r="P27" s="633">
        <v>1</v>
      </c>
      <c r="Q27" s="633">
        <v>0</v>
      </c>
      <c r="R27" s="633" t="e">
        <v>#DIV/0!</v>
      </c>
      <c r="S27" s="633">
        <v>1</v>
      </c>
      <c r="T27" s="633" t="e">
        <v>#DIV/0!</v>
      </c>
      <c r="U27" s="633">
        <v>0</v>
      </c>
      <c r="V27" s="633">
        <v>0</v>
      </c>
      <c r="W27" s="633">
        <v>1</v>
      </c>
      <c r="X27" s="633" t="e">
        <v>#DIV/0!</v>
      </c>
      <c r="Y27" s="633" t="e">
        <v>#DIV/0!</v>
      </c>
      <c r="Z27" s="633" t="e">
        <v>#DIV/0!</v>
      </c>
      <c r="AA27" s="633" t="e">
        <v>#DIV/0!</v>
      </c>
      <c r="AB27" s="633" t="e">
        <v>#DIV/0!</v>
      </c>
      <c r="AC27" s="633">
        <v>0</v>
      </c>
      <c r="AD27" s="633">
        <v>1</v>
      </c>
      <c r="AE27" s="633" t="e">
        <v>#DIV/0!</v>
      </c>
      <c r="AF27" s="659">
        <v>0</v>
      </c>
      <c r="AG27" s="633" t="e">
        <v>#DIV/0!</v>
      </c>
      <c r="AH27" s="659" t="e">
        <v>#NUM!</v>
      </c>
      <c r="AI27" s="659" t="e">
        <v>#NUM!</v>
      </c>
      <c r="AJ27" s="633" t="e">
        <v>#NUM!</v>
      </c>
      <c r="AK27" s="633" t="e">
        <v>#DIV/0!</v>
      </c>
      <c r="AL27" s="633" t="e">
        <v>#DIV/0!</v>
      </c>
      <c r="AM27" s="633">
        <v>1</v>
      </c>
      <c r="AN27" s="633">
        <v>2</v>
      </c>
      <c r="AO27" s="633">
        <v>1.5</v>
      </c>
      <c r="AP27" s="633">
        <v>1.5</v>
      </c>
      <c r="AQ27" s="633">
        <v>2</v>
      </c>
      <c r="AR27" s="635" t="s">
        <v>347</v>
      </c>
      <c r="AS27" s="635" t="s">
        <v>349</v>
      </c>
      <c r="AT27" s="738" t="s">
        <v>477</v>
      </c>
      <c r="AU27" s="738" t="s">
        <v>478</v>
      </c>
      <c r="AV27" s="738" t="s">
        <v>479</v>
      </c>
      <c r="AW27" s="637">
        <f>AVERAGE(AW7:AW26)</f>
        <v>0.75196397399971882</v>
      </c>
      <c r="AX27" s="636">
        <f>AVERAGE(AX7:AX26)</f>
        <v>0.58646380138845267</v>
      </c>
      <c r="AY27" s="636">
        <f t="shared" ref="AY27:BI27" si="2">AVERAGE(AY7:AY26)</f>
        <v>0.7652791987401395</v>
      </c>
      <c r="AZ27" s="636">
        <f t="shared" ref="AZ27" si="3">AVERAGE(AZ7:AZ26)</f>
        <v>0.57213619596371967</v>
      </c>
      <c r="BA27" s="639">
        <f t="shared" ref="BA27" si="4">AVERAGE(BA7:BA26)</f>
        <v>11.729276027769053</v>
      </c>
      <c r="BB27" s="636">
        <f>AVERAGE(BB7:BB26)</f>
        <v>0.33442238382901152</v>
      </c>
      <c r="BC27" s="637" t="s">
        <v>504</v>
      </c>
      <c r="BD27" s="637" t="s">
        <v>504</v>
      </c>
      <c r="BE27" s="636">
        <f>AVERAGE(BE7:BE26)</f>
        <v>0.58646380138845267</v>
      </c>
      <c r="BF27" s="636">
        <f t="shared" ref="BF27" si="5">AVERAGE(BF7:BF26)</f>
        <v>0.21281600203453294</v>
      </c>
      <c r="BG27" s="636">
        <f t="shared" si="2"/>
        <v>0.75196397399971882</v>
      </c>
      <c r="BH27" s="636">
        <f t="shared" si="2"/>
        <v>0.75468615438118014</v>
      </c>
      <c r="BI27" s="636">
        <f t="shared" si="2"/>
        <v>0.98258982941507433</v>
      </c>
      <c r="BJ27" s="636">
        <f t="shared" ref="BJ27" si="6">AVERAGE(BJ7:BJ26)</f>
        <v>0.73823057354234356</v>
      </c>
      <c r="BK27" s="637" t="s">
        <v>504</v>
      </c>
      <c r="BL27" s="637" t="s">
        <v>504</v>
      </c>
      <c r="BM27" s="637" t="s">
        <v>504</v>
      </c>
      <c r="BN27" s="637" t="s">
        <v>504</v>
      </c>
      <c r="BO27" s="637" t="s">
        <v>504</v>
      </c>
      <c r="BP27" s="637">
        <f t="shared" ref="BP27" si="7">AVERAGE(BP7:BP26)</f>
        <v>0.75196397399971882</v>
      </c>
      <c r="BQ27" s="637">
        <f>AVERAGE(BQ7:BQ26)</f>
        <v>0.75196397399971882</v>
      </c>
      <c r="BR27" s="637">
        <f>AVERAGE(BR7:BR26)</f>
        <v>0.42525114581295398</v>
      </c>
      <c r="BS27" s="636">
        <f t="shared" ref="BS27" si="8">AVERAGE(BS7:BS26)</f>
        <v>0.75468615438118014</v>
      </c>
      <c r="BT27" s="636">
        <f t="shared" ref="BT27" si="9">AVERAGE(BT7:BT26)</f>
        <v>0.7652791987401395</v>
      </c>
      <c r="BU27" s="636">
        <f t="shared" ref="BU27" si="10">AVERAGE(BU7:BU26)</f>
        <v>0.75494386937846225</v>
      </c>
      <c r="BV27" s="636">
        <f>AVERAGE(BV7:BV26)</f>
        <v>0.27121828638462525</v>
      </c>
      <c r="BW27" s="636">
        <f>AVERAGE(BW7:BW26)</f>
        <v>0.27276673361941961</v>
      </c>
      <c r="BX27" s="636" t="s">
        <v>589</v>
      </c>
    </row>
    <row r="28" spans="1:76" x14ac:dyDescent="0.2">
      <c r="A28" s="461">
        <v>1</v>
      </c>
      <c r="B28" s="483"/>
      <c r="C28" s="461">
        <v>0</v>
      </c>
      <c r="D28" s="461">
        <v>0</v>
      </c>
      <c r="E28" s="461">
        <v>20</v>
      </c>
      <c r="F28" s="461">
        <v>0</v>
      </c>
      <c r="G28" s="461">
        <v>20</v>
      </c>
      <c r="H28" s="461">
        <v>0</v>
      </c>
      <c r="I28" s="461">
        <v>0</v>
      </c>
      <c r="J28" s="461">
        <v>20</v>
      </c>
      <c r="K28" s="461">
        <v>0</v>
      </c>
      <c r="L28" s="461">
        <v>20</v>
      </c>
      <c r="M28" s="461">
        <v>20</v>
      </c>
      <c r="N28" s="461">
        <v>1</v>
      </c>
      <c r="O28" s="461">
        <v>0</v>
      </c>
      <c r="P28" s="488">
        <v>0</v>
      </c>
      <c r="Q28" s="461">
        <v>0</v>
      </c>
      <c r="R28" s="461">
        <v>0</v>
      </c>
      <c r="S28" s="461" t="e">
        <v>#DIV/0!</v>
      </c>
      <c r="T28" s="461">
        <v>1</v>
      </c>
      <c r="U28" s="461" t="e">
        <v>#DIV/0!</v>
      </c>
      <c r="V28" s="461" t="e">
        <v>#DIV/0!</v>
      </c>
      <c r="W28" s="461" t="e">
        <v>#DIV/0!</v>
      </c>
      <c r="X28" s="461">
        <v>1</v>
      </c>
      <c r="Y28" s="461">
        <v>0</v>
      </c>
      <c r="Z28" s="461" t="e">
        <v>#DIV/0!</v>
      </c>
      <c r="AA28" s="461" t="e">
        <v>#DIV/0!</v>
      </c>
      <c r="AB28" s="461" t="e">
        <v>#DIV/0!</v>
      </c>
      <c r="AC28" s="461">
        <v>0</v>
      </c>
      <c r="AD28" s="461">
        <v>1</v>
      </c>
      <c r="AE28" s="461" t="e">
        <v>#DIV/0!</v>
      </c>
      <c r="AF28" s="488">
        <v>0</v>
      </c>
      <c r="AG28" s="461" t="e">
        <v>#DIV/0!</v>
      </c>
      <c r="AH28" s="488" t="e">
        <v>#NUM!</v>
      </c>
      <c r="AI28" s="488" t="e">
        <v>#NUM!</v>
      </c>
      <c r="AJ28" s="461" t="e">
        <v>#NUM!</v>
      </c>
      <c r="AK28" s="461" t="e">
        <v>#DIV/0!</v>
      </c>
      <c r="AL28" s="461" t="e">
        <v>#DIV/0!</v>
      </c>
      <c r="AM28" s="461">
        <v>1</v>
      </c>
      <c r="AN28" s="461">
        <v>2</v>
      </c>
      <c r="AO28" s="461">
        <v>1</v>
      </c>
      <c r="AP28" s="461">
        <v>1.5</v>
      </c>
      <c r="AQ28" s="461">
        <v>1.5</v>
      </c>
      <c r="AR28" s="485" t="s">
        <v>347</v>
      </c>
      <c r="AS28" s="485" t="s">
        <v>349</v>
      </c>
      <c r="AT28" s="737" t="s">
        <v>480</v>
      </c>
      <c r="AU28" s="737" t="s">
        <v>481</v>
      </c>
      <c r="AV28" s="737" t="s">
        <v>482</v>
      </c>
      <c r="AW28" s="631">
        <v>-0.75612419170651246</v>
      </c>
      <c r="AX28" s="630">
        <v>0.59184332202726431</v>
      </c>
      <c r="AY28" s="630">
        <v>0.76931353948001224</v>
      </c>
      <c r="AZ28" s="630">
        <v>0.52462708675175507</v>
      </c>
      <c r="BA28" s="631">
        <v>11.836866440545286</v>
      </c>
      <c r="BB28" s="631">
        <v>0.2379028991805994</v>
      </c>
      <c r="BC28" s="663"/>
      <c r="BD28" s="663"/>
      <c r="BE28" s="631">
        <v>0.14796083050681608</v>
      </c>
      <c r="BF28" s="630">
        <v>0.17411278607610228</v>
      </c>
      <c r="BG28" s="630">
        <v>0.75612419170651246</v>
      </c>
      <c r="BH28" s="630">
        <v>0.72429026474243852</v>
      </c>
      <c r="BI28" s="630">
        <v>0.98337033552693009</v>
      </c>
      <c r="BJ28" s="630">
        <v>0.74247449448772285</v>
      </c>
      <c r="BK28" s="663"/>
      <c r="BL28" s="663"/>
      <c r="BM28" s="663"/>
      <c r="BN28" s="663"/>
      <c r="BO28" s="663"/>
      <c r="BP28" s="630">
        <v>-0.37806209585325623</v>
      </c>
      <c r="BQ28" s="630">
        <v>0.37806209585325623</v>
      </c>
      <c r="BR28" s="620">
        <v>0.62929277280282814</v>
      </c>
      <c r="BS28" s="630">
        <v>0.36214513237121926</v>
      </c>
      <c r="BT28" s="630">
        <v>0.38465676974000612</v>
      </c>
      <c r="BU28" s="630">
        <v>0.36215572850355243</v>
      </c>
      <c r="BV28" s="630">
        <v>0.23545883251180189</v>
      </c>
      <c r="BW28" s="630">
        <v>0.22605476748693434</v>
      </c>
      <c r="BX28" s="630">
        <v>-0.9160475230947176</v>
      </c>
    </row>
    <row r="29" spans="1:76" x14ac:dyDescent="0.2">
      <c r="A29" s="461">
        <v>2</v>
      </c>
      <c r="AF29" s="488"/>
      <c r="AH29" s="488"/>
      <c r="AI29" s="488"/>
      <c r="AW29" s="631">
        <v>-0.80618093246068834</v>
      </c>
      <c r="AX29" s="630">
        <v>0.67481292804664905</v>
      </c>
      <c r="AY29" s="630">
        <v>0.82146998000331639</v>
      </c>
      <c r="AZ29" s="630">
        <v>0.76844814388885729</v>
      </c>
      <c r="BA29" s="631">
        <v>13.496258560932981</v>
      </c>
      <c r="BB29" s="631">
        <v>0.2826278061706482</v>
      </c>
      <c r="BC29" s="663"/>
      <c r="BD29" s="663"/>
      <c r="BE29" s="631">
        <v>0.16870323201166226</v>
      </c>
      <c r="BF29" s="630">
        <v>0.23348753963264293</v>
      </c>
      <c r="BG29" s="630">
        <v>0.80618093246068834</v>
      </c>
      <c r="BH29" s="630">
        <v>0.87660982468933069</v>
      </c>
      <c r="BI29" s="630">
        <v>0.99301442367760906</v>
      </c>
      <c r="BJ29" s="630">
        <v>0.78880219936301688</v>
      </c>
      <c r="BK29" s="663"/>
      <c r="BL29" s="663"/>
      <c r="BM29" s="663"/>
      <c r="BN29" s="663"/>
      <c r="BO29" s="663"/>
      <c r="BP29" s="630">
        <v>-0.40309046623034417</v>
      </c>
      <c r="BQ29" s="630">
        <v>0.40309046623034417</v>
      </c>
      <c r="BR29" s="620">
        <v>0.70285380667674346</v>
      </c>
      <c r="BS29" s="630">
        <v>0.43830491234466534</v>
      </c>
      <c r="BT29" s="630">
        <v>0.4107349900016582</v>
      </c>
      <c r="BU29" s="630">
        <v>0.43830587033738699</v>
      </c>
      <c r="BV29" s="630">
        <v>0.25538735693477654</v>
      </c>
      <c r="BW29" s="630">
        <v>0.201471479650218</v>
      </c>
      <c r="BX29" s="630">
        <v>-0.73060594165607518</v>
      </c>
    </row>
    <row r="30" spans="1:76" x14ac:dyDescent="0.2">
      <c r="A30" s="461">
        <v>3</v>
      </c>
      <c r="AF30" s="488"/>
      <c r="AH30" s="488"/>
      <c r="AI30" s="488"/>
      <c r="AW30" s="631">
        <v>-0.72328096684093146</v>
      </c>
      <c r="AX30" s="630">
        <v>0.53852413837352231</v>
      </c>
      <c r="AY30" s="630">
        <v>0.73384203911572299</v>
      </c>
      <c r="AZ30" s="630">
        <v>0.55580106583279421</v>
      </c>
      <c r="BA30" s="631">
        <v>10.770482767470446</v>
      </c>
      <c r="BB30" s="631">
        <v>0.21090158617006641</v>
      </c>
      <c r="BC30" s="663"/>
      <c r="BD30" s="663"/>
      <c r="BE30" s="631">
        <v>0.13463103459338058</v>
      </c>
      <c r="BF30" s="630">
        <v>0.13593425481156035</v>
      </c>
      <c r="BG30" s="630">
        <v>0.72328096684093146</v>
      </c>
      <c r="BH30" s="630">
        <v>0.74547005116567033</v>
      </c>
      <c r="BI30" s="630">
        <v>0.95466044786152016</v>
      </c>
      <c r="BJ30" s="630">
        <v>0.71258066783793139</v>
      </c>
      <c r="BK30" s="663"/>
      <c r="BL30" s="663"/>
      <c r="BM30" s="663"/>
      <c r="BN30" s="663"/>
      <c r="BO30" s="663"/>
      <c r="BP30" s="630">
        <v>-0.36164048342046573</v>
      </c>
      <c r="BQ30" s="630">
        <v>0.36164048342046573</v>
      </c>
      <c r="BR30" s="620">
        <v>0.58175441868473421</v>
      </c>
      <c r="BS30" s="630">
        <v>0.37273502558283517</v>
      </c>
      <c r="BT30" s="630">
        <v>0.36692101955786149</v>
      </c>
      <c r="BU30" s="630">
        <v>0.37276033380470963</v>
      </c>
      <c r="BV30" s="630">
        <v>0.22249564676154532</v>
      </c>
      <c r="BW30" s="630">
        <v>0.25090826859762888</v>
      </c>
      <c r="BX30" s="630">
        <v>-1.0365452244770617</v>
      </c>
    </row>
    <row r="31" spans="1:76" x14ac:dyDescent="0.2">
      <c r="A31" s="487">
        <v>4</v>
      </c>
      <c r="AF31" s="488"/>
      <c r="AH31" s="488"/>
      <c r="AI31" s="488"/>
      <c r="AW31" s="631">
        <v>-0.71460465811203255</v>
      </c>
      <c r="AX31" s="630">
        <v>0.5363128811725002</v>
      </c>
      <c r="AY31" s="630">
        <v>0.73233385909194459</v>
      </c>
      <c r="AZ31" s="630">
        <v>0.46452207716826949</v>
      </c>
      <c r="BA31" s="631">
        <v>10.726257623450005</v>
      </c>
      <c r="BB31" s="631">
        <v>0.208617871753282</v>
      </c>
      <c r="BC31" s="663"/>
      <c r="BD31" s="663"/>
      <c r="BE31" s="631">
        <v>0.13407822029312505</v>
      </c>
      <c r="BF31" s="630">
        <v>0.15006388608613136</v>
      </c>
      <c r="BG31" s="630">
        <v>0.71460465811203255</v>
      </c>
      <c r="BH31" s="630">
        <v>0.68051066092891521</v>
      </c>
      <c r="BI31" s="630">
        <v>0.96734628155362135</v>
      </c>
      <c r="BJ31" s="630">
        <v>0.69685503139024441</v>
      </c>
      <c r="BK31" s="663"/>
      <c r="BL31" s="663"/>
      <c r="BM31" s="663"/>
      <c r="BN31" s="663"/>
      <c r="BO31" s="663"/>
      <c r="BP31" s="630">
        <v>-0.35730232905601628</v>
      </c>
      <c r="BQ31" s="630">
        <v>0.35730232905601628</v>
      </c>
      <c r="BR31" s="620">
        <v>0.58151462642536189</v>
      </c>
      <c r="BS31" s="630">
        <v>0.34025533046445761</v>
      </c>
      <c r="BT31" s="630">
        <v>0.3661669295459723</v>
      </c>
      <c r="BU31" s="630">
        <v>0.34077928236920063</v>
      </c>
      <c r="BV31" s="630">
        <v>0.22044978321060862</v>
      </c>
      <c r="BW31" s="630">
        <v>0.23369252820661851</v>
      </c>
      <c r="BX31" s="630">
        <v>-1.0518883682015341</v>
      </c>
    </row>
    <row r="32" spans="1:76" x14ac:dyDescent="0.2">
      <c r="A32" s="461">
        <v>5</v>
      </c>
      <c r="AF32" s="488"/>
      <c r="AH32" s="488"/>
      <c r="AI32" s="488"/>
      <c r="AW32" s="631">
        <v>-0.71133562559550967</v>
      </c>
      <c r="AX32" s="630">
        <v>0.52406517736466429</v>
      </c>
      <c r="AY32" s="630">
        <v>0.72392346098511295</v>
      </c>
      <c r="AZ32" s="630">
        <v>0.47356363325412021</v>
      </c>
      <c r="BA32" s="631">
        <v>10.481303547293285</v>
      </c>
      <c r="BB32" s="631">
        <v>0.20333656604996234</v>
      </c>
      <c r="BC32" s="663"/>
      <c r="BD32" s="663"/>
      <c r="BE32" s="631">
        <v>0.13101629434116607</v>
      </c>
      <c r="BF32" s="630">
        <v>0.13540731192209618</v>
      </c>
      <c r="BG32" s="630">
        <v>0.71133562559550967</v>
      </c>
      <c r="BH32" s="630">
        <v>0.68784367093867571</v>
      </c>
      <c r="BI32" s="630">
        <v>0.98112345865642858</v>
      </c>
      <c r="BJ32" s="630">
        <v>0.69926567430697406</v>
      </c>
      <c r="BK32" s="663"/>
      <c r="BL32" s="663"/>
      <c r="BM32" s="663"/>
      <c r="BN32" s="663"/>
      <c r="BO32" s="663"/>
      <c r="BP32" s="630">
        <v>-0.35566781279775483</v>
      </c>
      <c r="BQ32" s="630">
        <v>0.35566781279775483</v>
      </c>
      <c r="BR32" s="620">
        <v>0.57054066422667815</v>
      </c>
      <c r="BS32" s="630">
        <v>0.34392183546933786</v>
      </c>
      <c r="BT32" s="630">
        <v>0.36196173049255648</v>
      </c>
      <c r="BU32" s="630">
        <v>0.34407979933952831</v>
      </c>
      <c r="BV32" s="630">
        <v>0.2183929744641197</v>
      </c>
      <c r="BW32" s="630">
        <v>0.23463969548245645</v>
      </c>
      <c r="BX32" s="630">
        <v>-1.0726801673298003</v>
      </c>
    </row>
    <row r="33" spans="1:76" x14ac:dyDescent="0.2">
      <c r="A33" s="461">
        <v>6</v>
      </c>
      <c r="AF33" s="488"/>
      <c r="AH33" s="488"/>
      <c r="AI33" s="488"/>
      <c r="AW33" s="631">
        <v>-0.68935530169306003</v>
      </c>
      <c r="AX33" s="630">
        <v>0.49120867086724412</v>
      </c>
      <c r="AY33" s="630">
        <v>0.70086280459676564</v>
      </c>
      <c r="AZ33" s="630">
        <v>0.43427934975079113</v>
      </c>
      <c r="BA33" s="631">
        <v>9.8241734173448823</v>
      </c>
      <c r="BB33" s="631">
        <v>0.18739200314996732</v>
      </c>
      <c r="BC33" s="663"/>
      <c r="BD33" s="663"/>
      <c r="BE33" s="631">
        <v>0.12280216771681103</v>
      </c>
      <c r="BF33" s="630">
        <v>0.11530675750456731</v>
      </c>
      <c r="BG33" s="630">
        <v>0.68935530169306003</v>
      </c>
      <c r="BH33" s="630">
        <v>0.65897339958870638</v>
      </c>
      <c r="BI33" s="630">
        <v>0.97822215634613663</v>
      </c>
      <c r="BJ33" s="630">
        <v>0.67843293865912691</v>
      </c>
      <c r="BK33" s="663"/>
      <c r="BL33" s="663"/>
      <c r="BM33" s="663"/>
      <c r="BN33" s="663"/>
      <c r="BO33" s="663"/>
      <c r="BP33" s="630">
        <v>-0.34467765084653001</v>
      </c>
      <c r="BQ33" s="630">
        <v>0.34467765084653001</v>
      </c>
      <c r="BR33" s="620">
        <v>0.54157303344733609</v>
      </c>
      <c r="BS33" s="630">
        <v>0.32948669979435319</v>
      </c>
      <c r="BT33" s="630">
        <v>0.35043140229838282</v>
      </c>
      <c r="BU33" s="630">
        <v>0.32949937395645806</v>
      </c>
      <c r="BV33" s="630">
        <v>0.21004306799619835</v>
      </c>
      <c r="BW33" s="630">
        <v>0.21580854781485051</v>
      </c>
      <c r="BX33" s="630">
        <v>-1.149463933804318</v>
      </c>
    </row>
    <row r="34" spans="1:76" x14ac:dyDescent="0.2">
      <c r="A34" s="461">
        <v>7</v>
      </c>
      <c r="AF34" s="488"/>
      <c r="AH34" s="488"/>
      <c r="AI34" s="488"/>
      <c r="AW34" s="631">
        <v>-0.70431355841722942</v>
      </c>
      <c r="AX34" s="630">
        <v>0.51247497173127943</v>
      </c>
      <c r="AY34" s="630">
        <v>0.71587357244926941</v>
      </c>
      <c r="AZ34" s="630">
        <v>0.46135854302358292</v>
      </c>
      <c r="BA34" s="631">
        <v>10.249499434625589</v>
      </c>
      <c r="BB34" s="631">
        <v>0.19776195662943569</v>
      </c>
      <c r="BC34" s="663"/>
      <c r="BD34" s="663"/>
      <c r="BE34" s="631">
        <v>0.12811874293281986</v>
      </c>
      <c r="BF34" s="630">
        <v>0.1254529860744994</v>
      </c>
      <c r="BG34" s="630">
        <v>0.70431355841722942</v>
      </c>
      <c r="BH34" s="630">
        <v>0.67923374481013421</v>
      </c>
      <c r="BI34" s="630">
        <v>0.94585012430305682</v>
      </c>
      <c r="BJ34" s="630">
        <v>0.6930395557311585</v>
      </c>
      <c r="BK34" s="663"/>
      <c r="BL34" s="663"/>
      <c r="BM34" s="663"/>
      <c r="BN34" s="663"/>
      <c r="BO34" s="663"/>
      <c r="BP34" s="630">
        <v>-0.35215677920861471</v>
      </c>
      <c r="BQ34" s="630">
        <v>0.35215677920861471</v>
      </c>
      <c r="BR34" s="620">
        <v>0.55977557120672239</v>
      </c>
      <c r="BS34" s="630">
        <v>0.33961687240506711</v>
      </c>
      <c r="BT34" s="630">
        <v>0.35793678622463471</v>
      </c>
      <c r="BU34" s="630">
        <v>0.33961689556895686</v>
      </c>
      <c r="BV34" s="630">
        <v>0.21558344899331888</v>
      </c>
      <c r="BW34" s="630">
        <v>0.19432077632700714</v>
      </c>
      <c r="BX34" s="630">
        <v>-1.0990546162918275</v>
      </c>
    </row>
    <row r="35" spans="1:76" x14ac:dyDescent="0.2">
      <c r="A35" s="487">
        <v>8</v>
      </c>
      <c r="AF35" s="488"/>
      <c r="AH35" s="488"/>
      <c r="AI35" s="488"/>
      <c r="AW35" s="631">
        <v>-0.77866398262307368</v>
      </c>
      <c r="AX35" s="630">
        <v>0.62271803436622397</v>
      </c>
      <c r="AY35" s="630">
        <v>0.78912485347137806</v>
      </c>
      <c r="AZ35" s="630">
        <v>0.58994173776893288</v>
      </c>
      <c r="BA35" s="631">
        <v>12.454360687324479</v>
      </c>
      <c r="BB35" s="631">
        <v>0.25493313285873642</v>
      </c>
      <c r="BC35" s="663"/>
      <c r="BD35" s="663"/>
      <c r="BE35" s="631">
        <v>0.15567950859155599</v>
      </c>
      <c r="BF35" s="630">
        <v>0.18755699332378245</v>
      </c>
      <c r="BG35" s="630">
        <v>0.77866398262307368</v>
      </c>
      <c r="BH35" s="630">
        <v>0.76686852579335385</v>
      </c>
      <c r="BI35" s="630">
        <v>0.98072875948356497</v>
      </c>
      <c r="BJ35" s="630">
        <v>0.7677628827633135</v>
      </c>
      <c r="BK35" s="663"/>
      <c r="BL35" s="663"/>
      <c r="BM35" s="663"/>
      <c r="BN35" s="663"/>
      <c r="BO35" s="663"/>
      <c r="BP35" s="630">
        <v>-0.38933199131153684</v>
      </c>
      <c r="BQ35" s="630">
        <v>0.38933199131153684</v>
      </c>
      <c r="BR35" s="620">
        <v>0.65566937916781765</v>
      </c>
      <c r="BS35" s="630">
        <v>0.38343426289667693</v>
      </c>
      <c r="BT35" s="630">
        <v>0.39456242673568903</v>
      </c>
      <c r="BU35" s="630">
        <v>0.38403832418423195</v>
      </c>
      <c r="BV35" s="630">
        <v>0.24367865735645244</v>
      </c>
      <c r="BW35" s="630">
        <v>0.24644393865895381</v>
      </c>
      <c r="BX35" s="630">
        <v>-0.84156765156884494</v>
      </c>
    </row>
    <row r="36" spans="1:76" x14ac:dyDescent="0.2">
      <c r="A36" s="461">
        <v>9</v>
      </c>
      <c r="AF36" s="488"/>
      <c r="AH36" s="488"/>
      <c r="AI36" s="488"/>
      <c r="AW36" s="631">
        <v>-0.78152255629459932</v>
      </c>
      <c r="AX36" s="630">
        <v>0.63109838527597006</v>
      </c>
      <c r="AY36" s="630">
        <v>0.79441700968444151</v>
      </c>
      <c r="AZ36" s="630">
        <v>0.63099350280171529</v>
      </c>
      <c r="BA36" s="631">
        <v>12.621967705519401</v>
      </c>
      <c r="BB36" s="631">
        <v>0.25897007307611469</v>
      </c>
      <c r="BC36" s="663"/>
      <c r="BD36" s="663"/>
      <c r="BE36" s="631">
        <v>0.15777459631899252</v>
      </c>
      <c r="BF36" s="630">
        <v>0.19837268625291324</v>
      </c>
      <c r="BG36" s="630">
        <v>0.78152255629459932</v>
      </c>
      <c r="BH36" s="630">
        <v>0.79434098247358853</v>
      </c>
      <c r="BI36" s="630">
        <v>0.99391462531767694</v>
      </c>
      <c r="BJ36" s="630">
        <v>0.76768563738986295</v>
      </c>
      <c r="BK36" s="663"/>
      <c r="BL36" s="663"/>
      <c r="BM36" s="663"/>
      <c r="BN36" s="663"/>
      <c r="BO36" s="663"/>
      <c r="BP36" s="630">
        <v>-0.39076127814729966</v>
      </c>
      <c r="BQ36" s="630">
        <v>0.39076127814729966</v>
      </c>
      <c r="BR36" s="620">
        <v>0.66364475571334436</v>
      </c>
      <c r="BS36" s="630">
        <v>0.39717049123679427</v>
      </c>
      <c r="BT36" s="630">
        <v>0.39720850484222076</v>
      </c>
      <c r="BU36" s="630">
        <v>0.39717549735655749</v>
      </c>
      <c r="BV36" s="630">
        <v>0.24523892069272132</v>
      </c>
      <c r="BW36" s="630">
        <v>0.19482663033725833</v>
      </c>
      <c r="BX36" s="630">
        <v>-0.82592782218668348</v>
      </c>
    </row>
    <row r="37" spans="1:76" x14ac:dyDescent="0.2">
      <c r="A37" s="461">
        <v>10</v>
      </c>
      <c r="AF37" s="488"/>
      <c r="AH37" s="488"/>
      <c r="AI37" s="488"/>
      <c r="AW37" s="631">
        <v>-0.68761257398025344</v>
      </c>
      <c r="AX37" s="630">
        <v>0.49724098809271766</v>
      </c>
      <c r="AY37" s="630">
        <v>0.70515316640621961</v>
      </c>
      <c r="AZ37" s="630">
        <v>0.36583988266310086</v>
      </c>
      <c r="BA37" s="631">
        <v>9.9448197618543528</v>
      </c>
      <c r="BB37" s="631">
        <v>0.18944138683222797</v>
      </c>
      <c r="BC37" s="663"/>
      <c r="BD37" s="663"/>
      <c r="BE37" s="631">
        <v>0.12431024702317942</v>
      </c>
      <c r="BF37" s="630">
        <v>0.12873819028048167</v>
      </c>
      <c r="BG37" s="630">
        <v>0.68761257398025344</v>
      </c>
      <c r="BH37" s="630">
        <v>0.60484696996873122</v>
      </c>
      <c r="BI37" s="630">
        <v>0.96551070977518694</v>
      </c>
      <c r="BJ37" s="630">
        <v>0.67080136290103098</v>
      </c>
      <c r="BK37" s="663"/>
      <c r="BL37" s="663"/>
      <c r="BM37" s="663"/>
      <c r="BN37" s="663"/>
      <c r="BO37" s="663"/>
      <c r="BP37" s="630">
        <v>-0.34380628699012672</v>
      </c>
      <c r="BQ37" s="630">
        <v>0.34380628699012672</v>
      </c>
      <c r="BR37" s="620">
        <v>0.54748980433740846</v>
      </c>
      <c r="BS37" s="630">
        <v>0.30242348498436561</v>
      </c>
      <c r="BT37" s="630">
        <v>0.35257658320310981</v>
      </c>
      <c r="BU37" s="630">
        <v>0.30242349555842252</v>
      </c>
      <c r="BV37" s="630">
        <v>0.21035398535922192</v>
      </c>
      <c r="BW37" s="630">
        <v>0.23636462375587441</v>
      </c>
      <c r="BX37" s="630">
        <v>-1.1442062070797858</v>
      </c>
    </row>
    <row r="38" spans="1:76" x14ac:dyDescent="0.2">
      <c r="A38" s="461">
        <v>11</v>
      </c>
      <c r="AF38" s="488"/>
      <c r="AH38" s="488"/>
      <c r="AI38" s="488"/>
      <c r="AW38" s="631">
        <v>-0.72397340500503604</v>
      </c>
      <c r="AX38" s="630">
        <v>0.53401599069515426</v>
      </c>
      <c r="AY38" s="630">
        <v>0.73076397742031196</v>
      </c>
      <c r="AZ38" s="630">
        <v>0.54463004336227638</v>
      </c>
      <c r="BA38" s="631">
        <v>10.680319813903084</v>
      </c>
      <c r="BB38" s="631">
        <v>0.2092495535711236</v>
      </c>
      <c r="BC38" s="663"/>
      <c r="BD38" s="663"/>
      <c r="BE38" s="631">
        <v>0.13350399767378857</v>
      </c>
      <c r="BF38" s="630">
        <v>0.12597695439395515</v>
      </c>
      <c r="BG38" s="630">
        <v>0.72397340500503604</v>
      </c>
      <c r="BH38" s="630">
        <v>0.7379783148745459</v>
      </c>
      <c r="BI38" s="630">
        <v>0.90799818275583899</v>
      </c>
      <c r="BJ38" s="630">
        <v>0.7171635256882738</v>
      </c>
      <c r="BK38" s="663"/>
      <c r="BL38" s="663"/>
      <c r="BM38" s="663"/>
      <c r="BN38" s="663"/>
      <c r="BO38" s="663"/>
      <c r="BP38" s="630">
        <v>-0.36198670250251802</v>
      </c>
      <c r="BQ38" s="630">
        <v>0.36198670250251802</v>
      </c>
      <c r="BR38" s="620">
        <v>0.57712019959723215</v>
      </c>
      <c r="BS38" s="630">
        <v>0.36898915743727295</v>
      </c>
      <c r="BT38" s="630">
        <v>0.36538198871015598</v>
      </c>
      <c r="BU38" s="630">
        <v>0.36899527211140404</v>
      </c>
      <c r="BV38" s="630">
        <v>0.22212298944499254</v>
      </c>
      <c r="BW38" s="630">
        <v>0.20380619541887993</v>
      </c>
      <c r="BX38" s="630">
        <v>-1.0416488365419354</v>
      </c>
    </row>
    <row r="39" spans="1:76" x14ac:dyDescent="0.2">
      <c r="A39" s="461">
        <v>12</v>
      </c>
      <c r="AF39" s="488"/>
      <c r="AH39" s="488"/>
      <c r="AI39" s="488"/>
      <c r="AW39" s="631">
        <v>-0.7690606881515436</v>
      </c>
      <c r="AX39" s="630">
        <v>0.61598176019529571</v>
      </c>
      <c r="AY39" s="630">
        <v>0.78484505489637613</v>
      </c>
      <c r="AZ39" s="630">
        <v>0.5997900422411242</v>
      </c>
      <c r="BA39" s="631">
        <v>12.319635203905914</v>
      </c>
      <c r="BB39" s="631">
        <v>0.25020801361453732</v>
      </c>
      <c r="BC39" s="663"/>
      <c r="BD39" s="663"/>
      <c r="BE39" s="631">
        <v>0.15399544004882393</v>
      </c>
      <c r="BF39" s="630">
        <v>0.19393863996422478</v>
      </c>
      <c r="BG39" s="630">
        <v>0.7690606881515436</v>
      </c>
      <c r="BH39" s="630">
        <v>0.7744570347369355</v>
      </c>
      <c r="BI39" s="630">
        <v>0.99629772995220756</v>
      </c>
      <c r="BJ39" s="630">
        <v>0.75194816823973132</v>
      </c>
      <c r="BK39" s="663"/>
      <c r="BL39" s="663"/>
      <c r="BM39" s="663"/>
      <c r="BN39" s="663"/>
      <c r="BO39" s="663"/>
      <c r="BP39" s="630">
        <v>-0.3845303440757718</v>
      </c>
      <c r="BQ39" s="630">
        <v>0.3845303440757718</v>
      </c>
      <c r="BR39" s="620">
        <v>0.65079690626894537</v>
      </c>
      <c r="BS39" s="630">
        <v>0.38722851736846775</v>
      </c>
      <c r="BT39" s="630">
        <v>0.39242252744818806</v>
      </c>
      <c r="BU39" s="630">
        <v>0.38723056511628967</v>
      </c>
      <c r="BV39" s="630">
        <v>0.24090833820453392</v>
      </c>
      <c r="BW39" s="630">
        <v>0.21638477171739801</v>
      </c>
      <c r="BX39" s="630">
        <v>-0.86465646393597206</v>
      </c>
    </row>
    <row r="40" spans="1:76" x14ac:dyDescent="0.2">
      <c r="A40" s="461">
        <v>13</v>
      </c>
      <c r="AF40" s="488"/>
      <c r="AH40" s="488"/>
      <c r="AI40" s="488"/>
      <c r="AW40" s="631">
        <v>-0.69959087040692602</v>
      </c>
      <c r="AX40" s="630">
        <v>0.50210032384198811</v>
      </c>
      <c r="AY40" s="630">
        <v>0.70859037803373259</v>
      </c>
      <c r="AZ40" s="630">
        <v>0.51906029386867791</v>
      </c>
      <c r="BA40" s="631">
        <v>10.042006476839761</v>
      </c>
      <c r="BB40" s="631">
        <v>0.19305475192992005</v>
      </c>
      <c r="BC40" s="663"/>
      <c r="BD40" s="663"/>
      <c r="BE40" s="631">
        <v>0.12552508096049703</v>
      </c>
      <c r="BF40" s="630">
        <v>0.11443706938721121</v>
      </c>
      <c r="BG40" s="630">
        <v>0.69959087040692602</v>
      </c>
      <c r="BH40" s="630">
        <v>0.72045744715598614</v>
      </c>
      <c r="BI40" s="630">
        <v>0.969473235304815</v>
      </c>
      <c r="BJ40" s="630">
        <v>0.69061478079726601</v>
      </c>
      <c r="BK40" s="663"/>
      <c r="BL40" s="663"/>
      <c r="BM40" s="663"/>
      <c r="BN40" s="663"/>
      <c r="BO40" s="663"/>
      <c r="BP40" s="630">
        <v>-0.34979543520346301</v>
      </c>
      <c r="BQ40" s="630">
        <v>0.34979543520346301</v>
      </c>
      <c r="BR40" s="620">
        <v>0.55011452574694986</v>
      </c>
      <c r="BS40" s="630">
        <v>0.36022872357799307</v>
      </c>
      <c r="BT40" s="630">
        <v>0.3542951890168663</v>
      </c>
      <c r="BU40" s="630">
        <v>0.36022919574511097</v>
      </c>
      <c r="BV40" s="630">
        <v>0.21340203645837885</v>
      </c>
      <c r="BW40" s="630">
        <v>0.22111922861766525</v>
      </c>
      <c r="BX40" s="630">
        <v>-1.1201757209427456</v>
      </c>
    </row>
    <row r="41" spans="1:76" x14ac:dyDescent="0.2">
      <c r="A41" s="487">
        <v>14</v>
      </c>
      <c r="AF41" s="488"/>
      <c r="AH41" s="488"/>
      <c r="AI41" s="488"/>
      <c r="AW41" s="631">
        <v>-0.75209978228411978</v>
      </c>
      <c r="AX41" s="630">
        <v>0.57873694637972128</v>
      </c>
      <c r="AY41" s="630">
        <v>0.7607476233151973</v>
      </c>
      <c r="AZ41" s="630">
        <v>0.52356850470902105</v>
      </c>
      <c r="BA41" s="631">
        <v>11.574738927594426</v>
      </c>
      <c r="BB41" s="631">
        <v>0.23188430379434669</v>
      </c>
      <c r="BC41" s="663"/>
      <c r="BD41" s="663"/>
      <c r="BE41" s="631">
        <v>0.14468423659493032</v>
      </c>
      <c r="BF41" s="630">
        <v>0.15678344567778091</v>
      </c>
      <c r="BG41" s="630">
        <v>0.75209978228411978</v>
      </c>
      <c r="BH41" s="630">
        <v>0.72342550173560571</v>
      </c>
      <c r="BI41" s="630">
        <v>0.98971940697347804</v>
      </c>
      <c r="BJ41" s="630">
        <v>0.7435407805141151</v>
      </c>
      <c r="BK41" s="663"/>
      <c r="BL41" s="663"/>
      <c r="BM41" s="663"/>
      <c r="BN41" s="663"/>
      <c r="BO41" s="663"/>
      <c r="BP41" s="630">
        <v>-0.37604989114205989</v>
      </c>
      <c r="BQ41" s="630">
        <v>0.37604989114205989</v>
      </c>
      <c r="BR41" s="620">
        <v>0.61686356882864635</v>
      </c>
      <c r="BS41" s="630">
        <v>0.36171275086780286</v>
      </c>
      <c r="BT41" s="630">
        <v>0.38037381165759865</v>
      </c>
      <c r="BU41" s="630">
        <v>0.36179016871282621</v>
      </c>
      <c r="BV41" s="630">
        <v>0.23311544856628186</v>
      </c>
      <c r="BW41" s="630">
        <v>0.23690296839989</v>
      </c>
      <c r="BX41" s="630">
        <v>-0.93975698965627752</v>
      </c>
    </row>
    <row r="42" spans="1:76" x14ac:dyDescent="0.2">
      <c r="A42" s="461">
        <v>15</v>
      </c>
      <c r="AF42" s="488"/>
      <c r="AH42" s="488"/>
      <c r="AI42" s="488"/>
      <c r="AW42" s="631">
        <v>-0.72007688286316074</v>
      </c>
      <c r="AX42" s="630">
        <v>0.53616781660349577</v>
      </c>
      <c r="AY42" s="630">
        <v>0.732234809745819</v>
      </c>
      <c r="AZ42" s="630">
        <v>0.47295160440681072</v>
      </c>
      <c r="BA42" s="631">
        <v>10.723356332069915</v>
      </c>
      <c r="BB42" s="631">
        <v>0.20945313410812191</v>
      </c>
      <c r="BC42" s="663"/>
      <c r="BD42" s="663"/>
      <c r="BE42" s="631">
        <v>0.13404195415087394</v>
      </c>
      <c r="BF42" s="630">
        <v>0.13828980393101539</v>
      </c>
      <c r="BG42" s="630">
        <v>0.72007688286316074</v>
      </c>
      <c r="BH42" s="630">
        <v>0.68769076948607988</v>
      </c>
      <c r="BI42" s="630">
        <v>0.94808079557191705</v>
      </c>
      <c r="BJ42" s="630">
        <v>0.70789910926892874</v>
      </c>
      <c r="BK42" s="663"/>
      <c r="BL42" s="663"/>
      <c r="BM42" s="663"/>
      <c r="BN42" s="663"/>
      <c r="BO42" s="663"/>
      <c r="BP42" s="630">
        <v>-0.36003844143158037</v>
      </c>
      <c r="BQ42" s="630">
        <v>0.36003844143158037</v>
      </c>
      <c r="BR42" s="620">
        <v>0.58015559155004437</v>
      </c>
      <c r="BS42" s="630">
        <v>0.34384538474303994</v>
      </c>
      <c r="BT42" s="630">
        <v>0.3661174048729095</v>
      </c>
      <c r="BU42" s="630">
        <v>0.34385738482938344</v>
      </c>
      <c r="BV42" s="630">
        <v>0.22156591641772735</v>
      </c>
      <c r="BW42" s="630">
        <v>0.24145322862988386</v>
      </c>
      <c r="BX42" s="630">
        <v>-1.0442647242591196</v>
      </c>
    </row>
    <row r="43" spans="1:76" x14ac:dyDescent="0.2">
      <c r="A43" s="461">
        <v>16</v>
      </c>
      <c r="AF43" s="488"/>
      <c r="AH43" s="488"/>
      <c r="AI43" s="488"/>
      <c r="AW43" s="631">
        <v>-0.75008746615923771</v>
      </c>
      <c r="AX43" s="630">
        <v>0.57923219283318095</v>
      </c>
      <c r="AY43" s="630">
        <v>0.76107305354557186</v>
      </c>
      <c r="AZ43" s="630">
        <v>0.60373337822391282</v>
      </c>
      <c r="BA43" s="631">
        <v>11.584643856663618</v>
      </c>
      <c r="BB43" s="631">
        <v>0.23170909049663738</v>
      </c>
      <c r="BC43" s="663"/>
      <c r="BD43" s="663"/>
      <c r="BE43" s="631">
        <v>0.14480804820829524</v>
      </c>
      <c r="BF43" s="630">
        <v>0.15955106225526039</v>
      </c>
      <c r="BG43" s="630">
        <v>0.75008746615923771</v>
      </c>
      <c r="BH43" s="630">
        <v>0.77699598497729316</v>
      </c>
      <c r="BI43" s="630">
        <v>0.96402924703471204</v>
      </c>
      <c r="BJ43" s="630">
        <v>0.73847416138601096</v>
      </c>
      <c r="BK43" s="663"/>
      <c r="BL43" s="663"/>
      <c r="BM43" s="663"/>
      <c r="BN43" s="663"/>
      <c r="BO43" s="663"/>
      <c r="BP43" s="630">
        <v>-0.37504373307961886</v>
      </c>
      <c r="BQ43" s="630">
        <v>0.37504373307961886</v>
      </c>
      <c r="BR43" s="620">
        <v>0.61710504008231037</v>
      </c>
      <c r="BS43" s="630">
        <v>0.38849799248864658</v>
      </c>
      <c r="BT43" s="630">
        <v>0.38053652677278593</v>
      </c>
      <c r="BU43" s="630">
        <v>0.38850140869239869</v>
      </c>
      <c r="BV43" s="630">
        <v>0.232726703608959</v>
      </c>
      <c r="BW43" s="630">
        <v>0.20926021989856275</v>
      </c>
      <c r="BX43" s="630">
        <v>-0.9425769807194172</v>
      </c>
    </row>
    <row r="44" spans="1:76" x14ac:dyDescent="0.2">
      <c r="A44" s="461">
        <v>17</v>
      </c>
      <c r="AF44" s="488"/>
      <c r="AH44" s="488"/>
      <c r="AI44" s="488"/>
      <c r="AW44" s="631">
        <v>-0.75731644533994158</v>
      </c>
      <c r="AX44" s="630">
        <v>0.59336966191504414</v>
      </c>
      <c r="AY44" s="630">
        <v>0.77030491489736985</v>
      </c>
      <c r="AZ44" s="630">
        <v>0.58001436354961244</v>
      </c>
      <c r="BA44" s="631">
        <v>11.867393238300883</v>
      </c>
      <c r="BB44" s="631">
        <v>0.2387452781884456</v>
      </c>
      <c r="BC44" s="663"/>
      <c r="BD44" s="663"/>
      <c r="BE44" s="631">
        <v>0.14834241547876104</v>
      </c>
      <c r="BF44" s="630">
        <v>0.17420483711891591</v>
      </c>
      <c r="BG44" s="630">
        <v>0.75731644533994158</v>
      </c>
      <c r="BH44" s="630">
        <v>0.76158518066657588</v>
      </c>
      <c r="BI44" s="630">
        <v>0.97789200549176369</v>
      </c>
      <c r="BJ44" s="630">
        <v>0.74379554954969973</v>
      </c>
      <c r="BK44" s="663"/>
      <c r="BL44" s="663"/>
      <c r="BM44" s="663"/>
      <c r="BN44" s="663"/>
      <c r="BO44" s="663"/>
      <c r="BP44" s="630">
        <v>-0.37865822266997079</v>
      </c>
      <c r="BQ44" s="630">
        <v>0.37865822266997079</v>
      </c>
      <c r="BR44" s="620">
        <v>0.63045992578494103</v>
      </c>
      <c r="BS44" s="630">
        <v>0.38079259033328794</v>
      </c>
      <c r="BT44" s="630">
        <v>0.38515245744868493</v>
      </c>
      <c r="BU44" s="630">
        <v>0.38079337033016097</v>
      </c>
      <c r="BV44" s="630">
        <v>0.23587626480951868</v>
      </c>
      <c r="BW44" s="630">
        <v>0.24633620810054041</v>
      </c>
      <c r="BX44" s="630">
        <v>-0.91236043303719183</v>
      </c>
    </row>
    <row r="45" spans="1:76" x14ac:dyDescent="0.2">
      <c r="A45" s="487">
        <v>18</v>
      </c>
      <c r="AF45" s="488"/>
      <c r="AH45" s="488"/>
      <c r="AI45" s="488"/>
      <c r="AW45" s="631">
        <v>-0.76813481010039975</v>
      </c>
      <c r="AX45" s="630">
        <v>0.61737246820229896</v>
      </c>
      <c r="AY45" s="630">
        <v>0.78573053154519767</v>
      </c>
      <c r="AZ45" s="630">
        <v>0.58728018218936717</v>
      </c>
      <c r="BA45" s="631">
        <v>12.34744936404598</v>
      </c>
      <c r="BB45" s="631">
        <v>0.25058442809501591</v>
      </c>
      <c r="BC45" s="663"/>
      <c r="BD45" s="663"/>
      <c r="BE45" s="631">
        <v>0.15434311705057474</v>
      </c>
      <c r="BF45" s="630">
        <v>0.20214485971594282</v>
      </c>
      <c r="BG45" s="630">
        <v>0.76813481010039975</v>
      </c>
      <c r="BH45" s="630">
        <v>0.76633351093415258</v>
      </c>
      <c r="BI45" s="630">
        <v>0.99229204355733547</v>
      </c>
      <c r="BJ45" s="630">
        <v>0.7498192276005432</v>
      </c>
      <c r="BK45" s="663"/>
      <c r="BL45" s="663"/>
      <c r="BM45" s="663"/>
      <c r="BN45" s="663"/>
      <c r="BO45" s="663"/>
      <c r="BP45" s="630">
        <v>-0.38406740505019987</v>
      </c>
      <c r="BQ45" s="630">
        <v>0.38406740505019987</v>
      </c>
      <c r="BR45" s="620">
        <v>0.65345691524486316</v>
      </c>
      <c r="BS45" s="630">
        <v>0.38316675546707629</v>
      </c>
      <c r="BT45" s="630">
        <v>0.39286526577259884</v>
      </c>
      <c r="BU45" s="630">
        <v>0.38317103954675619</v>
      </c>
      <c r="BV45" s="630">
        <v>0.24092217349567066</v>
      </c>
      <c r="BW45" s="630">
        <v>0.22604927764485347</v>
      </c>
      <c r="BX45" s="630">
        <v>-0.86314050866241376</v>
      </c>
    </row>
    <row r="46" spans="1:76" x14ac:dyDescent="0.2">
      <c r="A46" s="461">
        <v>19</v>
      </c>
      <c r="AF46" s="488"/>
      <c r="AH46" s="488"/>
      <c r="AI46" s="488"/>
      <c r="AW46" s="631">
        <v>-0.74504360064563913</v>
      </c>
      <c r="AX46" s="630">
        <v>0.58258204749688325</v>
      </c>
      <c r="AY46" s="630">
        <v>0.76327062533342871</v>
      </c>
      <c r="AZ46" s="630">
        <v>0.59340893432967201</v>
      </c>
      <c r="BA46" s="631">
        <v>11.651640949937665</v>
      </c>
      <c r="BB46" s="631">
        <v>0.23211246534007282</v>
      </c>
      <c r="BC46" s="663"/>
      <c r="BD46" s="663"/>
      <c r="BE46" s="631">
        <v>0.14564551187422081</v>
      </c>
      <c r="BF46" s="630">
        <v>0.17945877878359068</v>
      </c>
      <c r="BG46" s="630">
        <v>0.74504360064563913</v>
      </c>
      <c r="BH46" s="630">
        <v>0.7691045167752556</v>
      </c>
      <c r="BI46" s="630">
        <v>0.9939925657483788</v>
      </c>
      <c r="BJ46" s="630">
        <v>0.72621094787125384</v>
      </c>
      <c r="BK46" s="663"/>
      <c r="BL46" s="663"/>
      <c r="BM46" s="663"/>
      <c r="BN46" s="663"/>
      <c r="BO46" s="663"/>
      <c r="BP46" s="630">
        <v>-0.37252180032281956</v>
      </c>
      <c r="BQ46" s="630">
        <v>0.37252180032281956</v>
      </c>
      <c r="BR46" s="620">
        <v>0.62243008926084142</v>
      </c>
      <c r="BS46" s="630">
        <v>0.3845522583876278</v>
      </c>
      <c r="BT46" s="630">
        <v>0.38163531266671435</v>
      </c>
      <c r="BU46" s="630">
        <v>0.38516520297453921</v>
      </c>
      <c r="BV46" s="630">
        <v>0.23210297406594543</v>
      </c>
      <c r="BW46" s="630">
        <v>0.23263054405736633</v>
      </c>
      <c r="BX46" s="630">
        <v>-0.94448151673623326</v>
      </c>
    </row>
    <row r="47" spans="1:76" x14ac:dyDescent="0.2">
      <c r="A47" s="461">
        <v>20</v>
      </c>
      <c r="AF47" s="488"/>
      <c r="AH47" s="488"/>
      <c r="AI47" s="488"/>
      <c r="AW47" s="631">
        <v>-0.76484963692891927</v>
      </c>
      <c r="AX47" s="630">
        <v>0.61263278937675381</v>
      </c>
      <c r="AY47" s="630">
        <v>0.78270862354822301</v>
      </c>
      <c r="AZ47" s="630">
        <v>0.64988416003334337</v>
      </c>
      <c r="BA47" s="631">
        <v>12.252655787535076</v>
      </c>
      <c r="BB47" s="631">
        <v>0.24799927510586736</v>
      </c>
      <c r="BC47" s="663"/>
      <c r="BD47" s="663"/>
      <c r="BE47" s="631">
        <v>0.15315819734418845</v>
      </c>
      <c r="BF47" s="630">
        <v>0.19674417546092304</v>
      </c>
      <c r="BG47" s="630">
        <v>0.76484963692891927</v>
      </c>
      <c r="BH47" s="630">
        <v>0.80603931640991067</v>
      </c>
      <c r="BI47" s="630">
        <v>0.9959240843556274</v>
      </c>
      <c r="BJ47" s="630">
        <v>0.74579320789760328</v>
      </c>
      <c r="BK47" s="663"/>
      <c r="BL47" s="663"/>
      <c r="BM47" s="663"/>
      <c r="BN47" s="663"/>
      <c r="BO47" s="663"/>
      <c r="BP47" s="630">
        <v>-0.38242481846445964</v>
      </c>
      <c r="BQ47" s="630">
        <v>0.38242481846445964</v>
      </c>
      <c r="BR47" s="620">
        <v>0.6485068345198377</v>
      </c>
      <c r="BS47" s="630">
        <v>0.40301965820495533</v>
      </c>
      <c r="BT47" s="630">
        <v>0.39135431177411151</v>
      </c>
      <c r="BU47" s="630">
        <v>0.40307696536559345</v>
      </c>
      <c r="BV47" s="630">
        <v>0.23966121311788066</v>
      </c>
      <c r="BW47" s="630">
        <v>0.26599017915007583</v>
      </c>
      <c r="BX47" s="630">
        <v>-0.87507962302120479</v>
      </c>
    </row>
    <row r="48" spans="1:76" s="605" customFormat="1" ht="65" thickBot="1" x14ac:dyDescent="0.25">
      <c r="A48" s="765"/>
      <c r="B48" s="634" t="s">
        <v>824</v>
      </c>
      <c r="C48" s="633">
        <v>0</v>
      </c>
      <c r="D48" s="633">
        <v>0</v>
      </c>
      <c r="E48" s="633">
        <v>20</v>
      </c>
      <c r="F48" s="633">
        <v>0</v>
      </c>
      <c r="G48" s="633">
        <v>20</v>
      </c>
      <c r="H48" s="633">
        <v>0</v>
      </c>
      <c r="I48" s="633">
        <v>0</v>
      </c>
      <c r="J48" s="633">
        <v>20</v>
      </c>
      <c r="K48" s="633">
        <v>0</v>
      </c>
      <c r="L48" s="633">
        <v>20</v>
      </c>
      <c r="M48" s="633">
        <v>20</v>
      </c>
      <c r="N48" s="633">
        <v>1</v>
      </c>
      <c r="O48" s="633">
        <v>0</v>
      </c>
      <c r="P48" s="633">
        <v>0</v>
      </c>
      <c r="Q48" s="633">
        <v>0</v>
      </c>
      <c r="R48" s="633">
        <v>0</v>
      </c>
      <c r="S48" s="633" t="e">
        <v>#DIV/0!</v>
      </c>
      <c r="T48" s="633">
        <v>1</v>
      </c>
      <c r="U48" s="633" t="e">
        <v>#DIV/0!</v>
      </c>
      <c r="V48" s="633" t="e">
        <v>#DIV/0!</v>
      </c>
      <c r="W48" s="633" t="e">
        <v>#DIV/0!</v>
      </c>
      <c r="X48" s="633">
        <v>1</v>
      </c>
      <c r="Y48" s="633">
        <v>0</v>
      </c>
      <c r="Z48" s="633" t="e">
        <v>#DIV/0!</v>
      </c>
      <c r="AA48" s="633" t="e">
        <v>#DIV/0!</v>
      </c>
      <c r="AB48" s="633" t="e">
        <v>#DIV/0!</v>
      </c>
      <c r="AC48" s="633">
        <v>0</v>
      </c>
      <c r="AD48" s="633">
        <v>1</v>
      </c>
      <c r="AE48" s="633" t="e">
        <v>#DIV/0!</v>
      </c>
      <c r="AF48" s="659">
        <v>0</v>
      </c>
      <c r="AG48" s="633" t="e">
        <v>#DIV/0!</v>
      </c>
      <c r="AH48" s="659" t="e">
        <v>#NUM!</v>
      </c>
      <c r="AI48" s="659" t="e">
        <v>#NUM!</v>
      </c>
      <c r="AJ48" s="633" t="e">
        <v>#NUM!</v>
      </c>
      <c r="AK48" s="633" t="e">
        <v>#DIV/0!</v>
      </c>
      <c r="AL48" s="633" t="e">
        <v>#DIV/0!</v>
      </c>
      <c r="AM48" s="633">
        <v>1</v>
      </c>
      <c r="AN48" s="633">
        <v>2</v>
      </c>
      <c r="AO48" s="633">
        <v>1</v>
      </c>
      <c r="AP48" s="633">
        <v>1.5</v>
      </c>
      <c r="AQ48" s="633">
        <v>1.5</v>
      </c>
      <c r="AR48" s="635" t="s">
        <v>347</v>
      </c>
      <c r="AS48" s="635" t="s">
        <v>349</v>
      </c>
      <c r="AT48" s="738" t="s">
        <v>480</v>
      </c>
      <c r="AU48" s="738" t="s">
        <v>481</v>
      </c>
      <c r="AV48" s="738" t="s">
        <v>482</v>
      </c>
      <c r="AW48" s="637">
        <f>AVERAGE(AW28:AW47)</f>
        <v>-0.74016139678044068</v>
      </c>
      <c r="AX48" s="636">
        <f>AVERAGE(AX28:AX47)</f>
        <v>0.56862457474289274</v>
      </c>
      <c r="AY48" s="636">
        <f t="shared" ref="AY48:BU48" si="11">AVERAGE(AY28:AY47)</f>
        <v>0.75332919387827046</v>
      </c>
      <c r="AZ48" s="636">
        <f>AVERAGE(AZ28:AZ47)</f>
        <v>0.54718482649088684</v>
      </c>
      <c r="BA48" s="639">
        <f>AVERAGE(BA28:BA47)</f>
        <v>11.372491494857853</v>
      </c>
      <c r="BB48" s="639">
        <f>AVERAGE(BB28:BB47)</f>
        <v>0.22634427880575644</v>
      </c>
      <c r="BC48" s="637" t="s">
        <v>504</v>
      </c>
      <c r="BD48" s="637" t="s">
        <v>504</v>
      </c>
      <c r="BE48" s="639">
        <f>AVERAGE(BE28:BE47)</f>
        <v>0.14215614368572319</v>
      </c>
      <c r="BF48" s="639">
        <f>AVERAGE(BF28:BF47)</f>
        <v>0.16129815093267988</v>
      </c>
      <c r="BG48" s="636">
        <f t="shared" si="11"/>
        <v>0.74016139678044068</v>
      </c>
      <c r="BH48" s="636">
        <f t="shared" si="11"/>
        <v>0.73715278364259429</v>
      </c>
      <c r="BI48" s="636">
        <f t="shared" si="11"/>
        <v>0.97397203096239016</v>
      </c>
      <c r="BJ48" s="636">
        <f>AVERAGE(BJ28:BJ47)</f>
        <v>0.72664799518219048</v>
      </c>
      <c r="BK48" s="637" t="s">
        <v>504</v>
      </c>
      <c r="BL48" s="637" t="s">
        <v>504</v>
      </c>
      <c r="BM48" s="637" t="s">
        <v>504</v>
      </c>
      <c r="BN48" s="637" t="s">
        <v>504</v>
      </c>
      <c r="BO48" s="637" t="s">
        <v>504</v>
      </c>
      <c r="BP48" s="637">
        <f t="shared" si="11"/>
        <v>-0.37008069839022034</v>
      </c>
      <c r="BQ48" s="637">
        <f>AVERAGE(BQ28:BQ47)</f>
        <v>0.37008069839022034</v>
      </c>
      <c r="BR48" s="638">
        <f>AVERAGE(BR28:BR47)</f>
        <v>0.60905592147867926</v>
      </c>
      <c r="BS48" s="637">
        <f t="shared" si="11"/>
        <v>0.36857639182129714</v>
      </c>
      <c r="BT48" s="637">
        <f t="shared" si="11"/>
        <v>0.37666459693913523</v>
      </c>
      <c r="BU48" s="637">
        <f t="shared" si="11"/>
        <v>0.36868225872017335</v>
      </c>
      <c r="BV48" s="636">
        <f>AVERAGE(BV28:BV47)</f>
        <v>0.2294743366235327</v>
      </c>
      <c r="BW48" s="639">
        <f>AVERAGE(BW28:BW47)</f>
        <v>0.2267232038976458</v>
      </c>
      <c r="BX48" s="636" t="s">
        <v>589</v>
      </c>
    </row>
    <row r="49" spans="1:76" ht="17" x14ac:dyDescent="0.25">
      <c r="A49" s="461">
        <v>1</v>
      </c>
      <c r="B49" s="693" t="s">
        <v>656</v>
      </c>
      <c r="C49" s="461">
        <v>0</v>
      </c>
      <c r="D49" s="461">
        <v>0</v>
      </c>
      <c r="E49" s="461">
        <v>0</v>
      </c>
      <c r="F49" s="461">
        <v>20</v>
      </c>
      <c r="G49" s="461">
        <v>0</v>
      </c>
      <c r="H49" s="461">
        <v>20</v>
      </c>
      <c r="I49" s="461">
        <v>0</v>
      </c>
      <c r="J49" s="461">
        <v>20</v>
      </c>
      <c r="K49" s="461">
        <v>20</v>
      </c>
      <c r="L49" s="461">
        <v>0</v>
      </c>
      <c r="M49" s="461">
        <v>20</v>
      </c>
      <c r="N49" s="461">
        <v>0</v>
      </c>
      <c r="O49" s="461">
        <v>1</v>
      </c>
      <c r="P49" s="461">
        <v>0</v>
      </c>
      <c r="Q49" s="461">
        <v>0</v>
      </c>
      <c r="R49" s="461" t="e">
        <v>#DIV/0!</v>
      </c>
      <c r="S49" s="461">
        <v>0</v>
      </c>
      <c r="T49" s="461" t="e">
        <v>#DIV/0!</v>
      </c>
      <c r="U49" s="461">
        <v>1</v>
      </c>
      <c r="V49" s="461" t="e">
        <v>#DIV/0!</v>
      </c>
      <c r="W49" s="461" t="e">
        <v>#DIV/0!</v>
      </c>
      <c r="X49" s="461">
        <v>0</v>
      </c>
      <c r="Y49" s="461">
        <v>1</v>
      </c>
      <c r="Z49" s="461" t="e">
        <v>#DIV/0!</v>
      </c>
      <c r="AA49" s="461" t="e">
        <v>#DIV/0!</v>
      </c>
      <c r="AB49" s="461" t="e">
        <v>#DIV/0!</v>
      </c>
      <c r="AC49" s="461">
        <v>1</v>
      </c>
      <c r="AD49" s="461">
        <v>0</v>
      </c>
      <c r="AE49" s="461" t="e">
        <v>#DIV/0!</v>
      </c>
      <c r="AF49" s="488" t="e">
        <v>#DIV/0!</v>
      </c>
      <c r="AG49" s="461" t="e">
        <v>#DIV/0!</v>
      </c>
      <c r="AH49" s="488" t="e">
        <v>#NUM!</v>
      </c>
      <c r="AI49" s="488" t="e">
        <v>#NUM!</v>
      </c>
      <c r="AJ49" s="461" t="e">
        <v>#NUM!</v>
      </c>
      <c r="AK49" s="461" t="e">
        <v>#DIV/0!</v>
      </c>
      <c r="AL49" s="461" t="e">
        <v>#DIV/0!</v>
      </c>
      <c r="AM49" s="461">
        <v>0</v>
      </c>
      <c r="AN49" s="461">
        <v>1</v>
      </c>
      <c r="AO49" s="461">
        <v>0</v>
      </c>
      <c r="AP49" s="461">
        <v>0.5</v>
      </c>
      <c r="AQ49" s="461">
        <v>0.4</v>
      </c>
      <c r="AR49" s="485" t="s">
        <v>347</v>
      </c>
      <c r="AS49" s="485" t="s">
        <v>349</v>
      </c>
      <c r="AT49" s="699" t="s">
        <v>477</v>
      </c>
      <c r="AU49" s="699" t="s">
        <v>481</v>
      </c>
      <c r="AV49" s="699" t="s">
        <v>483</v>
      </c>
      <c r="AW49" s="486">
        <v>0.18553482247326525</v>
      </c>
      <c r="AX49" s="486">
        <v>4.9944096833578366E-2</v>
      </c>
      <c r="AY49" s="486">
        <v>0.22348175950976037</v>
      </c>
      <c r="AZ49" s="486">
        <v>4.002765046255477E-2</v>
      </c>
      <c r="BA49" s="486">
        <v>0.99888193667156733</v>
      </c>
      <c r="BB49" s="661"/>
      <c r="BC49" s="661"/>
      <c r="BD49" s="661"/>
      <c r="BE49" s="661"/>
      <c r="BF49" s="661"/>
      <c r="BG49" s="486">
        <v>0.18553482247326525</v>
      </c>
      <c r="BH49" s="486">
        <v>0.20006785570291494</v>
      </c>
      <c r="BI49" s="486">
        <v>0.39933574088801826</v>
      </c>
      <c r="BJ49" s="486">
        <v>0.1232085574935827</v>
      </c>
      <c r="BK49" s="661"/>
      <c r="BL49" s="661"/>
      <c r="BM49" s="661"/>
      <c r="BN49" s="661"/>
      <c r="BO49" s="661"/>
      <c r="BP49" s="661"/>
      <c r="BQ49" s="661"/>
      <c r="BR49" s="620">
        <v>1</v>
      </c>
      <c r="BS49" s="661"/>
      <c r="BT49" s="661"/>
      <c r="BU49" s="661"/>
      <c r="BV49" s="486">
        <v>1</v>
      </c>
      <c r="BW49" s="486">
        <v>1</v>
      </c>
      <c r="BX49" s="486">
        <v>3.0208256324844056</v>
      </c>
    </row>
    <row r="50" spans="1:76" ht="17" x14ac:dyDescent="0.25">
      <c r="A50" s="461">
        <v>2</v>
      </c>
      <c r="B50" s="590" t="s">
        <v>487</v>
      </c>
      <c r="AF50" s="488"/>
      <c r="AH50" s="488"/>
      <c r="AI50" s="488"/>
      <c r="AO50" s="461">
        <v>0</v>
      </c>
      <c r="AQ50" s="461">
        <v>0.3</v>
      </c>
      <c r="AW50" s="486">
        <v>0.16956939027430545</v>
      </c>
      <c r="AX50" s="486">
        <v>3.447275885292217E-2</v>
      </c>
      <c r="AY50" s="486">
        <v>0.1856684110260067</v>
      </c>
      <c r="AZ50" s="486">
        <v>2.3035045227138357E-2</v>
      </c>
      <c r="BA50" s="486">
        <v>0.68945517705844339</v>
      </c>
      <c r="BB50" s="664"/>
      <c r="BC50" s="664"/>
      <c r="BD50" s="664"/>
      <c r="BE50" s="664"/>
      <c r="BF50" s="664"/>
      <c r="BG50" s="486">
        <v>0.16956939027430545</v>
      </c>
      <c r="BH50" s="486">
        <v>0.15166679430223023</v>
      </c>
      <c r="BI50" s="486">
        <v>0.29595815348883053</v>
      </c>
      <c r="BJ50" s="486">
        <v>0.14737899772814983</v>
      </c>
      <c r="BK50" s="661"/>
      <c r="BL50" s="661"/>
      <c r="BM50" s="661"/>
      <c r="BN50" s="661"/>
      <c r="BO50" s="661"/>
      <c r="BP50" s="661"/>
      <c r="BQ50" s="661"/>
      <c r="BR50" s="620">
        <v>1</v>
      </c>
      <c r="BS50" s="661"/>
      <c r="BT50" s="661"/>
      <c r="BU50" s="661"/>
      <c r="BV50" s="486">
        <v>1</v>
      </c>
      <c r="BW50" s="486">
        <v>1</v>
      </c>
      <c r="BX50" s="486">
        <v>2.7623971473355722</v>
      </c>
    </row>
    <row r="51" spans="1:76" ht="17" x14ac:dyDescent="0.25">
      <c r="A51" s="461">
        <v>3</v>
      </c>
      <c r="B51" s="590" t="s">
        <v>486</v>
      </c>
      <c r="AF51" s="488"/>
      <c r="AH51" s="488"/>
      <c r="AI51" s="488"/>
      <c r="AO51" s="461">
        <v>0</v>
      </c>
      <c r="AQ51" s="461">
        <v>0.2</v>
      </c>
      <c r="AW51" s="486">
        <v>0.12501281353646249</v>
      </c>
      <c r="AX51" s="486">
        <v>1.9057950465889831E-2</v>
      </c>
      <c r="AY51" s="486">
        <v>0.1380505359130845</v>
      </c>
      <c r="AZ51" s="486">
        <v>2.089240848517078E-2</v>
      </c>
      <c r="BA51" s="486">
        <v>0.38115900931779662</v>
      </c>
      <c r="BB51" s="664"/>
      <c r="BC51" s="664"/>
      <c r="BD51" s="664"/>
      <c r="BE51" s="664"/>
      <c r="BF51" s="664"/>
      <c r="BG51" s="486">
        <v>0.12501281353646249</v>
      </c>
      <c r="BH51" s="486">
        <v>0.14427853206184621</v>
      </c>
      <c r="BI51" s="486">
        <v>0.19281773248826967</v>
      </c>
      <c r="BJ51" s="486">
        <v>9.8706570163911794E-2</v>
      </c>
      <c r="BK51" s="661"/>
      <c r="BL51" s="661"/>
      <c r="BM51" s="661"/>
      <c r="BN51" s="661"/>
      <c r="BO51" s="661"/>
      <c r="BP51" s="661"/>
      <c r="BQ51" s="661"/>
      <c r="BR51" s="620">
        <v>1</v>
      </c>
      <c r="BS51" s="661"/>
      <c r="BT51" s="661"/>
      <c r="BU51" s="661"/>
      <c r="BV51" s="486">
        <v>1</v>
      </c>
      <c r="BW51" s="486">
        <v>1</v>
      </c>
      <c r="BX51" s="486">
        <v>3.3407100723937448</v>
      </c>
    </row>
    <row r="52" spans="1:76" ht="17" x14ac:dyDescent="0.25">
      <c r="A52" s="461">
        <v>4</v>
      </c>
      <c r="B52" s="590" t="s">
        <v>488</v>
      </c>
      <c r="AF52" s="488"/>
      <c r="AH52" s="488"/>
      <c r="AI52" s="488"/>
      <c r="AO52" s="461">
        <v>0</v>
      </c>
      <c r="AQ52" s="461">
        <v>0.1</v>
      </c>
      <c r="AW52" s="486">
        <v>3.6850582641514196E-2</v>
      </c>
      <c r="AX52" s="488">
        <v>2.465565559589219E-3</v>
      </c>
      <c r="AY52" s="488">
        <v>4.9654461628228529E-2</v>
      </c>
      <c r="AZ52" s="606">
        <v>6.7413280775293987E-4</v>
      </c>
      <c r="BA52" s="486">
        <v>4.9311311191784377E-2</v>
      </c>
      <c r="BB52" s="664"/>
      <c r="BC52" s="664"/>
      <c r="BD52" s="664"/>
      <c r="BE52" s="664"/>
      <c r="BF52" s="664"/>
      <c r="BG52" s="488">
        <v>3.6850582641514196E-2</v>
      </c>
      <c r="BH52" s="488">
        <v>2.5758617566230366E-2</v>
      </c>
      <c r="BI52" s="488">
        <v>9.8292869114832204E-2</v>
      </c>
      <c r="BJ52" s="486">
        <v>2.102471470145233E-2</v>
      </c>
      <c r="BK52" s="661"/>
      <c r="BL52" s="661"/>
      <c r="BM52" s="661"/>
      <c r="BN52" s="661"/>
      <c r="BO52" s="661"/>
      <c r="BP52" s="661"/>
      <c r="BQ52" s="661"/>
      <c r="BR52" s="620">
        <v>1</v>
      </c>
      <c r="BS52" s="661"/>
      <c r="BT52" s="661"/>
      <c r="BU52" s="661"/>
      <c r="BV52" s="486">
        <v>1</v>
      </c>
      <c r="BW52" s="486">
        <v>1</v>
      </c>
      <c r="BX52" s="486">
        <v>5.5717699660644602</v>
      </c>
    </row>
    <row r="53" spans="1:76" ht="17" x14ac:dyDescent="0.25">
      <c r="A53" s="461">
        <v>5</v>
      </c>
      <c r="B53" s="590" t="s">
        <v>489</v>
      </c>
      <c r="AF53" s="488"/>
      <c r="AH53" s="488"/>
      <c r="AI53" s="488"/>
      <c r="AO53" s="461">
        <v>0</v>
      </c>
      <c r="AQ53" s="461">
        <v>0.01</v>
      </c>
      <c r="AW53" s="488">
        <v>5.2515477277187599E-3</v>
      </c>
      <c r="AX53" s="607">
        <v>3.8803922342846516E-5</v>
      </c>
      <c r="AY53" s="606">
        <v>6.229279440099514E-3</v>
      </c>
      <c r="AZ53" s="607">
        <v>3.1402796580723254E-5</v>
      </c>
      <c r="BA53" s="488">
        <v>7.7607844685693029E-4</v>
      </c>
      <c r="BB53" s="664"/>
      <c r="BC53" s="664"/>
      <c r="BD53" s="664"/>
      <c r="BE53" s="664"/>
      <c r="BF53" s="664"/>
      <c r="BG53" s="606">
        <v>5.2515477277187599E-3</v>
      </c>
      <c r="BH53" s="606">
        <v>5.6037323943278605E-3</v>
      </c>
      <c r="BI53" s="606">
        <v>9.7968256566828352E-3</v>
      </c>
      <c r="BJ53" s="488">
        <v>3.4264312969542318E-3</v>
      </c>
      <c r="BK53" s="666"/>
      <c r="BL53" s="666"/>
      <c r="BM53" s="666"/>
      <c r="BN53" s="666"/>
      <c r="BO53" s="666"/>
      <c r="BP53" s="661"/>
      <c r="BQ53" s="661"/>
      <c r="BR53" s="620">
        <v>1</v>
      </c>
      <c r="BS53" s="661"/>
      <c r="BT53" s="661"/>
      <c r="BU53" s="661"/>
      <c r="BV53" s="486">
        <v>1</v>
      </c>
      <c r="BW53" s="486">
        <v>1</v>
      </c>
      <c r="BX53" s="486">
        <v>8.1890775247129604</v>
      </c>
    </row>
    <row r="54" spans="1:76" ht="17" x14ac:dyDescent="0.25">
      <c r="A54" s="461">
        <v>6</v>
      </c>
      <c r="B54" s="590" t="s">
        <v>490</v>
      </c>
      <c r="AF54" s="488"/>
      <c r="AH54" s="488"/>
      <c r="AI54" s="488"/>
      <c r="AO54" s="461">
        <v>0</v>
      </c>
      <c r="AQ54" s="461">
        <v>1E-3</v>
      </c>
      <c r="AW54" s="606">
        <v>5.6698037383359073E-4</v>
      </c>
      <c r="AX54" s="609">
        <v>4.1353544417614815E-7</v>
      </c>
      <c r="AY54" s="608">
        <v>6.4306721590837461E-4</v>
      </c>
      <c r="AZ54" s="609">
        <v>3.7214066830241769E-7</v>
      </c>
      <c r="BA54" s="607">
        <v>8.2707088835229628E-6</v>
      </c>
      <c r="BB54" s="664"/>
      <c r="BC54" s="664"/>
      <c r="BD54" s="664"/>
      <c r="BE54" s="664"/>
      <c r="BF54" s="664"/>
      <c r="BG54" s="608">
        <v>5.6698037383359073E-4</v>
      </c>
      <c r="BH54" s="608">
        <v>6.0889918810160643E-4</v>
      </c>
      <c r="BI54" s="606">
        <v>9.9973316097226161E-4</v>
      </c>
      <c r="BJ54" s="606">
        <v>4.5712209841258946E-4</v>
      </c>
      <c r="BK54" s="667"/>
      <c r="BL54" s="667"/>
      <c r="BM54" s="667"/>
      <c r="BN54" s="667"/>
      <c r="BO54" s="667"/>
      <c r="BP54" s="661"/>
      <c r="BQ54" s="661"/>
      <c r="BR54" s="620">
        <v>1</v>
      </c>
      <c r="BS54" s="661"/>
      <c r="BT54" s="661"/>
      <c r="BU54" s="661"/>
      <c r="BV54" s="486">
        <v>1</v>
      </c>
      <c r="BW54" s="486">
        <v>1</v>
      </c>
      <c r="BX54" s="486">
        <v>11.095132815475951</v>
      </c>
    </row>
    <row r="55" spans="1:76" ht="17" x14ac:dyDescent="0.25">
      <c r="A55" s="461">
        <v>7</v>
      </c>
      <c r="B55" s="590" t="s">
        <v>491</v>
      </c>
      <c r="AF55" s="488"/>
      <c r="AH55" s="488"/>
      <c r="AI55" s="488"/>
      <c r="AO55" s="461">
        <v>0</v>
      </c>
      <c r="AQ55" s="461">
        <v>1E-4</v>
      </c>
      <c r="AW55" s="607">
        <v>4.4837703801308436E-5</v>
      </c>
      <c r="AX55" s="614">
        <v>2.7487188696028658E-9</v>
      </c>
      <c r="AY55" s="608">
        <v>5.2428225886471359E-5</v>
      </c>
      <c r="AZ55" s="614">
        <v>2.4588460076744159E-9</v>
      </c>
      <c r="BA55" s="609">
        <v>5.4974377392057317E-8</v>
      </c>
      <c r="BB55" s="664"/>
      <c r="BC55" s="664"/>
      <c r="BD55" s="664"/>
      <c r="BE55" s="664"/>
      <c r="BF55" s="664"/>
      <c r="BG55" s="608">
        <v>4.4837703801308436E-5</v>
      </c>
      <c r="BH55" s="608">
        <v>4.9544999018600943E-5</v>
      </c>
      <c r="BI55" s="606">
        <v>9.623232736972521E-5</v>
      </c>
      <c r="BJ55" s="607">
        <v>3.3244082459377775E-5</v>
      </c>
      <c r="BK55" s="668"/>
      <c r="BL55" s="668"/>
      <c r="BM55" s="668"/>
      <c r="BN55" s="668"/>
      <c r="BO55" s="668"/>
      <c r="BP55" s="661"/>
      <c r="BQ55" s="661"/>
      <c r="BR55" s="620">
        <v>1</v>
      </c>
      <c r="BS55" s="661"/>
      <c r="BT55" s="661"/>
      <c r="BU55" s="661"/>
      <c r="BV55" s="486">
        <v>1</v>
      </c>
      <c r="BW55" s="486">
        <v>1</v>
      </c>
      <c r="BX55" s="486">
        <v>14.876542914763984</v>
      </c>
    </row>
    <row r="56" spans="1:76" ht="17" x14ac:dyDescent="0.25">
      <c r="A56" s="461">
        <v>8</v>
      </c>
      <c r="B56" s="590" t="s">
        <v>492</v>
      </c>
      <c r="AF56" s="488"/>
      <c r="AH56" s="488"/>
      <c r="AI56" s="488"/>
      <c r="AO56" s="461">
        <v>0</v>
      </c>
      <c r="AQ56" s="461">
        <v>1.0000000000000001E-5</v>
      </c>
      <c r="AW56" s="608">
        <v>5.4977715029789468E-6</v>
      </c>
      <c r="AX56" s="615">
        <v>3.9140249353773052E-11</v>
      </c>
      <c r="AY56" s="608">
        <v>6.2562168563576068E-6</v>
      </c>
      <c r="AZ56" s="615">
        <v>2.5494706705257147E-11</v>
      </c>
      <c r="BA56" s="614">
        <v>7.8280498707546099E-10</v>
      </c>
      <c r="BB56" s="664"/>
      <c r="BC56" s="664"/>
      <c r="BD56" s="664"/>
      <c r="BE56" s="664"/>
      <c r="BF56" s="664"/>
      <c r="BG56" s="608">
        <v>5.4977715029789468E-6</v>
      </c>
      <c r="BH56" s="608">
        <v>5.0427674638421486E-6</v>
      </c>
      <c r="BI56" s="607">
        <v>9.799754339900957E-6</v>
      </c>
      <c r="BJ56" s="608">
        <v>4.5865091617346949E-6</v>
      </c>
      <c r="BK56" s="669"/>
      <c r="BL56" s="669"/>
      <c r="BM56" s="669"/>
      <c r="BN56" s="669"/>
      <c r="BO56" s="669"/>
      <c r="BP56" s="661"/>
      <c r="BQ56" s="661"/>
      <c r="BR56" s="620">
        <v>1</v>
      </c>
      <c r="BS56" s="661"/>
      <c r="BT56" s="661"/>
      <c r="BU56" s="661"/>
      <c r="BV56" s="486">
        <v>1</v>
      </c>
      <c r="BW56" s="486">
        <v>1</v>
      </c>
      <c r="BX56" s="486">
        <v>17.734172047738429</v>
      </c>
    </row>
    <row r="57" spans="1:76" s="605" customFormat="1" ht="49" thickBot="1" x14ac:dyDescent="0.25">
      <c r="A57" s="765"/>
      <c r="B57" s="634" t="s">
        <v>825</v>
      </c>
      <c r="C57" s="633">
        <v>0</v>
      </c>
      <c r="D57" s="633">
        <v>0</v>
      </c>
      <c r="E57" s="633">
        <v>0</v>
      </c>
      <c r="F57" s="633">
        <v>20</v>
      </c>
      <c r="G57" s="633">
        <v>0</v>
      </c>
      <c r="H57" s="633">
        <v>20</v>
      </c>
      <c r="I57" s="633">
        <v>0</v>
      </c>
      <c r="J57" s="633">
        <v>20</v>
      </c>
      <c r="K57" s="633">
        <v>20</v>
      </c>
      <c r="L57" s="633">
        <v>0</v>
      </c>
      <c r="M57" s="633">
        <v>20</v>
      </c>
      <c r="N57" s="633">
        <v>0</v>
      </c>
      <c r="O57" s="633">
        <v>1</v>
      </c>
      <c r="P57" s="633">
        <v>0</v>
      </c>
      <c r="Q57" s="633">
        <v>0</v>
      </c>
      <c r="R57" s="633" t="e">
        <v>#DIV/0!</v>
      </c>
      <c r="S57" s="633">
        <v>0</v>
      </c>
      <c r="T57" s="633" t="e">
        <v>#DIV/0!</v>
      </c>
      <c r="U57" s="633">
        <v>1</v>
      </c>
      <c r="V57" s="633" t="e">
        <v>#DIV/0!</v>
      </c>
      <c r="W57" s="633" t="e">
        <v>#DIV/0!</v>
      </c>
      <c r="X57" s="633">
        <v>0</v>
      </c>
      <c r="Y57" s="633">
        <v>1</v>
      </c>
      <c r="Z57" s="633" t="e">
        <v>#DIV/0!</v>
      </c>
      <c r="AA57" s="633" t="e">
        <v>#DIV/0!</v>
      </c>
      <c r="AB57" s="633" t="e">
        <v>#DIV/0!</v>
      </c>
      <c r="AC57" s="633">
        <v>1</v>
      </c>
      <c r="AD57" s="633">
        <v>0</v>
      </c>
      <c r="AE57" s="633" t="e">
        <v>#DIV/0!</v>
      </c>
      <c r="AF57" s="659" t="e">
        <v>#DIV/0!</v>
      </c>
      <c r="AG57" s="633" t="e">
        <v>#DIV/0!</v>
      </c>
      <c r="AH57" s="659" t="e">
        <v>#NUM!</v>
      </c>
      <c r="AI57" s="659" t="e">
        <v>#NUM!</v>
      </c>
      <c r="AJ57" s="633" t="e">
        <v>#NUM!</v>
      </c>
      <c r="AK57" s="633" t="e">
        <v>#DIV/0!</v>
      </c>
      <c r="AL57" s="633" t="e">
        <v>#DIV/0!</v>
      </c>
      <c r="AM57" s="633">
        <v>0</v>
      </c>
      <c r="AN57" s="633">
        <v>1</v>
      </c>
      <c r="AO57" s="633">
        <v>0</v>
      </c>
      <c r="AP57" s="633">
        <v>0.5</v>
      </c>
      <c r="AQ57" s="640" t="s">
        <v>507</v>
      </c>
      <c r="AR57" s="635" t="s">
        <v>347</v>
      </c>
      <c r="AS57" s="635" t="s">
        <v>349</v>
      </c>
      <c r="AT57" s="738" t="s">
        <v>477</v>
      </c>
      <c r="AU57" s="738" t="s">
        <v>481</v>
      </c>
      <c r="AV57" s="738" t="s">
        <v>483</v>
      </c>
      <c r="AW57" s="642" t="s">
        <v>493</v>
      </c>
      <c r="AX57" s="641" t="s">
        <v>493</v>
      </c>
      <c r="AY57" s="642" t="s">
        <v>493</v>
      </c>
      <c r="AZ57" s="642" t="s">
        <v>493</v>
      </c>
      <c r="BA57" s="642" t="s">
        <v>493</v>
      </c>
      <c r="BB57" s="643" t="s">
        <v>494</v>
      </c>
      <c r="BC57" s="643" t="s">
        <v>494</v>
      </c>
      <c r="BD57" s="643" t="s">
        <v>494</v>
      </c>
      <c r="BE57" s="643" t="s">
        <v>494</v>
      </c>
      <c r="BF57" s="643" t="s">
        <v>494</v>
      </c>
      <c r="BG57" s="642" t="s">
        <v>493</v>
      </c>
      <c r="BH57" s="642" t="s">
        <v>493</v>
      </c>
      <c r="BI57" s="642" t="s">
        <v>493</v>
      </c>
      <c r="BJ57" s="642" t="s">
        <v>493</v>
      </c>
      <c r="BK57" s="643" t="s">
        <v>494</v>
      </c>
      <c r="BL57" s="643" t="s">
        <v>494</v>
      </c>
      <c r="BM57" s="643" t="s">
        <v>494</v>
      </c>
      <c r="BN57" s="643" t="s">
        <v>494</v>
      </c>
      <c r="BO57" s="643" t="s">
        <v>494</v>
      </c>
      <c r="BP57" s="643" t="s">
        <v>494</v>
      </c>
      <c r="BQ57" s="692" t="s">
        <v>494</v>
      </c>
      <c r="BR57" s="644">
        <v>1</v>
      </c>
      <c r="BS57" s="643" t="s">
        <v>494</v>
      </c>
      <c r="BT57" s="643" t="s">
        <v>494</v>
      </c>
      <c r="BU57" s="643" t="s">
        <v>494</v>
      </c>
      <c r="BV57" s="645">
        <v>1</v>
      </c>
      <c r="BW57" s="645">
        <v>1</v>
      </c>
      <c r="BX57" s="646" t="s">
        <v>495</v>
      </c>
    </row>
    <row r="58" spans="1:76" ht="17" x14ac:dyDescent="0.25">
      <c r="A58" s="461">
        <v>1</v>
      </c>
      <c r="B58" s="693" t="s">
        <v>657</v>
      </c>
      <c r="C58" s="461">
        <v>20</v>
      </c>
      <c r="D58" s="461">
        <v>0</v>
      </c>
      <c r="E58" s="461">
        <v>0</v>
      </c>
      <c r="F58" s="461">
        <v>0</v>
      </c>
      <c r="G58" s="461">
        <v>20</v>
      </c>
      <c r="H58" s="461">
        <v>0</v>
      </c>
      <c r="I58" s="461">
        <v>20</v>
      </c>
      <c r="J58" s="461">
        <v>0</v>
      </c>
      <c r="K58" s="461">
        <v>20</v>
      </c>
      <c r="L58" s="461">
        <v>0</v>
      </c>
      <c r="M58" s="461">
        <v>20</v>
      </c>
      <c r="N58" s="461">
        <v>1</v>
      </c>
      <c r="O58" s="461">
        <v>0</v>
      </c>
      <c r="P58" s="461">
        <v>1</v>
      </c>
      <c r="Q58" s="461">
        <v>0</v>
      </c>
      <c r="R58" s="461">
        <v>1</v>
      </c>
      <c r="S58" s="461" t="e">
        <v>#DIV/0!</v>
      </c>
      <c r="T58" s="461">
        <v>0</v>
      </c>
      <c r="U58" s="461" t="e">
        <v>#DIV/0!</v>
      </c>
      <c r="V58" s="461">
        <v>1</v>
      </c>
      <c r="W58" s="461">
        <v>0</v>
      </c>
      <c r="X58" s="461" t="e">
        <v>#DIV/0!</v>
      </c>
      <c r="Y58" s="461" t="e">
        <v>#DIV/0!</v>
      </c>
      <c r="Z58" s="461" t="e">
        <v>#DIV/0!</v>
      </c>
      <c r="AA58" s="461" t="e">
        <v>#DIV/0!</v>
      </c>
      <c r="AB58" s="461" t="e">
        <v>#DIV/0!</v>
      </c>
      <c r="AC58" s="461">
        <v>1</v>
      </c>
      <c r="AD58" s="461">
        <v>0</v>
      </c>
      <c r="AE58" s="461">
        <v>1</v>
      </c>
      <c r="AF58" s="488" t="e">
        <v>#DIV/0!</v>
      </c>
      <c r="AG58" s="461" t="e">
        <v>#DIV/0!</v>
      </c>
      <c r="AH58" s="488" t="e">
        <v>#NUM!</v>
      </c>
      <c r="AI58" s="488" t="e">
        <v>#NUM!</v>
      </c>
      <c r="AJ58" s="461" t="e">
        <v>#NUM!</v>
      </c>
      <c r="AK58" s="461" t="e">
        <v>#DIV/0!</v>
      </c>
      <c r="AL58" s="461" t="e">
        <v>#DIV/0!</v>
      </c>
      <c r="AM58" s="461">
        <v>0</v>
      </c>
      <c r="AN58" s="461">
        <v>1</v>
      </c>
      <c r="AO58" s="461">
        <v>0.5</v>
      </c>
      <c r="AP58" s="461">
        <v>0.5</v>
      </c>
      <c r="AQ58" s="461">
        <v>1</v>
      </c>
      <c r="AR58" s="485" t="s">
        <v>347</v>
      </c>
      <c r="AS58" s="485" t="s">
        <v>349</v>
      </c>
      <c r="AT58" s="699" t="s">
        <v>480</v>
      </c>
      <c r="AU58" s="699" t="s">
        <v>478</v>
      </c>
      <c r="AV58" s="699" t="s">
        <v>496</v>
      </c>
      <c r="AW58" s="486">
        <v>-0.24766117514092306</v>
      </c>
      <c r="AX58" s="617">
        <v>8.9176014002300588E-2</v>
      </c>
      <c r="AY58" s="486">
        <v>0.29862353223130389</v>
      </c>
      <c r="AZ58" s="486">
        <v>6.6501428800593815E-2</v>
      </c>
      <c r="BA58" s="486">
        <v>1.7835202800460117</v>
      </c>
      <c r="BB58" s="486">
        <v>0.11853171876249299</v>
      </c>
      <c r="BC58" s="661"/>
      <c r="BD58" s="661"/>
      <c r="BE58" s="486">
        <v>8.9176014002300588E-2</v>
      </c>
      <c r="BF58" s="486">
        <v>2.6001384176450731E-2</v>
      </c>
      <c r="BG58" s="486">
        <v>0.24766117514092306</v>
      </c>
      <c r="BH58" s="486">
        <v>0.25761159710597015</v>
      </c>
      <c r="BI58" s="486">
        <v>0.49212347478160412</v>
      </c>
      <c r="BJ58" s="486">
        <v>0.16076839346183644</v>
      </c>
      <c r="BK58" s="661"/>
      <c r="BL58" s="661"/>
      <c r="BM58" s="661"/>
      <c r="BN58" s="661"/>
      <c r="BO58" s="661"/>
      <c r="BP58" s="486">
        <v>-0.24766117514092306</v>
      </c>
      <c r="BQ58" s="486">
        <v>0.24766117514092306</v>
      </c>
      <c r="BR58" s="620">
        <v>0.39834407765537527</v>
      </c>
      <c r="BS58" s="486">
        <v>0.25761159710597015</v>
      </c>
      <c r="BT58" s="486">
        <v>0.29862353223130389</v>
      </c>
      <c r="BU58" s="486">
        <v>0.25787870947519848</v>
      </c>
      <c r="BV58" s="486">
        <v>0.15173728889077009</v>
      </c>
      <c r="BW58" s="486">
        <v>0.25761159710597015</v>
      </c>
      <c r="BX58" s="613">
        <v>0.44691543986483062</v>
      </c>
    </row>
    <row r="59" spans="1:76" ht="17" x14ac:dyDescent="0.25">
      <c r="A59" s="461">
        <v>2</v>
      </c>
      <c r="B59" s="590" t="s">
        <v>497</v>
      </c>
      <c r="AF59" s="488"/>
      <c r="AH59" s="488"/>
      <c r="AI59" s="488"/>
      <c r="AO59" s="461">
        <v>0.6</v>
      </c>
      <c r="AQ59" s="461">
        <v>1</v>
      </c>
      <c r="AW59" s="486">
        <v>-0.19138851780831101</v>
      </c>
      <c r="AX59" s="617">
        <v>5.2000009365543165E-2</v>
      </c>
      <c r="AY59" s="486">
        <v>0.22803510555513851</v>
      </c>
      <c r="AZ59" s="486">
        <v>3.4327148932790548E-2</v>
      </c>
      <c r="BA59" s="486">
        <v>1.0400001873108633</v>
      </c>
      <c r="BB59" s="486">
        <v>6.4307780078265181E-2</v>
      </c>
      <c r="BC59" s="665"/>
      <c r="BD59" s="665"/>
      <c r="BE59" s="486">
        <v>5.2000009365543165E-2</v>
      </c>
      <c r="BF59" s="488">
        <v>8.4004977511039306E-3</v>
      </c>
      <c r="BG59" s="486">
        <v>0.19138851780831101</v>
      </c>
      <c r="BH59" s="486">
        <v>0.18526894198029659</v>
      </c>
      <c r="BI59" s="486">
        <v>0.39942257221276123</v>
      </c>
      <c r="BJ59" s="486">
        <v>0.13758525578149372</v>
      </c>
      <c r="BK59" s="665"/>
      <c r="BL59" s="665"/>
      <c r="BM59" s="665"/>
      <c r="BN59" s="665"/>
      <c r="BO59" s="665"/>
      <c r="BP59" s="486">
        <v>-0.19138851780831101</v>
      </c>
      <c r="BQ59" s="486">
        <v>0.19138851780831101</v>
      </c>
      <c r="BR59" s="620">
        <v>0.26804980261606537</v>
      </c>
      <c r="BS59" s="486">
        <v>0.18526894198029659</v>
      </c>
      <c r="BT59" s="486">
        <v>0.22803510555513851</v>
      </c>
      <c r="BU59" s="486">
        <v>0.18527587250581373</v>
      </c>
      <c r="BV59" s="486">
        <v>0.11113919160574366</v>
      </c>
      <c r="BW59" s="486">
        <v>0.18526894198029659</v>
      </c>
      <c r="BX59" s="613">
        <v>0.32419210989994596</v>
      </c>
    </row>
    <row r="60" spans="1:76" ht="17" x14ac:dyDescent="0.25">
      <c r="A60" s="461">
        <v>3</v>
      </c>
      <c r="B60" s="590" t="s">
        <v>498</v>
      </c>
      <c r="AF60" s="488"/>
      <c r="AH60" s="488"/>
      <c r="AI60" s="488"/>
      <c r="AO60" s="461">
        <v>0.7</v>
      </c>
      <c r="AQ60" s="461">
        <v>1</v>
      </c>
      <c r="AW60" s="486">
        <v>-0.12223802417442657</v>
      </c>
      <c r="AX60" s="617">
        <v>2.083955011764654E-2</v>
      </c>
      <c r="AY60" s="486">
        <v>0.14435910126364232</v>
      </c>
      <c r="AZ60" s="486">
        <v>1.5736307683538862E-2</v>
      </c>
      <c r="BA60" s="486">
        <v>0.41679100235293082</v>
      </c>
      <c r="BB60" s="486">
        <v>2.3741687030867379E-2</v>
      </c>
      <c r="BC60" s="665"/>
      <c r="BD60" s="665"/>
      <c r="BE60" s="486">
        <v>2.083955011764654E-2</v>
      </c>
      <c r="BF60" s="488">
        <v>1.1914798231629508E-3</v>
      </c>
      <c r="BG60" s="486">
        <v>0.12223802417442657</v>
      </c>
      <c r="BH60" s="486">
        <v>0.12542442848580931</v>
      </c>
      <c r="BI60" s="486">
        <v>0.2993451716779395</v>
      </c>
      <c r="BJ60" s="486">
        <v>9.0062494098693172E-2</v>
      </c>
      <c r="BK60" s="665"/>
      <c r="BL60" s="665"/>
      <c r="BM60" s="665"/>
      <c r="BN60" s="665"/>
      <c r="BO60" s="665"/>
      <c r="BP60" s="486">
        <v>-0.12223802417442657</v>
      </c>
      <c r="BQ60" s="486">
        <v>0.12223802417442657</v>
      </c>
      <c r="BR60" s="620">
        <v>0.14839953788158902</v>
      </c>
      <c r="BS60" s="486">
        <v>0.12542442848580931</v>
      </c>
      <c r="BT60" s="486">
        <v>0.14435910126364232</v>
      </c>
      <c r="BU60" s="486">
        <v>0.12544444062428139</v>
      </c>
      <c r="BV60" s="486">
        <v>6.6909373132935351E-2</v>
      </c>
      <c r="BW60" s="486">
        <v>0.12542442848580931</v>
      </c>
      <c r="BX60" s="613">
        <v>0.19377571424248868</v>
      </c>
    </row>
    <row r="61" spans="1:76" ht="17" x14ac:dyDescent="0.25">
      <c r="A61" s="461">
        <v>4</v>
      </c>
      <c r="B61" s="590" t="s">
        <v>499</v>
      </c>
      <c r="AF61" s="488"/>
      <c r="AH61" s="488"/>
      <c r="AI61" s="488"/>
      <c r="AO61" s="461">
        <v>0.8</v>
      </c>
      <c r="AQ61" s="461">
        <v>1</v>
      </c>
      <c r="AW61" s="486">
        <v>-9.6258013498450673E-2</v>
      </c>
      <c r="AX61" s="617">
        <v>1.2154581801382767E-2</v>
      </c>
      <c r="AY61" s="486">
        <v>0.11024781993936554</v>
      </c>
      <c r="AZ61" s="486">
        <v>9.008616759750487E-3</v>
      </c>
      <c r="BA61" s="486">
        <v>0.24309163602765532</v>
      </c>
      <c r="BB61" s="486">
        <v>1.3449172421914393E-2</v>
      </c>
      <c r="BC61" s="665"/>
      <c r="BD61" s="665"/>
      <c r="BE61" s="486">
        <v>1.2154581801382767E-2</v>
      </c>
      <c r="BF61" s="606">
        <v>3.0185293090628296E-4</v>
      </c>
      <c r="BG61" s="486">
        <v>9.6258013498450673E-2</v>
      </c>
      <c r="BH61" s="486">
        <v>9.4911110556992917E-2</v>
      </c>
      <c r="BI61" s="486">
        <v>0.18182568163538748</v>
      </c>
      <c r="BJ61" s="486">
        <v>7.2183905043300703E-2</v>
      </c>
      <c r="BK61" s="665"/>
      <c r="BL61" s="665"/>
      <c r="BM61" s="665"/>
      <c r="BN61" s="665"/>
      <c r="BO61" s="665"/>
      <c r="BP61" s="486">
        <v>-9.6258013498450673E-2</v>
      </c>
      <c r="BQ61" s="486">
        <v>9.6258013498450673E-2</v>
      </c>
      <c r="BR61" s="620">
        <v>0.11042290803114488</v>
      </c>
      <c r="BS61" s="486">
        <v>9.4911110556992917E-2</v>
      </c>
      <c r="BT61" s="486">
        <v>0.11024781993936554</v>
      </c>
      <c r="BU61" s="486">
        <v>9.4913733251571597E-2</v>
      </c>
      <c r="BV61" s="486">
        <v>5.1398477690783387E-2</v>
      </c>
      <c r="BW61" s="486">
        <v>9.4911110556992917E-2</v>
      </c>
      <c r="BX61" s="613">
        <v>0.14856529926167689</v>
      </c>
    </row>
    <row r="62" spans="1:76" ht="17" x14ac:dyDescent="0.25">
      <c r="A62" s="461">
        <v>5</v>
      </c>
      <c r="B62" s="590" t="s">
        <v>500</v>
      </c>
      <c r="AF62" s="488"/>
      <c r="AH62" s="488"/>
      <c r="AI62" s="488"/>
      <c r="AO62" s="461">
        <v>0.9</v>
      </c>
      <c r="AQ62" s="461">
        <v>1</v>
      </c>
      <c r="AW62" s="486">
        <v>-4.2126870210046033E-2</v>
      </c>
      <c r="AX62" s="626">
        <v>2.6032970781507498E-3</v>
      </c>
      <c r="AY62" s="486">
        <v>5.1022515403993461E-2</v>
      </c>
      <c r="AZ62" s="488">
        <v>9.3491462296593861E-4</v>
      </c>
      <c r="BA62" s="486">
        <v>5.2065941563014993E-2</v>
      </c>
      <c r="BB62" s="488">
        <v>2.7177890236065086E-3</v>
      </c>
      <c r="BC62" s="665"/>
      <c r="BD62" s="665"/>
      <c r="BE62" s="488">
        <v>2.6032970781507498E-3</v>
      </c>
      <c r="BF62" s="607">
        <v>1.699936712911385E-5</v>
      </c>
      <c r="BG62" s="486">
        <v>4.2126870210046033E-2</v>
      </c>
      <c r="BH62" s="486">
        <v>3.0576041807494903E-2</v>
      </c>
      <c r="BI62" s="486">
        <v>9.6421527533651186E-2</v>
      </c>
      <c r="BJ62" s="486">
        <v>3.0689475967828502E-2</v>
      </c>
      <c r="BK62" s="665"/>
      <c r="BL62" s="665"/>
      <c r="BM62" s="665"/>
      <c r="BN62" s="665"/>
      <c r="BO62" s="665"/>
      <c r="BP62" s="486">
        <v>-4.2126870210046033E-2</v>
      </c>
      <c r="BQ62" s="486">
        <v>4.2126870210046033E-2</v>
      </c>
      <c r="BR62" s="620">
        <v>4.4940061588393858E-2</v>
      </c>
      <c r="BS62" s="486">
        <v>3.0576041807494903E-2</v>
      </c>
      <c r="BT62" s="486">
        <v>5.1022515403993461E-2</v>
      </c>
      <c r="BU62" s="486">
        <v>3.0576373607181389E-2</v>
      </c>
      <c r="BV62" s="486">
        <v>2.1739386828850828E-2</v>
      </c>
      <c r="BW62" s="486">
        <v>3.0576041807494903E-2</v>
      </c>
      <c r="BX62" s="613">
        <v>6.2752892828079027E-2</v>
      </c>
    </row>
    <row r="63" spans="1:76" ht="17" x14ac:dyDescent="0.25">
      <c r="A63" s="461">
        <v>6</v>
      </c>
      <c r="B63" s="590" t="s">
        <v>501</v>
      </c>
      <c r="AF63" s="488"/>
      <c r="AH63" s="488"/>
      <c r="AI63" s="488"/>
      <c r="AO63" s="461">
        <v>0.99</v>
      </c>
      <c r="AQ63" s="461">
        <v>1</v>
      </c>
      <c r="AW63" s="486">
        <v>-5.5675178662532576E-3</v>
      </c>
      <c r="AX63" s="627">
        <v>3.7807548062474702E-5</v>
      </c>
      <c r="AY63" s="486">
        <v>6.1487842751616114E-3</v>
      </c>
      <c r="AZ63" s="607">
        <v>2.9649550864569146E-5</v>
      </c>
      <c r="BA63" s="488">
        <v>7.5615096124949409E-4</v>
      </c>
      <c r="BB63" s="607">
        <v>3.8019220753279612E-5</v>
      </c>
      <c r="BC63" s="665"/>
      <c r="BD63" s="665"/>
      <c r="BE63" s="607">
        <v>3.7807548062474702E-5</v>
      </c>
      <c r="BF63" s="614">
        <v>2.3298809404022462E-9</v>
      </c>
      <c r="BG63" s="486">
        <v>5.5675178662532576E-3</v>
      </c>
      <c r="BH63" s="486">
        <v>5.4281296931655842E-3</v>
      </c>
      <c r="BI63" s="486">
        <v>9.7257115098277058E-3</v>
      </c>
      <c r="BJ63" s="488">
        <v>4.4763458654868624E-3</v>
      </c>
      <c r="BK63" s="665"/>
      <c r="BL63" s="665"/>
      <c r="BM63" s="665"/>
      <c r="BN63" s="665"/>
      <c r="BO63" s="665"/>
      <c r="BP63" s="486">
        <v>-5.5675178662532576E-3</v>
      </c>
      <c r="BQ63" s="486">
        <v>5.5675178662532576E-3</v>
      </c>
      <c r="BR63" s="620">
        <v>5.6056133991872151E-3</v>
      </c>
      <c r="BS63" s="486">
        <v>5.4281296931655842E-3</v>
      </c>
      <c r="BT63" s="486">
        <v>6.1487842751616114E-3</v>
      </c>
      <c r="BU63" s="486">
        <v>5.4451401143192947E-3</v>
      </c>
      <c r="BV63" s="488">
        <v>2.79324667201576E-3</v>
      </c>
      <c r="BW63" s="486">
        <v>5.4281296931655842E-3</v>
      </c>
      <c r="BX63" s="613">
        <v>8.0596410066645988E-3</v>
      </c>
    </row>
    <row r="64" spans="1:76" ht="17" x14ac:dyDescent="0.25">
      <c r="A64" s="461">
        <v>7</v>
      </c>
      <c r="B64" s="590" t="s">
        <v>502</v>
      </c>
      <c r="AF64" s="488"/>
      <c r="AH64" s="488"/>
      <c r="AI64" s="488"/>
      <c r="AO64" s="461">
        <v>0.999</v>
      </c>
      <c r="AQ64" s="461">
        <v>1</v>
      </c>
      <c r="AW64" s="606">
        <v>-4.5729715833314755E-4</v>
      </c>
      <c r="AX64" s="628">
        <v>3.4188410549505656E-7</v>
      </c>
      <c r="AY64" s="606">
        <v>5.8470856458158415E-4</v>
      </c>
      <c r="AZ64" s="609">
        <v>1.6154539396531438E-7</v>
      </c>
      <c r="BA64" s="607">
        <v>6.8376821099011312E-6</v>
      </c>
      <c r="BB64" s="609">
        <v>3.4204051965272855E-7</v>
      </c>
      <c r="BC64" s="665"/>
      <c r="BD64" s="665"/>
      <c r="BE64" s="609">
        <v>3.4188410549505656E-7</v>
      </c>
      <c r="BF64" s="616">
        <v>2.4626116827539156E-13</v>
      </c>
      <c r="BG64" s="606">
        <v>4.5729715833314755E-4</v>
      </c>
      <c r="BH64" s="606">
        <v>4.0184255680630887E-4</v>
      </c>
      <c r="BI64" s="606">
        <v>9.7140488697489147E-4</v>
      </c>
      <c r="BJ64" s="606">
        <v>2.2753498331172479E-4</v>
      </c>
      <c r="BK64" s="665"/>
      <c r="BL64" s="665"/>
      <c r="BM64" s="665"/>
      <c r="BN64" s="665"/>
      <c r="BO64" s="665"/>
      <c r="BP64" s="606">
        <v>-4.5729715833314755E-4</v>
      </c>
      <c r="BQ64" s="606">
        <v>4.5729715833314755E-4</v>
      </c>
      <c r="BR64" s="621">
        <v>4.5763932662577588E-4</v>
      </c>
      <c r="BS64" s="606">
        <v>4.0184255680630887E-4</v>
      </c>
      <c r="BT64" s="488">
        <v>5.8470856458158415E-4</v>
      </c>
      <c r="BU64" s="606">
        <v>4.0192710031212672E-4</v>
      </c>
      <c r="BV64" s="606">
        <v>2.287340857009411E-4</v>
      </c>
      <c r="BW64" s="606">
        <v>4.0184255680630887E-4</v>
      </c>
      <c r="BX64" s="623">
        <v>6.5998709642712552E-4</v>
      </c>
    </row>
    <row r="65" spans="1:76" ht="17" x14ac:dyDescent="0.25">
      <c r="A65" s="461">
        <v>8</v>
      </c>
      <c r="B65" s="590" t="s">
        <v>503</v>
      </c>
      <c r="AF65" s="488"/>
      <c r="AH65" s="488"/>
      <c r="AI65" s="488"/>
      <c r="AO65" s="461">
        <v>0.99990000000000001</v>
      </c>
      <c r="AQ65" s="461">
        <v>1</v>
      </c>
      <c r="AW65" s="606">
        <v>-5.1478151923178841E-5</v>
      </c>
      <c r="AX65" s="629">
        <v>3.2623853694769342E-9</v>
      </c>
      <c r="AY65" s="607">
        <v>5.7117294836826214E-5</v>
      </c>
      <c r="AZ65" s="614">
        <v>2.8486274032622522E-9</v>
      </c>
      <c r="BA65" s="609">
        <v>6.5247707389538686E-8</v>
      </c>
      <c r="BB65" s="609">
        <v>3.2625533196923827E-9</v>
      </c>
      <c r="BC65" s="665"/>
      <c r="BD65" s="665"/>
      <c r="BE65" s="614">
        <v>3.2623853694769342E-9</v>
      </c>
      <c r="BF65" s="616">
        <v>1.7781094645265767E-17</v>
      </c>
      <c r="BG65" s="607">
        <v>5.1478151923178841E-5</v>
      </c>
      <c r="BH65" s="607">
        <v>5.3231089352123728E-5</v>
      </c>
      <c r="BI65" s="607">
        <v>9.9594129882141225E-5</v>
      </c>
      <c r="BJ65" s="607">
        <v>4.4110077249156287E-5</v>
      </c>
      <c r="BK65" s="665"/>
      <c r="BL65" s="665"/>
      <c r="BM65" s="665"/>
      <c r="BN65" s="665"/>
      <c r="BO65" s="665"/>
      <c r="BP65" s="606">
        <v>-5.1478151923178841E-5</v>
      </c>
      <c r="BQ65" s="607">
        <v>5.1478151923178841E-5</v>
      </c>
      <c r="BR65" s="622">
        <v>5.1481414540639802E-5</v>
      </c>
      <c r="BS65" s="606">
        <v>5.3231089352123728E-5</v>
      </c>
      <c r="BT65" s="606">
        <v>5.7117294836826214E-5</v>
      </c>
      <c r="BU65" s="606">
        <v>5.337253416563853E-5</v>
      </c>
      <c r="BV65" s="607">
        <v>2.5739891586942105E-5</v>
      </c>
      <c r="BW65" s="607">
        <v>5.3231089352123728E-5</v>
      </c>
      <c r="BX65" s="624">
        <v>7.4269627918906056E-5</v>
      </c>
    </row>
    <row r="66" spans="1:76" s="605" customFormat="1" ht="49" thickBot="1" x14ac:dyDescent="0.25">
      <c r="A66" s="765"/>
      <c r="B66" s="634" t="s">
        <v>826</v>
      </c>
      <c r="C66" s="633">
        <v>20</v>
      </c>
      <c r="D66" s="633">
        <v>0</v>
      </c>
      <c r="E66" s="633">
        <v>0</v>
      </c>
      <c r="F66" s="633">
        <v>0</v>
      </c>
      <c r="G66" s="633">
        <v>20</v>
      </c>
      <c r="H66" s="633">
        <v>0</v>
      </c>
      <c r="I66" s="633">
        <v>20</v>
      </c>
      <c r="J66" s="633">
        <v>0</v>
      </c>
      <c r="K66" s="633">
        <v>20</v>
      </c>
      <c r="L66" s="633">
        <v>0</v>
      </c>
      <c r="M66" s="633">
        <v>20</v>
      </c>
      <c r="N66" s="633">
        <v>1</v>
      </c>
      <c r="O66" s="633">
        <v>0</v>
      </c>
      <c r="P66" s="633">
        <v>1</v>
      </c>
      <c r="Q66" s="633">
        <v>0</v>
      </c>
      <c r="R66" s="633">
        <v>1</v>
      </c>
      <c r="S66" s="633" t="e">
        <v>#DIV/0!</v>
      </c>
      <c r="T66" s="633">
        <v>0</v>
      </c>
      <c r="U66" s="633" t="e">
        <v>#DIV/0!</v>
      </c>
      <c r="V66" s="633">
        <v>1</v>
      </c>
      <c r="W66" s="633">
        <v>0</v>
      </c>
      <c r="X66" s="633" t="e">
        <v>#DIV/0!</v>
      </c>
      <c r="Y66" s="633" t="e">
        <v>#DIV/0!</v>
      </c>
      <c r="Z66" s="633" t="e">
        <v>#DIV/0!</v>
      </c>
      <c r="AA66" s="633" t="e">
        <v>#DIV/0!</v>
      </c>
      <c r="AB66" s="633" t="e">
        <v>#DIV/0!</v>
      </c>
      <c r="AC66" s="633">
        <v>1</v>
      </c>
      <c r="AD66" s="633">
        <v>0</v>
      </c>
      <c r="AE66" s="633">
        <v>1</v>
      </c>
      <c r="AF66" s="659" t="e">
        <v>#DIV/0!</v>
      </c>
      <c r="AG66" s="633" t="e">
        <v>#DIV/0!</v>
      </c>
      <c r="AH66" s="659" t="e">
        <v>#NUM!</v>
      </c>
      <c r="AI66" s="659" t="e">
        <v>#NUM!</v>
      </c>
      <c r="AJ66" s="633" t="e">
        <v>#NUM!</v>
      </c>
      <c r="AK66" s="633" t="e">
        <v>#DIV/0!</v>
      </c>
      <c r="AL66" s="633" t="e">
        <v>#DIV/0!</v>
      </c>
      <c r="AM66" s="633">
        <v>0</v>
      </c>
      <c r="AN66" s="633">
        <v>1</v>
      </c>
      <c r="AO66" s="640" t="s">
        <v>506</v>
      </c>
      <c r="AP66" s="633">
        <v>0.5</v>
      </c>
      <c r="AQ66" s="633">
        <v>1</v>
      </c>
      <c r="AR66" s="635" t="s">
        <v>347</v>
      </c>
      <c r="AS66" s="635" t="s">
        <v>349</v>
      </c>
      <c r="AT66" s="738" t="s">
        <v>480</v>
      </c>
      <c r="AU66" s="738" t="s">
        <v>478</v>
      </c>
      <c r="AV66" s="738" t="s">
        <v>496</v>
      </c>
      <c r="AW66" s="640" t="s">
        <v>505</v>
      </c>
      <c r="AX66" s="647" t="s">
        <v>493</v>
      </c>
      <c r="AY66" s="640" t="s">
        <v>493</v>
      </c>
      <c r="AZ66" s="640" t="s">
        <v>493</v>
      </c>
      <c r="BA66" s="640" t="s">
        <v>493</v>
      </c>
      <c r="BB66" s="640" t="s">
        <v>493</v>
      </c>
      <c r="BC66" s="649" t="s">
        <v>504</v>
      </c>
      <c r="BD66" s="649" t="s">
        <v>504</v>
      </c>
      <c r="BE66" s="640" t="s">
        <v>493</v>
      </c>
      <c r="BF66" s="640" t="s">
        <v>493</v>
      </c>
      <c r="BG66" s="640" t="s">
        <v>493</v>
      </c>
      <c r="BH66" s="640" t="s">
        <v>493</v>
      </c>
      <c r="BI66" s="640" t="s">
        <v>493</v>
      </c>
      <c r="BJ66" s="640" t="s">
        <v>493</v>
      </c>
      <c r="BK66" s="649" t="s">
        <v>504</v>
      </c>
      <c r="BL66" s="649" t="s">
        <v>504</v>
      </c>
      <c r="BM66" s="649" t="s">
        <v>504</v>
      </c>
      <c r="BN66" s="649" t="s">
        <v>504</v>
      </c>
      <c r="BO66" s="649" t="s">
        <v>504</v>
      </c>
      <c r="BP66" s="640" t="s">
        <v>505</v>
      </c>
      <c r="BQ66" s="640" t="s">
        <v>493</v>
      </c>
      <c r="BR66" s="648" t="s">
        <v>493</v>
      </c>
      <c r="BS66" s="640" t="s">
        <v>493</v>
      </c>
      <c r="BT66" s="640" t="s">
        <v>493</v>
      </c>
      <c r="BU66" s="640" t="s">
        <v>493</v>
      </c>
      <c r="BV66" s="640" t="s">
        <v>493</v>
      </c>
      <c r="BW66" s="640" t="s">
        <v>493</v>
      </c>
      <c r="BX66" s="647" t="s">
        <v>493</v>
      </c>
    </row>
    <row r="67" spans="1:76" ht="17" x14ac:dyDescent="0.25">
      <c r="A67" s="461">
        <v>1</v>
      </c>
      <c r="B67" s="590" t="s">
        <v>560</v>
      </c>
      <c r="C67" s="461">
        <v>0</v>
      </c>
      <c r="D67" s="461">
        <v>20</v>
      </c>
      <c r="E67" s="461">
        <v>0</v>
      </c>
      <c r="F67" s="461">
        <v>0</v>
      </c>
      <c r="G67" s="461">
        <v>0</v>
      </c>
      <c r="H67" s="461">
        <v>20</v>
      </c>
      <c r="I67" s="461">
        <v>20</v>
      </c>
      <c r="J67" s="461">
        <v>0</v>
      </c>
      <c r="K67" s="461">
        <v>0</v>
      </c>
      <c r="L67" s="461">
        <v>20</v>
      </c>
      <c r="M67" s="461">
        <v>20</v>
      </c>
      <c r="N67" s="461">
        <v>0</v>
      </c>
      <c r="O67" s="461">
        <v>1</v>
      </c>
      <c r="P67" s="461">
        <v>1</v>
      </c>
      <c r="Q67" s="461">
        <v>0</v>
      </c>
      <c r="R67" s="461" t="e">
        <v>#DIV/0!</v>
      </c>
      <c r="S67" s="461">
        <v>1</v>
      </c>
      <c r="T67" s="461" t="e">
        <v>#DIV/0!</v>
      </c>
      <c r="U67" s="461">
        <v>0</v>
      </c>
      <c r="V67" s="461">
        <v>0</v>
      </c>
      <c r="W67" s="461">
        <v>1</v>
      </c>
      <c r="X67" s="461" t="e">
        <v>#DIV/0!</v>
      </c>
      <c r="Y67" s="461" t="e">
        <v>#DIV/0!</v>
      </c>
      <c r="Z67" s="461" t="e">
        <v>#DIV/0!</v>
      </c>
      <c r="AA67" s="461" t="e">
        <v>#DIV/0!</v>
      </c>
      <c r="AB67" s="461" t="e">
        <v>#DIV/0!</v>
      </c>
      <c r="AC67" s="461">
        <v>0</v>
      </c>
      <c r="AD67" s="461">
        <v>1</v>
      </c>
      <c r="AE67" s="461" t="e">
        <v>#DIV/0!</v>
      </c>
      <c r="AF67" s="488">
        <v>0</v>
      </c>
      <c r="AG67" s="461" t="e">
        <v>#DIV/0!</v>
      </c>
      <c r="AH67" s="488" t="e">
        <v>#NUM!</v>
      </c>
      <c r="AI67" s="488" t="e">
        <v>#NUM!</v>
      </c>
      <c r="AJ67" s="461" t="e">
        <v>#NUM!</v>
      </c>
      <c r="AK67" s="461" t="e">
        <v>#DIV/0!</v>
      </c>
      <c r="AL67" s="461" t="e">
        <v>#DIV/0!</v>
      </c>
      <c r="AM67" s="461">
        <v>0</v>
      </c>
      <c r="AN67" s="461">
        <v>1</v>
      </c>
      <c r="AO67" s="461">
        <v>0.5</v>
      </c>
      <c r="AP67" s="461">
        <v>0.5</v>
      </c>
      <c r="AQ67" s="461">
        <v>0.6</v>
      </c>
      <c r="AR67" s="485" t="s">
        <v>347</v>
      </c>
      <c r="AS67" s="485" t="s">
        <v>349</v>
      </c>
      <c r="AT67" s="699" t="s">
        <v>477</v>
      </c>
      <c r="AU67" s="699" t="s">
        <v>478</v>
      </c>
      <c r="AV67" s="699" t="s">
        <v>479</v>
      </c>
      <c r="AW67" s="486">
        <v>0.55444044188495645</v>
      </c>
      <c r="AX67" s="617">
        <v>0.30816770545062044</v>
      </c>
      <c r="AY67" s="486">
        <v>0.55512854858187621</v>
      </c>
      <c r="AZ67" s="486">
        <v>0.3013343191475169</v>
      </c>
      <c r="BA67" s="486">
        <v>6.1633541090124089</v>
      </c>
      <c r="BB67" s="661"/>
      <c r="BC67" s="661"/>
      <c r="BD67" s="661"/>
      <c r="BE67" s="661"/>
      <c r="BF67" s="661"/>
      <c r="BG67" s="486">
        <v>0.55444044188495645</v>
      </c>
      <c r="BH67" s="486">
        <v>0.54893820216799838</v>
      </c>
      <c r="BI67" s="486">
        <v>0.59701491881751445</v>
      </c>
      <c r="BJ67" s="486">
        <v>0.55374882143149207</v>
      </c>
      <c r="BK67" s="661"/>
      <c r="BL67" s="661"/>
      <c r="BM67" s="661"/>
      <c r="BN67" s="661"/>
      <c r="BO67" s="661"/>
      <c r="BP67" s="661"/>
      <c r="BQ67" s="661"/>
      <c r="BR67" s="620">
        <v>1</v>
      </c>
      <c r="BS67" s="661"/>
      <c r="BT67" s="661"/>
      <c r="BU67" s="661"/>
      <c r="BV67" s="486">
        <v>1</v>
      </c>
      <c r="BW67" s="486">
        <v>1</v>
      </c>
      <c r="BX67" s="486">
        <v>0.85269637176914403</v>
      </c>
    </row>
    <row r="68" spans="1:76" ht="17" x14ac:dyDescent="0.25">
      <c r="A68" s="461">
        <v>2</v>
      </c>
      <c r="B68" s="590" t="s">
        <v>561</v>
      </c>
      <c r="AF68" s="488"/>
      <c r="AH68" s="488"/>
      <c r="AI68" s="488"/>
      <c r="AO68" s="461">
        <v>0.5</v>
      </c>
      <c r="AQ68" s="461">
        <v>0.7</v>
      </c>
      <c r="AR68" s="485" t="s">
        <v>347</v>
      </c>
      <c r="AS68" s="485" t="s">
        <v>349</v>
      </c>
      <c r="AT68" s="699" t="s">
        <v>477</v>
      </c>
      <c r="AU68" s="699" t="s">
        <v>478</v>
      </c>
      <c r="AV68" s="699" t="s">
        <v>479</v>
      </c>
      <c r="AW68" s="486">
        <v>0.59621281385220382</v>
      </c>
      <c r="AX68" s="617">
        <v>0.35714228827075822</v>
      </c>
      <c r="AY68" s="486">
        <v>0.59761382871446189</v>
      </c>
      <c r="AZ68" s="486">
        <v>0.34583203978465249</v>
      </c>
      <c r="BA68" s="486">
        <v>7.1428457654151645</v>
      </c>
      <c r="BB68" s="661"/>
      <c r="BC68" s="661"/>
      <c r="BD68" s="661"/>
      <c r="BE68" s="661"/>
      <c r="BF68" s="661"/>
      <c r="BG68" s="486">
        <v>0.59621281385220382</v>
      </c>
      <c r="BH68" s="486">
        <v>0.58806896670695552</v>
      </c>
      <c r="BI68" s="486">
        <v>0.69188270593313095</v>
      </c>
      <c r="BJ68" s="486">
        <v>0.59483280742171984</v>
      </c>
      <c r="BK68" s="661"/>
      <c r="BL68" s="661"/>
      <c r="BM68" s="661"/>
      <c r="BN68" s="661"/>
      <c r="BO68" s="661"/>
      <c r="BP68" s="661"/>
      <c r="BQ68" s="661"/>
      <c r="BR68" s="620">
        <v>1</v>
      </c>
      <c r="BS68" s="661"/>
      <c r="BT68" s="661"/>
      <c r="BU68" s="661"/>
      <c r="BV68" s="486">
        <v>1</v>
      </c>
      <c r="BW68" s="486">
        <v>1</v>
      </c>
      <c r="BX68" s="486">
        <v>0.74944387486867625</v>
      </c>
    </row>
    <row r="69" spans="1:76" ht="17" x14ac:dyDescent="0.25">
      <c r="A69" s="461">
        <v>3</v>
      </c>
      <c r="B69" s="590" t="s">
        <v>562</v>
      </c>
      <c r="AF69" s="488"/>
      <c r="AH69" s="488"/>
      <c r="AI69" s="488"/>
      <c r="AO69" s="461">
        <v>0.5</v>
      </c>
      <c r="AQ69" s="461">
        <v>0.8</v>
      </c>
      <c r="AR69" s="485" t="s">
        <v>347</v>
      </c>
      <c r="AS69" s="485" t="s">
        <v>349</v>
      </c>
      <c r="AT69" s="699" t="s">
        <v>477</v>
      </c>
      <c r="AU69" s="699" t="s">
        <v>478</v>
      </c>
      <c r="AV69" s="699" t="s">
        <v>479</v>
      </c>
      <c r="AW69" s="486">
        <v>0.62656274358877906</v>
      </c>
      <c r="AX69" s="617">
        <v>0.39896275868220266</v>
      </c>
      <c r="AY69" s="486">
        <v>0.63163498848797373</v>
      </c>
      <c r="AZ69" s="486">
        <v>0.39150067354217144</v>
      </c>
      <c r="BA69" s="486">
        <v>7.9792551736440531</v>
      </c>
      <c r="BB69" s="661"/>
      <c r="BC69" s="661"/>
      <c r="BD69" s="661"/>
      <c r="BE69" s="661"/>
      <c r="BF69" s="661"/>
      <c r="BG69" s="486">
        <v>0.62656274358877906</v>
      </c>
      <c r="BH69" s="486">
        <v>0.62566918824319839</v>
      </c>
      <c r="BI69" s="486">
        <v>0.78131021952061441</v>
      </c>
      <c r="BJ69" s="486">
        <v>0.62154255554939397</v>
      </c>
      <c r="BK69" s="661"/>
      <c r="BL69" s="661"/>
      <c r="BM69" s="661"/>
      <c r="BN69" s="661"/>
      <c r="BO69" s="661"/>
      <c r="BP69" s="661"/>
      <c r="BQ69" s="661"/>
      <c r="BR69" s="620">
        <v>1</v>
      </c>
      <c r="BS69" s="661"/>
      <c r="BT69" s="661"/>
      <c r="BU69" s="661"/>
      <c r="BV69" s="486">
        <v>1</v>
      </c>
      <c r="BW69" s="486">
        <v>1</v>
      </c>
      <c r="BX69" s="486">
        <v>0.68607492230911815</v>
      </c>
    </row>
    <row r="70" spans="1:76" ht="17" x14ac:dyDescent="0.25">
      <c r="A70" s="461">
        <v>4</v>
      </c>
      <c r="B70" s="590" t="s">
        <v>563</v>
      </c>
      <c r="AF70" s="488"/>
      <c r="AH70" s="488"/>
      <c r="AI70" s="488"/>
      <c r="AO70" s="461">
        <v>0.5</v>
      </c>
      <c r="AQ70" s="461">
        <v>0.9</v>
      </c>
      <c r="AR70" s="485" t="s">
        <v>347</v>
      </c>
      <c r="AS70" s="485" t="s">
        <v>349</v>
      </c>
      <c r="AT70" s="699" t="s">
        <v>477</v>
      </c>
      <c r="AU70" s="699" t="s">
        <v>478</v>
      </c>
      <c r="AV70" s="699" t="s">
        <v>479</v>
      </c>
      <c r="AW70" s="486">
        <v>0.69355390153717589</v>
      </c>
      <c r="AX70" s="617">
        <v>0.49537437119915229</v>
      </c>
      <c r="AY70" s="486">
        <v>0.70382836771414115</v>
      </c>
      <c r="AZ70" s="486">
        <v>0.48077901741915624</v>
      </c>
      <c r="BA70" s="486">
        <v>9.9074874239830457</v>
      </c>
      <c r="BB70" s="661"/>
      <c r="BC70" s="661"/>
      <c r="BD70" s="661"/>
      <c r="BE70" s="661"/>
      <c r="BF70" s="661"/>
      <c r="BG70" s="486">
        <v>0.69355390153717589</v>
      </c>
      <c r="BH70" s="486">
        <v>0.69335543229728303</v>
      </c>
      <c r="BI70" s="486">
        <v>0.87585355574241919</v>
      </c>
      <c r="BJ70" s="486">
        <v>0.68291894111960072</v>
      </c>
      <c r="BK70" s="661"/>
      <c r="BL70" s="661"/>
      <c r="BM70" s="661"/>
      <c r="BN70" s="661"/>
      <c r="BO70" s="661"/>
      <c r="BP70" s="661"/>
      <c r="BQ70" s="661"/>
      <c r="BR70" s="620">
        <v>1</v>
      </c>
      <c r="BS70" s="661"/>
      <c r="BT70" s="661"/>
      <c r="BU70" s="661"/>
      <c r="BV70" s="486">
        <v>1</v>
      </c>
      <c r="BW70" s="486">
        <v>1</v>
      </c>
      <c r="BX70" s="486">
        <v>0.55021374651075372</v>
      </c>
    </row>
    <row r="71" spans="1:76" ht="17" x14ac:dyDescent="0.25">
      <c r="A71" s="461">
        <v>5</v>
      </c>
      <c r="B71" s="590" t="s">
        <v>564</v>
      </c>
      <c r="AF71" s="488"/>
      <c r="AH71" s="488"/>
      <c r="AI71" s="488"/>
      <c r="AO71" s="461">
        <v>0.5</v>
      </c>
      <c r="AQ71" s="461">
        <v>1</v>
      </c>
      <c r="AR71" s="485" t="s">
        <v>347</v>
      </c>
      <c r="AS71" s="485" t="s">
        <v>349</v>
      </c>
      <c r="AT71" s="699" t="s">
        <v>477</v>
      </c>
      <c r="AU71" s="699" t="s">
        <v>478</v>
      </c>
      <c r="AV71" s="699" t="s">
        <v>479</v>
      </c>
      <c r="AW71" s="486">
        <v>0.77909879715776098</v>
      </c>
      <c r="AX71" s="617">
        <v>0.62961946928731638</v>
      </c>
      <c r="AY71" s="486">
        <v>0.79348564529379884</v>
      </c>
      <c r="AZ71" s="486">
        <v>0.59116701963750495</v>
      </c>
      <c r="BA71" s="486">
        <v>12.592389385746328</v>
      </c>
      <c r="BB71" s="661"/>
      <c r="BC71" s="661"/>
      <c r="BD71" s="661"/>
      <c r="BE71" s="661"/>
      <c r="BF71" s="661"/>
      <c r="BG71" s="486">
        <v>0.77909879715776098</v>
      </c>
      <c r="BH71" s="486">
        <v>0.76885696971759843</v>
      </c>
      <c r="BI71" s="486">
        <v>0.99352480380811059</v>
      </c>
      <c r="BJ71" s="486">
        <v>0.76396100299370917</v>
      </c>
      <c r="BK71" s="661"/>
      <c r="BL71" s="661"/>
      <c r="BM71" s="661"/>
      <c r="BN71" s="661"/>
      <c r="BO71" s="661"/>
      <c r="BP71" s="661"/>
      <c r="BQ71" s="661"/>
      <c r="BR71" s="620">
        <v>1</v>
      </c>
      <c r="BS71" s="661"/>
      <c r="BT71" s="661"/>
      <c r="BU71" s="661"/>
      <c r="BV71" s="486">
        <v>1</v>
      </c>
      <c r="BW71" s="486">
        <v>1</v>
      </c>
      <c r="BX71" s="486">
        <v>0.38842909828013356</v>
      </c>
    </row>
    <row r="72" spans="1:76" ht="17" x14ac:dyDescent="0.25">
      <c r="A72" s="461">
        <v>6</v>
      </c>
      <c r="B72" s="590" t="s">
        <v>565</v>
      </c>
      <c r="AF72" s="488"/>
      <c r="AH72" s="488"/>
      <c r="AI72" s="488"/>
      <c r="AO72" s="461">
        <v>0.6</v>
      </c>
      <c r="AQ72" s="461">
        <v>1</v>
      </c>
      <c r="AR72" s="485" t="s">
        <v>347</v>
      </c>
      <c r="AS72" s="485" t="s">
        <v>349</v>
      </c>
      <c r="AT72" s="699" t="s">
        <v>477</v>
      </c>
      <c r="AU72" s="699" t="s">
        <v>478</v>
      </c>
      <c r="AV72" s="699" t="s">
        <v>479</v>
      </c>
      <c r="AW72" s="486">
        <v>0.80389184949234349</v>
      </c>
      <c r="AX72" s="617">
        <v>0.65584609485345235</v>
      </c>
      <c r="AY72" s="486">
        <v>0.80984325326167428</v>
      </c>
      <c r="AZ72" s="486">
        <v>0.65252685539133803</v>
      </c>
      <c r="BA72" s="486">
        <v>13.116921897069048</v>
      </c>
      <c r="BB72" s="661"/>
      <c r="BC72" s="661"/>
      <c r="BD72" s="661"/>
      <c r="BE72" s="661"/>
      <c r="BF72" s="661"/>
      <c r="BG72" s="486">
        <v>0.80389184949234349</v>
      </c>
      <c r="BH72" s="486">
        <v>0.80778495700700748</v>
      </c>
      <c r="BI72" s="486">
        <v>0.94789130695306367</v>
      </c>
      <c r="BJ72" s="486">
        <v>0.79762786009312914</v>
      </c>
      <c r="BK72" s="661"/>
      <c r="BL72" s="661"/>
      <c r="BM72" s="661"/>
      <c r="BN72" s="661"/>
      <c r="BO72" s="661"/>
      <c r="BP72" s="661"/>
      <c r="BQ72" s="661"/>
      <c r="BR72" s="620">
        <v>1</v>
      </c>
      <c r="BS72" s="661"/>
      <c r="BT72" s="661"/>
      <c r="BU72" s="661"/>
      <c r="BV72" s="486">
        <v>1</v>
      </c>
      <c r="BW72" s="486">
        <v>1</v>
      </c>
      <c r="BX72" s="486">
        <v>0.32621229282899589</v>
      </c>
    </row>
    <row r="73" spans="1:76" ht="17" x14ac:dyDescent="0.25">
      <c r="A73" s="461">
        <v>7</v>
      </c>
      <c r="B73" s="590" t="s">
        <v>566</v>
      </c>
      <c r="AF73" s="488"/>
      <c r="AH73" s="488"/>
      <c r="AI73" s="488"/>
      <c r="AO73" s="461">
        <v>0.7</v>
      </c>
      <c r="AQ73" s="461">
        <v>1</v>
      </c>
      <c r="AR73" s="485" t="s">
        <v>347</v>
      </c>
      <c r="AS73" s="485" t="s">
        <v>349</v>
      </c>
      <c r="AT73" s="699" t="s">
        <v>477</v>
      </c>
      <c r="AU73" s="699" t="s">
        <v>478</v>
      </c>
      <c r="AV73" s="699" t="s">
        <v>479</v>
      </c>
      <c r="AW73" s="486">
        <v>0.84828483996008441</v>
      </c>
      <c r="AX73" s="617">
        <v>0.72876247423796225</v>
      </c>
      <c r="AY73" s="486">
        <v>0.85367586017056984</v>
      </c>
      <c r="AZ73" s="486">
        <v>0.66910159924540147</v>
      </c>
      <c r="BA73" s="486">
        <v>14.575249484759246</v>
      </c>
      <c r="BB73" s="661"/>
      <c r="BC73" s="661"/>
      <c r="BD73" s="661"/>
      <c r="BE73" s="661"/>
      <c r="BF73" s="661"/>
      <c r="BG73" s="486">
        <v>0.84828483996008441</v>
      </c>
      <c r="BH73" s="486">
        <v>0.81789294055627715</v>
      </c>
      <c r="BI73" s="486">
        <v>0.99076047792138744</v>
      </c>
      <c r="BJ73" s="486">
        <v>0.84290152179714761</v>
      </c>
      <c r="BK73" s="661"/>
      <c r="BL73" s="661"/>
      <c r="BM73" s="661"/>
      <c r="BN73" s="661"/>
      <c r="BO73" s="661"/>
      <c r="BP73" s="661"/>
      <c r="BQ73" s="661"/>
      <c r="BR73" s="620">
        <v>1</v>
      </c>
      <c r="BS73" s="661"/>
      <c r="BT73" s="661"/>
      <c r="BU73" s="661"/>
      <c r="BV73" s="486">
        <v>1</v>
      </c>
      <c r="BW73" s="486">
        <v>1</v>
      </c>
      <c r="BX73" s="486">
        <v>0.24656400739021986</v>
      </c>
    </row>
    <row r="74" spans="1:76" ht="17" x14ac:dyDescent="0.25">
      <c r="A74" s="461">
        <v>8</v>
      </c>
      <c r="B74" s="590" t="s">
        <v>567</v>
      </c>
      <c r="AF74" s="488"/>
      <c r="AH74" s="488"/>
      <c r="AI74" s="488"/>
      <c r="AO74" s="461">
        <v>0.8</v>
      </c>
      <c r="AQ74" s="461">
        <v>1</v>
      </c>
      <c r="AR74" s="485" t="s">
        <v>347</v>
      </c>
      <c r="AS74" s="485" t="s">
        <v>349</v>
      </c>
      <c r="AT74" s="699" t="s">
        <v>477</v>
      </c>
      <c r="AU74" s="699" t="s">
        <v>478</v>
      </c>
      <c r="AV74" s="699" t="s">
        <v>479</v>
      </c>
      <c r="AW74" s="486">
        <v>0.87813879648679261</v>
      </c>
      <c r="AX74" s="617">
        <v>0.77486769878317663</v>
      </c>
      <c r="AY74" s="486">
        <v>0.88026569783399866</v>
      </c>
      <c r="AZ74" s="486">
        <v>0.71901804609208841</v>
      </c>
      <c r="BA74" s="486">
        <v>15.497353975663533</v>
      </c>
      <c r="BB74" s="661"/>
      <c r="BC74" s="661"/>
      <c r="BD74" s="661"/>
      <c r="BE74" s="661"/>
      <c r="BF74" s="661"/>
      <c r="BG74" s="486">
        <v>0.87813879648679261</v>
      </c>
      <c r="BH74" s="486">
        <v>0.84794699567944742</v>
      </c>
      <c r="BI74" s="486">
        <v>0.98746421928485861</v>
      </c>
      <c r="BJ74" s="486">
        <v>0.87606005548453114</v>
      </c>
      <c r="BK74" s="661"/>
      <c r="BL74" s="661"/>
      <c r="BM74" s="661"/>
      <c r="BN74" s="661"/>
      <c r="BO74" s="661"/>
      <c r="BP74" s="661"/>
      <c r="BQ74" s="661"/>
      <c r="BR74" s="620">
        <v>1</v>
      </c>
      <c r="BS74" s="661"/>
      <c r="BT74" s="661"/>
      <c r="BU74" s="661"/>
      <c r="BV74" s="486">
        <v>1</v>
      </c>
      <c r="BW74" s="486">
        <v>1</v>
      </c>
      <c r="BX74" s="486">
        <v>0.19089832234411</v>
      </c>
    </row>
    <row r="75" spans="1:76" ht="17" x14ac:dyDescent="0.25">
      <c r="A75" s="461">
        <v>9</v>
      </c>
      <c r="B75" s="590" t="s">
        <v>568</v>
      </c>
      <c r="AF75" s="488"/>
      <c r="AH75" s="488"/>
      <c r="AI75" s="488"/>
      <c r="AO75" s="461">
        <v>0.9</v>
      </c>
      <c r="AQ75" s="461">
        <v>1</v>
      </c>
      <c r="AR75" s="485" t="s">
        <v>347</v>
      </c>
      <c r="AS75" s="485" t="s">
        <v>349</v>
      </c>
      <c r="AT75" s="699" t="s">
        <v>477</v>
      </c>
      <c r="AU75" s="699" t="s">
        <v>478</v>
      </c>
      <c r="AV75" s="699" t="s">
        <v>479</v>
      </c>
      <c r="AW75" s="486">
        <v>0.93981015314593219</v>
      </c>
      <c r="AX75" s="617">
        <v>0.88388823993465526</v>
      </c>
      <c r="AY75" s="486">
        <v>0.94015330661262653</v>
      </c>
      <c r="AZ75" s="486">
        <v>0.8730584527412738</v>
      </c>
      <c r="BA75" s="486">
        <v>17.677764798693104</v>
      </c>
      <c r="BB75" s="661"/>
      <c r="BC75" s="661"/>
      <c r="BD75" s="661"/>
      <c r="BE75" s="661"/>
      <c r="BF75" s="661"/>
      <c r="BG75" s="486">
        <v>0.93981015314593219</v>
      </c>
      <c r="BH75" s="486">
        <v>0.9343759646105162</v>
      </c>
      <c r="BI75" s="486">
        <v>0.99991278053470167</v>
      </c>
      <c r="BJ75" s="486">
        <v>0.93947097949373237</v>
      </c>
      <c r="BK75" s="661"/>
      <c r="BL75" s="661"/>
      <c r="BM75" s="661"/>
      <c r="BN75" s="661"/>
      <c r="BO75" s="661"/>
      <c r="BP75" s="661"/>
      <c r="BQ75" s="661"/>
      <c r="BR75" s="620">
        <v>1</v>
      </c>
      <c r="BS75" s="661"/>
      <c r="BT75" s="661"/>
      <c r="BU75" s="661"/>
      <c r="BV75" s="486">
        <v>1</v>
      </c>
      <c r="BW75" s="486">
        <v>1</v>
      </c>
      <c r="BX75" s="486">
        <v>9.0079497783939436E-2</v>
      </c>
    </row>
    <row r="76" spans="1:76" ht="17" x14ac:dyDescent="0.25">
      <c r="A76" s="461">
        <v>10</v>
      </c>
      <c r="B76" s="590" t="s">
        <v>569</v>
      </c>
      <c r="AF76" s="488"/>
      <c r="AH76" s="488"/>
      <c r="AI76" s="488"/>
      <c r="AO76" s="461">
        <v>0.99</v>
      </c>
      <c r="AQ76" s="461">
        <v>1</v>
      </c>
      <c r="AR76" s="485" t="s">
        <v>347</v>
      </c>
      <c r="AS76" s="485" t="s">
        <v>349</v>
      </c>
      <c r="AT76" s="699" t="s">
        <v>477</v>
      </c>
      <c r="AU76" s="699" t="s">
        <v>478</v>
      </c>
      <c r="AV76" s="699" t="s">
        <v>479</v>
      </c>
      <c r="AW76" s="486">
        <v>0.99451739901879566</v>
      </c>
      <c r="AX76" s="617">
        <v>0.98907145066808688</v>
      </c>
      <c r="AY76" s="486">
        <v>0.99452071404676479</v>
      </c>
      <c r="AZ76" s="486">
        <v>0.98674559378424975</v>
      </c>
      <c r="BA76" s="486">
        <v>19.781429013361738</v>
      </c>
      <c r="BB76" s="661"/>
      <c r="BC76" s="661"/>
      <c r="BD76" s="661"/>
      <c r="BE76" s="661"/>
      <c r="BF76" s="661"/>
      <c r="BG76" s="486">
        <v>0.99451739901879566</v>
      </c>
      <c r="BH76" s="486">
        <v>0.99335068970146145</v>
      </c>
      <c r="BI76" s="486">
        <v>0.99881938848826124</v>
      </c>
      <c r="BJ76" s="486">
        <v>0.9945140864763603</v>
      </c>
      <c r="BK76" s="661"/>
      <c r="BL76" s="661"/>
      <c r="BM76" s="661"/>
      <c r="BN76" s="661"/>
      <c r="BO76" s="661"/>
      <c r="BP76" s="661"/>
      <c r="BQ76" s="661"/>
      <c r="BR76" s="620">
        <v>1</v>
      </c>
      <c r="BS76" s="661"/>
      <c r="BT76" s="661"/>
      <c r="BU76" s="661"/>
      <c r="BV76" s="486">
        <v>1</v>
      </c>
      <c r="BW76" s="486">
        <v>1</v>
      </c>
      <c r="BX76" s="486">
        <v>7.9362890916289883E-3</v>
      </c>
    </row>
    <row r="77" spans="1:76" s="605" customFormat="1" ht="49" thickBot="1" x14ac:dyDescent="0.25">
      <c r="A77" s="765"/>
      <c r="B77" s="634" t="s">
        <v>827</v>
      </c>
      <c r="C77" s="633">
        <v>0</v>
      </c>
      <c r="D77" s="633">
        <v>20</v>
      </c>
      <c r="E77" s="633">
        <v>0</v>
      </c>
      <c r="F77" s="633">
        <v>0</v>
      </c>
      <c r="G77" s="633">
        <v>0</v>
      </c>
      <c r="H77" s="633">
        <v>20</v>
      </c>
      <c r="I77" s="633">
        <v>20</v>
      </c>
      <c r="J77" s="633">
        <v>0</v>
      </c>
      <c r="K77" s="633">
        <v>0</v>
      </c>
      <c r="L77" s="633">
        <v>20</v>
      </c>
      <c r="M77" s="633">
        <v>20</v>
      </c>
      <c r="N77" s="633">
        <v>0</v>
      </c>
      <c r="O77" s="633">
        <v>1</v>
      </c>
      <c r="P77" s="633">
        <v>1</v>
      </c>
      <c r="Q77" s="633">
        <v>0</v>
      </c>
      <c r="R77" s="633" t="e">
        <v>#DIV/0!</v>
      </c>
      <c r="S77" s="633">
        <v>1</v>
      </c>
      <c r="T77" s="633" t="e">
        <v>#DIV/0!</v>
      </c>
      <c r="U77" s="633">
        <v>0</v>
      </c>
      <c r="V77" s="633">
        <v>0</v>
      </c>
      <c r="W77" s="633">
        <v>1</v>
      </c>
      <c r="X77" s="633" t="e">
        <v>#DIV/0!</v>
      </c>
      <c r="Y77" s="633" t="e">
        <v>#DIV/0!</v>
      </c>
      <c r="Z77" s="633" t="e">
        <v>#DIV/0!</v>
      </c>
      <c r="AA77" s="633" t="e">
        <v>#DIV/0!</v>
      </c>
      <c r="AB77" s="633" t="e">
        <v>#DIV/0!</v>
      </c>
      <c r="AC77" s="633">
        <v>0</v>
      </c>
      <c r="AD77" s="633">
        <v>1</v>
      </c>
      <c r="AE77" s="633" t="e">
        <v>#DIV/0!</v>
      </c>
      <c r="AF77" s="659">
        <v>0</v>
      </c>
      <c r="AG77" s="633" t="e">
        <v>#DIV/0!</v>
      </c>
      <c r="AH77" s="659" t="e">
        <v>#NUM!</v>
      </c>
      <c r="AI77" s="659" t="e">
        <v>#NUM!</v>
      </c>
      <c r="AJ77" s="633" t="e">
        <v>#NUM!</v>
      </c>
      <c r="AK77" s="633" t="e">
        <v>#DIV/0!</v>
      </c>
      <c r="AL77" s="633" t="e">
        <v>#DIV/0!</v>
      </c>
      <c r="AM77" s="633">
        <v>0</v>
      </c>
      <c r="AN77" s="633">
        <v>1</v>
      </c>
      <c r="AO77" s="640" t="s">
        <v>571</v>
      </c>
      <c r="AP77" s="633">
        <v>0.5</v>
      </c>
      <c r="AQ77" s="640" t="s">
        <v>572</v>
      </c>
      <c r="AR77" s="635" t="s">
        <v>347</v>
      </c>
      <c r="AS77" s="635" t="s">
        <v>349</v>
      </c>
      <c r="AT77" s="738" t="s">
        <v>477</v>
      </c>
      <c r="AU77" s="738" t="s">
        <v>478</v>
      </c>
      <c r="AV77" s="738" t="s">
        <v>479</v>
      </c>
      <c r="AW77" s="640" t="s">
        <v>573</v>
      </c>
      <c r="AX77" s="647" t="s">
        <v>573</v>
      </c>
      <c r="AY77" s="640" t="s">
        <v>573</v>
      </c>
      <c r="AZ77" s="640" t="s">
        <v>573</v>
      </c>
      <c r="BA77" s="652" t="s">
        <v>570</v>
      </c>
      <c r="BB77" s="649" t="s">
        <v>504</v>
      </c>
      <c r="BC77" s="649" t="s">
        <v>504</v>
      </c>
      <c r="BD77" s="649" t="s">
        <v>504</v>
      </c>
      <c r="BE77" s="649" t="s">
        <v>504</v>
      </c>
      <c r="BF77" s="649" t="s">
        <v>504</v>
      </c>
      <c r="BG77" s="640" t="s">
        <v>573</v>
      </c>
      <c r="BH77" s="640" t="s">
        <v>573</v>
      </c>
      <c r="BI77" s="640" t="s">
        <v>573</v>
      </c>
      <c r="BJ77" s="640" t="s">
        <v>573</v>
      </c>
      <c r="BK77" s="649" t="s">
        <v>504</v>
      </c>
      <c r="BL77" s="649" t="s">
        <v>504</v>
      </c>
      <c r="BM77" s="649" t="s">
        <v>504</v>
      </c>
      <c r="BN77" s="649" t="s">
        <v>504</v>
      </c>
      <c r="BO77" s="649" t="s">
        <v>504</v>
      </c>
      <c r="BP77" s="649" t="s">
        <v>504</v>
      </c>
      <c r="BQ77" s="649" t="s">
        <v>504</v>
      </c>
      <c r="BR77" s="650" t="s">
        <v>591</v>
      </c>
      <c r="BS77" s="649" t="s">
        <v>504</v>
      </c>
      <c r="BT77" s="649" t="s">
        <v>504</v>
      </c>
      <c r="BU77" s="649" t="s">
        <v>504</v>
      </c>
      <c r="BV77" s="651" t="s">
        <v>591</v>
      </c>
      <c r="BW77" s="651" t="s">
        <v>591</v>
      </c>
      <c r="BX77" s="653" t="s">
        <v>493</v>
      </c>
    </row>
    <row r="78" spans="1:76" ht="17" x14ac:dyDescent="0.25">
      <c r="A78" s="461">
        <v>1</v>
      </c>
      <c r="B78" s="590" t="s">
        <v>574</v>
      </c>
      <c r="C78" s="461">
        <v>0</v>
      </c>
      <c r="D78" s="461">
        <v>0</v>
      </c>
      <c r="E78" s="461">
        <v>20</v>
      </c>
      <c r="F78" s="461">
        <v>0</v>
      </c>
      <c r="G78" s="461">
        <v>20</v>
      </c>
      <c r="H78" s="461">
        <v>0</v>
      </c>
      <c r="I78" s="461">
        <v>0</v>
      </c>
      <c r="J78" s="461">
        <v>20</v>
      </c>
      <c r="K78" s="461">
        <v>0</v>
      </c>
      <c r="L78" s="461">
        <v>20</v>
      </c>
      <c r="M78" s="461">
        <v>20</v>
      </c>
      <c r="N78" s="461">
        <v>1</v>
      </c>
      <c r="O78" s="461">
        <v>0</v>
      </c>
      <c r="P78" s="461">
        <v>0</v>
      </c>
      <c r="Q78" s="461">
        <v>0</v>
      </c>
      <c r="R78" s="461">
        <v>0</v>
      </c>
      <c r="S78" s="461" t="e">
        <v>#DIV/0!</v>
      </c>
      <c r="T78" s="461">
        <v>1</v>
      </c>
      <c r="U78" s="461" t="e">
        <v>#DIV/0!</v>
      </c>
      <c r="V78" s="461" t="e">
        <v>#DIV/0!</v>
      </c>
      <c r="W78" s="461" t="e">
        <v>#DIV/0!</v>
      </c>
      <c r="X78" s="461">
        <v>1</v>
      </c>
      <c r="Y78" s="461">
        <v>0</v>
      </c>
      <c r="Z78" s="461" t="e">
        <v>#DIV/0!</v>
      </c>
      <c r="AA78" s="461" t="e">
        <v>#DIV/0!</v>
      </c>
      <c r="AB78" s="461" t="e">
        <v>#DIV/0!</v>
      </c>
      <c r="AC78" s="461">
        <v>0</v>
      </c>
      <c r="AD78" s="461">
        <v>1</v>
      </c>
      <c r="AE78" s="461" t="e">
        <v>#DIV/0!</v>
      </c>
      <c r="AF78" s="488">
        <v>0</v>
      </c>
      <c r="AG78" s="461" t="e">
        <v>#DIV/0!</v>
      </c>
      <c r="AH78" s="488" t="e">
        <v>#NUM!</v>
      </c>
      <c r="AI78" s="488" t="e">
        <v>#NUM!</v>
      </c>
      <c r="AJ78" s="461" t="e">
        <v>#NUM!</v>
      </c>
      <c r="AK78" s="461" t="e">
        <v>#DIV/0!</v>
      </c>
      <c r="AL78" s="461" t="e">
        <v>#DIV/0!</v>
      </c>
      <c r="AM78" s="461">
        <v>0</v>
      </c>
      <c r="AN78" s="461">
        <v>1</v>
      </c>
      <c r="AO78" s="461">
        <v>0.4</v>
      </c>
      <c r="AP78" s="461">
        <v>0.5</v>
      </c>
      <c r="AQ78" s="461">
        <v>0.5</v>
      </c>
      <c r="AR78" s="485" t="s">
        <v>347</v>
      </c>
      <c r="AS78" s="485" t="s">
        <v>349</v>
      </c>
      <c r="AT78" s="699" t="s">
        <v>480</v>
      </c>
      <c r="AU78" s="699" t="s">
        <v>481</v>
      </c>
      <c r="AV78" s="699" t="s">
        <v>482</v>
      </c>
      <c r="AW78" s="486">
        <v>-0.55045500977412032</v>
      </c>
      <c r="AX78" s="617">
        <v>0.30396310458759263</v>
      </c>
      <c r="AY78" s="486">
        <v>0.55132849063656475</v>
      </c>
      <c r="AZ78" s="486">
        <v>0.3054433125268825</v>
      </c>
      <c r="BA78" s="617">
        <v>6.0792620917518523</v>
      </c>
      <c r="BB78" s="486">
        <v>0.67615725054540698</v>
      </c>
      <c r="BC78" s="661"/>
      <c r="BD78" s="661"/>
      <c r="BE78" s="486">
        <v>0.30396310458759263</v>
      </c>
      <c r="BF78" s="486">
        <v>0.21226461657444834</v>
      </c>
      <c r="BG78" s="486">
        <v>0.55045500977412032</v>
      </c>
      <c r="BH78" s="486">
        <v>0.55266523401857204</v>
      </c>
      <c r="BI78" s="486">
        <v>0.59957718980807106</v>
      </c>
      <c r="BJ78" s="486">
        <v>0.54957433972332514</v>
      </c>
      <c r="BK78" s="661"/>
      <c r="BL78" s="661"/>
      <c r="BM78" s="661"/>
      <c r="BN78" s="661"/>
      <c r="BO78" s="661"/>
      <c r="BP78" s="486">
        <v>-0.55045500977412032</v>
      </c>
      <c r="BQ78" s="486">
        <v>0.55045500977412032</v>
      </c>
      <c r="BR78" s="620">
        <v>1.2350560764757572</v>
      </c>
      <c r="BS78" s="486">
        <v>0.55266523401857204</v>
      </c>
      <c r="BT78" s="486">
        <v>0.55132849063656475</v>
      </c>
      <c r="BU78" s="486">
        <v>0.55266926142755801</v>
      </c>
      <c r="BV78" s="486">
        <v>0.38037390814173933</v>
      </c>
      <c r="BW78" s="486">
        <v>0.3763865209874373</v>
      </c>
      <c r="BX78" s="486">
        <v>1.1568908235834601</v>
      </c>
    </row>
    <row r="79" spans="1:76" ht="17" x14ac:dyDescent="0.25">
      <c r="A79" s="461">
        <v>2</v>
      </c>
      <c r="B79" s="590" t="s">
        <v>575</v>
      </c>
      <c r="C79" s="461">
        <v>0</v>
      </c>
      <c r="D79" s="461">
        <v>0</v>
      </c>
      <c r="E79" s="461">
        <v>20</v>
      </c>
      <c r="F79" s="461">
        <v>0</v>
      </c>
      <c r="G79" s="461">
        <v>20</v>
      </c>
      <c r="H79" s="461">
        <v>0</v>
      </c>
      <c r="I79" s="461">
        <v>0</v>
      </c>
      <c r="J79" s="461">
        <v>20</v>
      </c>
      <c r="K79" s="461">
        <v>0</v>
      </c>
      <c r="L79" s="461">
        <v>20</v>
      </c>
      <c r="M79" s="461">
        <v>20</v>
      </c>
      <c r="N79" s="461">
        <v>1</v>
      </c>
      <c r="O79" s="461">
        <v>0</v>
      </c>
      <c r="P79" s="461">
        <v>0</v>
      </c>
      <c r="Q79" s="461">
        <v>0</v>
      </c>
      <c r="R79" s="461">
        <v>0</v>
      </c>
      <c r="S79" s="461" t="e">
        <v>#DIV/0!</v>
      </c>
      <c r="T79" s="461">
        <v>1</v>
      </c>
      <c r="U79" s="461" t="e">
        <v>#DIV/0!</v>
      </c>
      <c r="V79" s="461" t="e">
        <v>#DIV/0!</v>
      </c>
      <c r="W79" s="461" t="e">
        <v>#DIV/0!</v>
      </c>
      <c r="X79" s="461">
        <v>1</v>
      </c>
      <c r="Y79" s="461">
        <v>0</v>
      </c>
      <c r="Z79" s="461" t="e">
        <v>#DIV/0!</v>
      </c>
      <c r="AA79" s="461" t="e">
        <v>#DIV/0!</v>
      </c>
      <c r="AB79" s="461" t="e">
        <v>#DIV/0!</v>
      </c>
      <c r="AC79" s="461">
        <v>0</v>
      </c>
      <c r="AD79" s="461">
        <v>1</v>
      </c>
      <c r="AE79" s="461" t="e">
        <v>#DIV/0!</v>
      </c>
      <c r="AF79" s="488">
        <v>0</v>
      </c>
      <c r="AG79" s="461" t="e">
        <v>#DIV/0!</v>
      </c>
      <c r="AH79" s="488" t="e">
        <v>#NUM!</v>
      </c>
      <c r="AI79" s="488" t="e">
        <v>#NUM!</v>
      </c>
      <c r="AJ79" s="461" t="e">
        <v>#NUM!</v>
      </c>
      <c r="AK79" s="461" t="e">
        <v>#DIV/0!</v>
      </c>
      <c r="AL79" s="461" t="e">
        <v>#DIV/0!</v>
      </c>
      <c r="AM79" s="461">
        <v>0</v>
      </c>
      <c r="AN79" s="461">
        <v>1</v>
      </c>
      <c r="AO79" s="461">
        <v>0.3</v>
      </c>
      <c r="AP79" s="461">
        <v>0.5</v>
      </c>
      <c r="AQ79" s="461">
        <v>0.5</v>
      </c>
      <c r="AR79" s="485" t="s">
        <v>347</v>
      </c>
      <c r="AS79" s="485" t="s">
        <v>349</v>
      </c>
      <c r="AT79" s="699" t="s">
        <v>480</v>
      </c>
      <c r="AU79" s="699" t="s">
        <v>481</v>
      </c>
      <c r="AV79" s="699" t="s">
        <v>482</v>
      </c>
      <c r="AW79" s="486">
        <v>-0.61113428038950413</v>
      </c>
      <c r="AX79" s="617">
        <v>0.3769670778678772</v>
      </c>
      <c r="AY79" s="486">
        <v>0.61397644732341095</v>
      </c>
      <c r="AZ79" s="486">
        <v>0.37914717269095266</v>
      </c>
      <c r="BA79" s="617">
        <v>7.5393415573575435</v>
      </c>
      <c r="BB79" s="486">
        <v>0.96940166967009345</v>
      </c>
      <c r="BC79" s="661"/>
      <c r="BD79" s="661"/>
      <c r="BE79" s="486">
        <v>0.3769670778678772</v>
      </c>
      <c r="BF79" s="486">
        <v>0.40836094993641109</v>
      </c>
      <c r="BG79" s="486">
        <v>0.61113428038950413</v>
      </c>
      <c r="BH79" s="486">
        <v>0.61574369743311741</v>
      </c>
      <c r="BI79" s="486">
        <v>0.69117509715464664</v>
      </c>
      <c r="BJ79" s="486">
        <v>0.60822935758413799</v>
      </c>
      <c r="BK79" s="661"/>
      <c r="BL79" s="661"/>
      <c r="BM79" s="661"/>
      <c r="BN79" s="661"/>
      <c r="BO79" s="661"/>
      <c r="BP79" s="486">
        <v>-0.61113428038950413</v>
      </c>
      <c r="BQ79" s="486">
        <v>0.61113428038950413</v>
      </c>
      <c r="BR79" s="620">
        <v>1.6310511644409373</v>
      </c>
      <c r="BS79" s="486">
        <v>0.61574369743311741</v>
      </c>
      <c r="BT79" s="486">
        <v>0.61397644732341095</v>
      </c>
      <c r="BU79" s="486">
        <v>0.61574927745873376</v>
      </c>
      <c r="BV79" s="486">
        <v>0.4426071884709023</v>
      </c>
      <c r="BW79" s="486">
        <v>0.41628583101841865</v>
      </c>
      <c r="BX79" s="486">
        <v>1.3792111844348793</v>
      </c>
    </row>
    <row r="80" spans="1:76" ht="17" x14ac:dyDescent="0.25">
      <c r="A80" s="461">
        <v>3</v>
      </c>
      <c r="B80" s="590" t="s">
        <v>576</v>
      </c>
      <c r="C80" s="461">
        <v>0</v>
      </c>
      <c r="D80" s="461">
        <v>0</v>
      </c>
      <c r="E80" s="461">
        <v>20</v>
      </c>
      <c r="F80" s="461">
        <v>0</v>
      </c>
      <c r="G80" s="461">
        <v>20</v>
      </c>
      <c r="H80" s="461">
        <v>0</v>
      </c>
      <c r="I80" s="461">
        <v>0</v>
      </c>
      <c r="J80" s="461">
        <v>20</v>
      </c>
      <c r="K80" s="461">
        <v>0</v>
      </c>
      <c r="L80" s="461">
        <v>20</v>
      </c>
      <c r="M80" s="461">
        <v>20</v>
      </c>
      <c r="N80" s="461">
        <v>1</v>
      </c>
      <c r="O80" s="461">
        <v>0</v>
      </c>
      <c r="P80" s="461">
        <v>0</v>
      </c>
      <c r="Q80" s="461">
        <v>0</v>
      </c>
      <c r="R80" s="461">
        <v>0</v>
      </c>
      <c r="S80" s="461" t="e">
        <v>#DIV/0!</v>
      </c>
      <c r="T80" s="461">
        <v>1</v>
      </c>
      <c r="U80" s="461" t="e">
        <v>#DIV/0!</v>
      </c>
      <c r="V80" s="461" t="e">
        <v>#DIV/0!</v>
      </c>
      <c r="W80" s="461" t="e">
        <v>#DIV/0!</v>
      </c>
      <c r="X80" s="461">
        <v>1</v>
      </c>
      <c r="Y80" s="461">
        <v>0</v>
      </c>
      <c r="Z80" s="461" t="e">
        <v>#DIV/0!</v>
      </c>
      <c r="AA80" s="461" t="e">
        <v>#DIV/0!</v>
      </c>
      <c r="AB80" s="461" t="e">
        <v>#DIV/0!</v>
      </c>
      <c r="AC80" s="461">
        <v>0</v>
      </c>
      <c r="AD80" s="461">
        <v>1</v>
      </c>
      <c r="AE80" s="461" t="e">
        <v>#DIV/0!</v>
      </c>
      <c r="AF80" s="488">
        <v>0</v>
      </c>
      <c r="AG80" s="461" t="e">
        <v>#DIV/0!</v>
      </c>
      <c r="AH80" s="488" t="e">
        <v>#NUM!</v>
      </c>
      <c r="AI80" s="488" t="e">
        <v>#NUM!</v>
      </c>
      <c r="AJ80" s="461" t="e">
        <v>#NUM!</v>
      </c>
      <c r="AK80" s="461" t="e">
        <v>#DIV/0!</v>
      </c>
      <c r="AL80" s="461" t="e">
        <v>#DIV/0!</v>
      </c>
      <c r="AM80" s="461">
        <v>0</v>
      </c>
      <c r="AN80" s="461">
        <v>1</v>
      </c>
      <c r="AO80" s="461">
        <v>0.2</v>
      </c>
      <c r="AP80" s="461">
        <v>0.5</v>
      </c>
      <c r="AQ80" s="461">
        <v>0.5</v>
      </c>
      <c r="AR80" s="485" t="s">
        <v>347</v>
      </c>
      <c r="AS80" s="485" t="s">
        <v>349</v>
      </c>
      <c r="AT80" s="699" t="s">
        <v>480</v>
      </c>
      <c r="AU80" s="699" t="s">
        <v>481</v>
      </c>
      <c r="AV80" s="699" t="s">
        <v>482</v>
      </c>
      <c r="AW80" s="486">
        <v>-0.64721139197967581</v>
      </c>
      <c r="AX80" s="617">
        <v>0.4274005860232431</v>
      </c>
      <c r="AY80" s="486">
        <v>0.6537588133426907</v>
      </c>
      <c r="AZ80" s="486">
        <v>0.39929464367982948</v>
      </c>
      <c r="BA80" s="617">
        <v>8.5480117204648618</v>
      </c>
      <c r="BB80" s="486">
        <v>1.2114920275391101</v>
      </c>
      <c r="BC80" s="661"/>
      <c r="BD80" s="661"/>
      <c r="BE80" s="486">
        <v>0.4274005860232431</v>
      </c>
      <c r="BF80" s="486">
        <v>0.70772769901085464</v>
      </c>
      <c r="BG80" s="486">
        <v>0.64721139197967581</v>
      </c>
      <c r="BH80" s="486">
        <v>0.6318010772089665</v>
      </c>
      <c r="BI80" s="486">
        <v>0.79522601748186927</v>
      </c>
      <c r="BJ80" s="486">
        <v>0.64068621079095756</v>
      </c>
      <c r="BK80" s="661"/>
      <c r="BL80" s="661"/>
      <c r="BM80" s="661"/>
      <c r="BN80" s="661"/>
      <c r="BO80" s="661"/>
      <c r="BP80" s="486">
        <v>-0.64721139197967581</v>
      </c>
      <c r="BQ80" s="486">
        <v>0.64721139197967581</v>
      </c>
      <c r="BR80" s="620">
        <v>2.0701597629849191</v>
      </c>
      <c r="BS80" s="486">
        <v>0.6318010772089665</v>
      </c>
      <c r="BT80" s="486">
        <v>0.6537588133426907</v>
      </c>
      <c r="BU80" s="486">
        <v>0.63189765285197053</v>
      </c>
      <c r="BV80" s="486">
        <v>0.48547288234338615</v>
      </c>
      <c r="BW80" s="486">
        <v>0.48642877667015849</v>
      </c>
      <c r="BX80" s="486">
        <v>1.5580027816494493</v>
      </c>
    </row>
    <row r="81" spans="1:76" ht="17" x14ac:dyDescent="0.25">
      <c r="A81" s="461">
        <v>4</v>
      </c>
      <c r="B81" s="590" t="s">
        <v>577</v>
      </c>
      <c r="C81" s="461">
        <v>0</v>
      </c>
      <c r="D81" s="461">
        <v>0</v>
      </c>
      <c r="E81" s="461">
        <v>20</v>
      </c>
      <c r="F81" s="461">
        <v>0</v>
      </c>
      <c r="G81" s="461">
        <v>20</v>
      </c>
      <c r="H81" s="461">
        <v>0</v>
      </c>
      <c r="I81" s="461">
        <v>0</v>
      </c>
      <c r="J81" s="461">
        <v>20</v>
      </c>
      <c r="K81" s="461">
        <v>0</v>
      </c>
      <c r="L81" s="461">
        <v>20</v>
      </c>
      <c r="M81" s="461">
        <v>20</v>
      </c>
      <c r="N81" s="461">
        <v>1</v>
      </c>
      <c r="O81" s="461">
        <v>0</v>
      </c>
      <c r="P81" s="461">
        <v>0</v>
      </c>
      <c r="Q81" s="461">
        <v>0</v>
      </c>
      <c r="R81" s="461">
        <v>0</v>
      </c>
      <c r="S81" s="461" t="e">
        <v>#DIV/0!</v>
      </c>
      <c r="T81" s="461">
        <v>1</v>
      </c>
      <c r="U81" s="461" t="e">
        <v>#DIV/0!</v>
      </c>
      <c r="V81" s="461" t="e">
        <v>#DIV/0!</v>
      </c>
      <c r="W81" s="461" t="e">
        <v>#DIV/0!</v>
      </c>
      <c r="X81" s="461">
        <v>1</v>
      </c>
      <c r="Y81" s="461">
        <v>0</v>
      </c>
      <c r="Z81" s="461" t="e">
        <v>#DIV/0!</v>
      </c>
      <c r="AA81" s="461" t="e">
        <v>#DIV/0!</v>
      </c>
      <c r="AB81" s="461" t="e">
        <v>#DIV/0!</v>
      </c>
      <c r="AC81" s="461">
        <v>0</v>
      </c>
      <c r="AD81" s="461">
        <v>1</v>
      </c>
      <c r="AE81" s="461" t="e">
        <v>#DIV/0!</v>
      </c>
      <c r="AF81" s="488">
        <v>0</v>
      </c>
      <c r="AG81" s="461" t="e">
        <v>#DIV/0!</v>
      </c>
      <c r="AH81" s="488" t="e">
        <v>#NUM!</v>
      </c>
      <c r="AI81" s="488" t="e">
        <v>#NUM!</v>
      </c>
      <c r="AJ81" s="461" t="e">
        <v>#NUM!</v>
      </c>
      <c r="AK81" s="461" t="e">
        <v>#DIV/0!</v>
      </c>
      <c r="AL81" s="461" t="e">
        <v>#DIV/0!</v>
      </c>
      <c r="AM81" s="461">
        <v>0</v>
      </c>
      <c r="AN81" s="461">
        <v>1</v>
      </c>
      <c r="AO81" s="461">
        <v>0.1</v>
      </c>
      <c r="AP81" s="461">
        <v>0.5</v>
      </c>
      <c r="AQ81" s="461">
        <v>0.5</v>
      </c>
      <c r="AR81" s="485" t="s">
        <v>347</v>
      </c>
      <c r="AS81" s="485" t="s">
        <v>349</v>
      </c>
      <c r="AT81" s="699" t="s">
        <v>480</v>
      </c>
      <c r="AU81" s="699" t="s">
        <v>481</v>
      </c>
      <c r="AV81" s="699" t="s">
        <v>482</v>
      </c>
      <c r="AW81" s="486">
        <v>-0.68494131633497612</v>
      </c>
      <c r="AX81" s="617">
        <v>0.48333615714979361</v>
      </c>
      <c r="AY81" s="486">
        <v>0.69522381802538502</v>
      </c>
      <c r="AZ81" s="486">
        <v>0.47210475110434491</v>
      </c>
      <c r="BA81" s="617">
        <v>9.6667231429958722</v>
      </c>
      <c r="BB81" s="486">
        <v>1.5341146973866158</v>
      </c>
      <c r="BC81" s="661"/>
      <c r="BD81" s="661"/>
      <c r="BE81" s="486">
        <v>0.48333615714979361</v>
      </c>
      <c r="BF81" s="486">
        <v>1.3629216235017345</v>
      </c>
      <c r="BG81" s="486">
        <v>0.68494131633497612</v>
      </c>
      <c r="BH81" s="486">
        <v>0.68709871774535314</v>
      </c>
      <c r="BI81" s="486">
        <v>0.89476932885978755</v>
      </c>
      <c r="BJ81" s="486">
        <v>0.67459470147021416</v>
      </c>
      <c r="BK81" s="661"/>
      <c r="BL81" s="661"/>
      <c r="BM81" s="661"/>
      <c r="BN81" s="661"/>
      <c r="BO81" s="661"/>
      <c r="BP81" s="486">
        <v>-0.68494131633497612</v>
      </c>
      <c r="BQ81" s="486">
        <v>0.68494131633497612</v>
      </c>
      <c r="BR81" s="620">
        <v>2.8819866461139596</v>
      </c>
      <c r="BS81" s="486">
        <v>0.68709871774535314</v>
      </c>
      <c r="BT81" s="486">
        <v>0.69522381802538502</v>
      </c>
      <c r="BU81" s="486">
        <v>0.68709879282701769</v>
      </c>
      <c r="BV81" s="486">
        <v>0.53371495401788471</v>
      </c>
      <c r="BW81" s="486">
        <v>0.46683906067330061</v>
      </c>
      <c r="BX81" s="486">
        <v>1.7945908151543926</v>
      </c>
    </row>
    <row r="82" spans="1:76" ht="17" x14ac:dyDescent="0.25">
      <c r="A82" s="461">
        <v>5</v>
      </c>
      <c r="B82" s="590" t="s">
        <v>578</v>
      </c>
      <c r="C82" s="461">
        <v>0</v>
      </c>
      <c r="D82" s="461">
        <v>0</v>
      </c>
      <c r="E82" s="461">
        <v>20</v>
      </c>
      <c r="F82" s="461">
        <v>0</v>
      </c>
      <c r="G82" s="461">
        <v>20</v>
      </c>
      <c r="H82" s="461">
        <v>0</v>
      </c>
      <c r="I82" s="461">
        <v>0</v>
      </c>
      <c r="J82" s="461">
        <v>20</v>
      </c>
      <c r="K82" s="461">
        <v>0</v>
      </c>
      <c r="L82" s="461">
        <v>20</v>
      </c>
      <c r="M82" s="461">
        <v>20</v>
      </c>
      <c r="N82" s="461">
        <v>1</v>
      </c>
      <c r="O82" s="461">
        <v>0</v>
      </c>
      <c r="P82" s="461">
        <v>0</v>
      </c>
      <c r="Q82" s="461">
        <v>0</v>
      </c>
      <c r="R82" s="461">
        <v>0</v>
      </c>
      <c r="S82" s="461" t="e">
        <v>#DIV/0!</v>
      </c>
      <c r="T82" s="461">
        <v>1</v>
      </c>
      <c r="U82" s="461" t="e">
        <v>#DIV/0!</v>
      </c>
      <c r="V82" s="461" t="e">
        <v>#DIV/0!</v>
      </c>
      <c r="W82" s="461" t="e">
        <v>#DIV/0!</v>
      </c>
      <c r="X82" s="461">
        <v>1</v>
      </c>
      <c r="Y82" s="461">
        <v>0</v>
      </c>
      <c r="Z82" s="461" t="e">
        <v>#DIV/0!</v>
      </c>
      <c r="AA82" s="461" t="e">
        <v>#DIV/0!</v>
      </c>
      <c r="AB82" s="461" t="e">
        <v>#DIV/0!</v>
      </c>
      <c r="AC82" s="461">
        <v>0</v>
      </c>
      <c r="AD82" s="461">
        <v>1</v>
      </c>
      <c r="AE82" s="461" t="e">
        <v>#DIV/0!</v>
      </c>
      <c r="AF82" s="488">
        <v>0</v>
      </c>
      <c r="AG82" s="461" t="e">
        <v>#DIV/0!</v>
      </c>
      <c r="AH82" s="488" t="e">
        <v>#NUM!</v>
      </c>
      <c r="AI82" s="488" t="e">
        <v>#NUM!</v>
      </c>
      <c r="AJ82" s="461" t="e">
        <v>#NUM!</v>
      </c>
      <c r="AK82" s="461" t="e">
        <v>#DIV/0!</v>
      </c>
      <c r="AL82" s="461" t="e">
        <v>#DIV/0!</v>
      </c>
      <c r="AM82" s="461">
        <v>0</v>
      </c>
      <c r="AN82" s="461">
        <v>1</v>
      </c>
      <c r="AO82" s="461">
        <v>0</v>
      </c>
      <c r="AP82" s="461">
        <v>0.5</v>
      </c>
      <c r="AQ82" s="461">
        <v>0.5</v>
      </c>
      <c r="AR82" s="485" t="s">
        <v>347</v>
      </c>
      <c r="AS82" s="485" t="s">
        <v>349</v>
      </c>
      <c r="AT82" s="699" t="s">
        <v>480</v>
      </c>
      <c r="AU82" s="699" t="s">
        <v>481</v>
      </c>
      <c r="AV82" s="699" t="s">
        <v>482</v>
      </c>
      <c r="AW82" s="486">
        <v>-0.76301140770010645</v>
      </c>
      <c r="AX82" s="617">
        <v>0.60759082571237366</v>
      </c>
      <c r="AY82" s="486">
        <v>0.77948112595006025</v>
      </c>
      <c r="AZ82" s="486">
        <v>0.59192277791354053</v>
      </c>
      <c r="BA82" s="617">
        <v>12.151816514247473</v>
      </c>
      <c r="BB82" s="486">
        <v>2.5637977753102437</v>
      </c>
      <c r="BC82" s="661"/>
      <c r="BD82" s="661"/>
      <c r="BE82" s="486">
        <v>0.60759082571237366</v>
      </c>
      <c r="BF82" s="486">
        <v>7.2096719570959662</v>
      </c>
      <c r="BG82" s="486">
        <v>0.76301140770010645</v>
      </c>
      <c r="BH82" s="486">
        <v>0.7683696618394984</v>
      </c>
      <c r="BI82" s="486">
        <v>0.98237308306739468</v>
      </c>
      <c r="BJ82" s="486">
        <v>0.74542758945242527</v>
      </c>
      <c r="BK82" s="661"/>
      <c r="BL82" s="661"/>
      <c r="BM82" s="661"/>
      <c r="BN82" s="661"/>
      <c r="BO82" s="661"/>
      <c r="BP82" s="486">
        <v>-0.76301140770010645</v>
      </c>
      <c r="BQ82" s="486">
        <v>0.76301140770010645</v>
      </c>
      <c r="BR82" s="620">
        <v>9.0818524564719851</v>
      </c>
      <c r="BS82" s="486">
        <v>0.7683696618394984</v>
      </c>
      <c r="BT82" s="486">
        <v>0.77948112595006025</v>
      </c>
      <c r="BU82" s="486">
        <v>0.76936517851637953</v>
      </c>
      <c r="BV82" s="486">
        <v>0.6437042422656476</v>
      </c>
      <c r="BW82" s="486">
        <v>0.66346842007093099</v>
      </c>
      <c r="BX82" s="486">
        <v>2.578085583038594</v>
      </c>
    </row>
    <row r="83" spans="1:76" ht="17" x14ac:dyDescent="0.25">
      <c r="A83" s="461">
        <v>6</v>
      </c>
      <c r="B83" s="590" t="s">
        <v>579</v>
      </c>
      <c r="C83" s="461">
        <v>0</v>
      </c>
      <c r="D83" s="461">
        <v>0</v>
      </c>
      <c r="E83" s="461">
        <v>20</v>
      </c>
      <c r="F83" s="461">
        <v>0</v>
      </c>
      <c r="G83" s="461">
        <v>20</v>
      </c>
      <c r="H83" s="461">
        <v>0</v>
      </c>
      <c r="I83" s="461">
        <v>0</v>
      </c>
      <c r="J83" s="461">
        <v>20</v>
      </c>
      <c r="K83" s="461">
        <v>0</v>
      </c>
      <c r="L83" s="461">
        <v>20</v>
      </c>
      <c r="M83" s="461">
        <v>20</v>
      </c>
      <c r="N83" s="461">
        <v>1</v>
      </c>
      <c r="O83" s="461">
        <v>0</v>
      </c>
      <c r="P83" s="461">
        <v>0</v>
      </c>
      <c r="Q83" s="461">
        <v>0</v>
      </c>
      <c r="R83" s="461">
        <v>0</v>
      </c>
      <c r="S83" s="461" t="e">
        <v>#DIV/0!</v>
      </c>
      <c r="T83" s="461">
        <v>1</v>
      </c>
      <c r="U83" s="461" t="e">
        <v>#DIV/0!</v>
      </c>
      <c r="V83" s="461" t="e">
        <v>#DIV/0!</v>
      </c>
      <c r="W83" s="461" t="e">
        <v>#DIV/0!</v>
      </c>
      <c r="X83" s="461">
        <v>1</v>
      </c>
      <c r="Y83" s="461">
        <v>0</v>
      </c>
      <c r="Z83" s="461" t="e">
        <v>#DIV/0!</v>
      </c>
      <c r="AA83" s="461" t="e">
        <v>#DIV/0!</v>
      </c>
      <c r="AB83" s="461" t="e">
        <v>#DIV/0!</v>
      </c>
      <c r="AC83" s="461">
        <v>0</v>
      </c>
      <c r="AD83" s="461">
        <v>1</v>
      </c>
      <c r="AE83" s="461" t="e">
        <v>#DIV/0!</v>
      </c>
      <c r="AF83" s="488">
        <v>0</v>
      </c>
      <c r="AG83" s="461" t="e">
        <v>#DIV/0!</v>
      </c>
      <c r="AH83" s="488" t="e">
        <v>#NUM!</v>
      </c>
      <c r="AI83" s="488" t="e">
        <v>#NUM!</v>
      </c>
      <c r="AJ83" s="461" t="e">
        <v>#NUM!</v>
      </c>
      <c r="AK83" s="461" t="e">
        <v>#DIV/0!</v>
      </c>
      <c r="AL83" s="461" t="e">
        <v>#DIV/0!</v>
      </c>
      <c r="AM83" s="461">
        <v>0</v>
      </c>
      <c r="AN83" s="461">
        <v>1</v>
      </c>
      <c r="AO83" s="461">
        <v>0</v>
      </c>
      <c r="AP83" s="461">
        <v>0.5</v>
      </c>
      <c r="AQ83" s="461">
        <v>0.4</v>
      </c>
      <c r="AR83" s="485" t="s">
        <v>347</v>
      </c>
      <c r="AS83" s="485" t="s">
        <v>349</v>
      </c>
      <c r="AT83" s="699" t="s">
        <v>480</v>
      </c>
      <c r="AU83" s="699" t="s">
        <v>481</v>
      </c>
      <c r="AV83" s="699" t="s">
        <v>482</v>
      </c>
      <c r="AW83" s="486">
        <v>-0.83713553828404841</v>
      </c>
      <c r="AX83" s="617">
        <v>0.71602472925759142</v>
      </c>
      <c r="AY83" s="486">
        <v>0.84618244442767276</v>
      </c>
      <c r="AZ83" s="486">
        <v>0.72646936264488349</v>
      </c>
      <c r="BA83" s="617">
        <v>14.320494585151829</v>
      </c>
      <c r="BB83" s="486">
        <v>4.3964454965405224</v>
      </c>
      <c r="BC83" s="661"/>
      <c r="BD83" s="661"/>
      <c r="BE83" s="486">
        <v>0.71602472925759142</v>
      </c>
      <c r="BF83" s="486">
        <v>24.228173454662315</v>
      </c>
      <c r="BG83" s="486">
        <v>0.83713553828404841</v>
      </c>
      <c r="BH83" s="486">
        <v>0.85232857531803841</v>
      </c>
      <c r="BI83" s="486">
        <v>0.99366860014095282</v>
      </c>
      <c r="BJ83" s="486">
        <v>0.82760771298313707</v>
      </c>
      <c r="BK83" s="661"/>
      <c r="BL83" s="661"/>
      <c r="BM83" s="661"/>
      <c r="BN83" s="661"/>
      <c r="BO83" s="661"/>
      <c r="BP83" s="486">
        <v>-0.83713553828404841</v>
      </c>
      <c r="BQ83" s="486">
        <v>0.83713553828404841</v>
      </c>
      <c r="BR83" s="620">
        <v>26.40564878367751</v>
      </c>
      <c r="BS83" s="486">
        <v>0.85232857531803841</v>
      </c>
      <c r="BT83" s="486">
        <v>0.84618244442767276</v>
      </c>
      <c r="BU83" s="486">
        <v>0.85233172101294197</v>
      </c>
      <c r="BV83" s="486">
        <v>0.73899425367653238</v>
      </c>
      <c r="BW83" s="486">
        <v>0.82224004603090783</v>
      </c>
      <c r="BX83" s="486">
        <v>3.4076341820521621</v>
      </c>
    </row>
    <row r="84" spans="1:76" ht="17" x14ac:dyDescent="0.25">
      <c r="A84" s="461">
        <v>7</v>
      </c>
      <c r="B84" s="590" t="s">
        <v>580</v>
      </c>
      <c r="C84" s="461">
        <v>0</v>
      </c>
      <c r="D84" s="461">
        <v>0</v>
      </c>
      <c r="E84" s="461">
        <v>20</v>
      </c>
      <c r="F84" s="461">
        <v>0</v>
      </c>
      <c r="G84" s="461">
        <v>20</v>
      </c>
      <c r="H84" s="461">
        <v>0</v>
      </c>
      <c r="I84" s="461">
        <v>0</v>
      </c>
      <c r="J84" s="461">
        <v>20</v>
      </c>
      <c r="K84" s="461">
        <v>0</v>
      </c>
      <c r="L84" s="461">
        <v>20</v>
      </c>
      <c r="M84" s="461">
        <v>20</v>
      </c>
      <c r="N84" s="461">
        <v>1</v>
      </c>
      <c r="O84" s="461">
        <v>0</v>
      </c>
      <c r="P84" s="461">
        <v>0</v>
      </c>
      <c r="Q84" s="461">
        <v>0</v>
      </c>
      <c r="R84" s="461">
        <v>0</v>
      </c>
      <c r="S84" s="461" t="e">
        <v>#DIV/0!</v>
      </c>
      <c r="T84" s="461">
        <v>1</v>
      </c>
      <c r="U84" s="461" t="e">
        <v>#DIV/0!</v>
      </c>
      <c r="V84" s="461" t="e">
        <v>#DIV/0!</v>
      </c>
      <c r="W84" s="461" t="e">
        <v>#DIV/0!</v>
      </c>
      <c r="X84" s="461">
        <v>1</v>
      </c>
      <c r="Y84" s="461">
        <v>0</v>
      </c>
      <c r="Z84" s="461" t="e">
        <v>#DIV/0!</v>
      </c>
      <c r="AA84" s="461" t="e">
        <v>#DIV/0!</v>
      </c>
      <c r="AB84" s="461" t="e">
        <v>#DIV/0!</v>
      </c>
      <c r="AC84" s="461">
        <v>0</v>
      </c>
      <c r="AD84" s="461">
        <v>1</v>
      </c>
      <c r="AE84" s="461" t="e">
        <v>#DIV/0!</v>
      </c>
      <c r="AF84" s="488">
        <v>0</v>
      </c>
      <c r="AG84" s="461" t="e">
        <v>#DIV/0!</v>
      </c>
      <c r="AH84" s="488" t="e">
        <v>#NUM!</v>
      </c>
      <c r="AI84" s="488" t="e">
        <v>#NUM!</v>
      </c>
      <c r="AJ84" s="461" t="e">
        <v>#NUM!</v>
      </c>
      <c r="AK84" s="461" t="e">
        <v>#DIV/0!</v>
      </c>
      <c r="AL84" s="461" t="e">
        <v>#DIV/0!</v>
      </c>
      <c r="AM84" s="461">
        <v>0</v>
      </c>
      <c r="AN84" s="461">
        <v>1</v>
      </c>
      <c r="AO84" s="461">
        <v>0</v>
      </c>
      <c r="AP84" s="461">
        <v>0.5</v>
      </c>
      <c r="AQ84" s="461">
        <v>0.3</v>
      </c>
      <c r="AR84" s="485" t="s">
        <v>347</v>
      </c>
      <c r="AS84" s="485" t="s">
        <v>349</v>
      </c>
      <c r="AT84" s="699" t="s">
        <v>480</v>
      </c>
      <c r="AU84" s="699" t="s">
        <v>481</v>
      </c>
      <c r="AV84" s="699" t="s">
        <v>482</v>
      </c>
      <c r="AW84" s="486">
        <v>-0.87871240857509636</v>
      </c>
      <c r="AX84" s="617">
        <v>0.7776535058505647</v>
      </c>
      <c r="AY84" s="486">
        <v>0.88184664531343815</v>
      </c>
      <c r="AZ84" s="486">
        <v>0.78840734935540935</v>
      </c>
      <c r="BA84" s="617">
        <v>15.553070117011293</v>
      </c>
      <c r="BB84" s="486">
        <v>6.4116493428106116</v>
      </c>
      <c r="BC84" s="661"/>
      <c r="BD84" s="661"/>
      <c r="BE84" s="486">
        <v>0.7776535058505647</v>
      </c>
      <c r="BF84" s="486">
        <v>26.335417797129871</v>
      </c>
      <c r="BG84" s="486">
        <v>0.87871240857509636</v>
      </c>
      <c r="BH84" s="486">
        <v>0.88790217137558236</v>
      </c>
      <c r="BI84" s="486">
        <v>0.99550365297403087</v>
      </c>
      <c r="BJ84" s="486">
        <v>0.87553539121750201</v>
      </c>
      <c r="BK84" s="661"/>
      <c r="BL84" s="661"/>
      <c r="BM84" s="661"/>
      <c r="BN84" s="661"/>
      <c r="BO84" s="661"/>
      <c r="BP84" s="486">
        <v>-0.87871240857509636</v>
      </c>
      <c r="BQ84" s="486">
        <v>0.87871240857509636</v>
      </c>
      <c r="BR84" s="620">
        <v>28.684764644320285</v>
      </c>
      <c r="BS84" s="486">
        <v>0.88790217137558236</v>
      </c>
      <c r="BT84" s="486">
        <v>0.88184664531343815</v>
      </c>
      <c r="BU84" s="486">
        <v>0.88792305373574421</v>
      </c>
      <c r="BV84" s="486">
        <v>0.79149139369840305</v>
      </c>
      <c r="BW84" s="486">
        <v>0.75597495605805254</v>
      </c>
      <c r="BX84" s="486">
        <v>3.5696003681241306</v>
      </c>
    </row>
    <row r="85" spans="1:76" ht="17" x14ac:dyDescent="0.25">
      <c r="A85" s="461">
        <v>8</v>
      </c>
      <c r="B85" s="590" t="s">
        <v>581</v>
      </c>
      <c r="C85" s="461">
        <v>0</v>
      </c>
      <c r="D85" s="461">
        <v>0</v>
      </c>
      <c r="E85" s="461">
        <v>20</v>
      </c>
      <c r="F85" s="461">
        <v>0</v>
      </c>
      <c r="G85" s="461">
        <v>20</v>
      </c>
      <c r="H85" s="461">
        <v>0</v>
      </c>
      <c r="I85" s="461">
        <v>0</v>
      </c>
      <c r="J85" s="461">
        <v>20</v>
      </c>
      <c r="K85" s="461">
        <v>0</v>
      </c>
      <c r="L85" s="461">
        <v>20</v>
      </c>
      <c r="M85" s="461">
        <v>20</v>
      </c>
      <c r="N85" s="461">
        <v>1</v>
      </c>
      <c r="O85" s="461">
        <v>0</v>
      </c>
      <c r="P85" s="461">
        <v>0</v>
      </c>
      <c r="Q85" s="461">
        <v>0</v>
      </c>
      <c r="R85" s="461">
        <v>0</v>
      </c>
      <c r="S85" s="461" t="e">
        <v>#DIV/0!</v>
      </c>
      <c r="T85" s="461">
        <v>1</v>
      </c>
      <c r="U85" s="461" t="e">
        <v>#DIV/0!</v>
      </c>
      <c r="V85" s="461" t="e">
        <v>#DIV/0!</v>
      </c>
      <c r="W85" s="461" t="e">
        <v>#DIV/0!</v>
      </c>
      <c r="X85" s="461">
        <v>1</v>
      </c>
      <c r="Y85" s="461">
        <v>0</v>
      </c>
      <c r="Z85" s="461" t="e">
        <v>#DIV/0!</v>
      </c>
      <c r="AA85" s="461" t="e">
        <v>#DIV/0!</v>
      </c>
      <c r="AB85" s="461" t="e">
        <v>#DIV/0!</v>
      </c>
      <c r="AC85" s="461">
        <v>0</v>
      </c>
      <c r="AD85" s="461">
        <v>1</v>
      </c>
      <c r="AE85" s="461" t="e">
        <v>#DIV/0!</v>
      </c>
      <c r="AF85" s="488">
        <v>0</v>
      </c>
      <c r="AG85" s="461" t="e">
        <v>#DIV/0!</v>
      </c>
      <c r="AH85" s="488" t="e">
        <v>#NUM!</v>
      </c>
      <c r="AI85" s="488" t="e">
        <v>#NUM!</v>
      </c>
      <c r="AJ85" s="461" t="e">
        <v>#NUM!</v>
      </c>
      <c r="AK85" s="461" t="e">
        <v>#DIV/0!</v>
      </c>
      <c r="AL85" s="461" t="e">
        <v>#DIV/0!</v>
      </c>
      <c r="AM85" s="461">
        <v>0</v>
      </c>
      <c r="AN85" s="461">
        <v>1</v>
      </c>
      <c r="AO85" s="461">
        <v>0</v>
      </c>
      <c r="AP85" s="461">
        <v>0.5</v>
      </c>
      <c r="AQ85" s="461">
        <v>0.2</v>
      </c>
      <c r="AR85" s="485" t="s">
        <v>347</v>
      </c>
      <c r="AS85" s="485" t="s">
        <v>349</v>
      </c>
      <c r="AT85" s="699" t="s">
        <v>480</v>
      </c>
      <c r="AU85" s="699" t="s">
        <v>481</v>
      </c>
      <c r="AV85" s="699" t="s">
        <v>482</v>
      </c>
      <c r="AW85" s="486">
        <v>-0.90286950775069119</v>
      </c>
      <c r="AX85" s="617">
        <v>0.81840915956269522</v>
      </c>
      <c r="AY85" s="486">
        <v>0.90465969268156032</v>
      </c>
      <c r="AZ85" s="486">
        <v>0.81734072913104328</v>
      </c>
      <c r="BA85" s="617">
        <v>16.368183191253905</v>
      </c>
      <c r="BB85" s="486">
        <v>8.4258726648069544</v>
      </c>
      <c r="BC85" s="661"/>
      <c r="BD85" s="661"/>
      <c r="BE85" s="486">
        <v>0.81840915956269522</v>
      </c>
      <c r="BF85" s="486">
        <v>125.9672025851535</v>
      </c>
      <c r="BG85" s="486">
        <v>0.90286950775069119</v>
      </c>
      <c r="BH85" s="486">
        <v>0.90406877531878616</v>
      </c>
      <c r="BI85" s="486">
        <v>0.99951483944720176</v>
      </c>
      <c r="BJ85" s="486">
        <v>0.90108603968739287</v>
      </c>
      <c r="BK85" s="661"/>
      <c r="BL85" s="661"/>
      <c r="BM85" s="661"/>
      <c r="BN85" s="661"/>
      <c r="BO85" s="661"/>
      <c r="BP85" s="486">
        <v>-0.90286950775069119</v>
      </c>
      <c r="BQ85" s="486">
        <v>0.90286950775069119</v>
      </c>
      <c r="BR85" s="620">
        <v>128.43327348593198</v>
      </c>
      <c r="BS85" s="486">
        <v>0.90406877531878616</v>
      </c>
      <c r="BT85" s="486">
        <v>0.90465969268156032</v>
      </c>
      <c r="BU85" s="486">
        <v>0.90406898471911046</v>
      </c>
      <c r="BV85" s="486">
        <v>0.82790792760376364</v>
      </c>
      <c r="BW85" s="486">
        <v>0.83951846583014045</v>
      </c>
      <c r="BX85" s="486">
        <v>4.0546539456259296</v>
      </c>
    </row>
    <row r="86" spans="1:76" ht="17" x14ac:dyDescent="0.25">
      <c r="A86" s="461">
        <v>9</v>
      </c>
      <c r="B86" s="590" t="s">
        <v>582</v>
      </c>
      <c r="C86" s="461">
        <v>0</v>
      </c>
      <c r="D86" s="461">
        <v>0</v>
      </c>
      <c r="E86" s="461">
        <v>20</v>
      </c>
      <c r="F86" s="461">
        <v>0</v>
      </c>
      <c r="G86" s="461">
        <v>20</v>
      </c>
      <c r="H86" s="461">
        <v>0</v>
      </c>
      <c r="I86" s="461">
        <v>0</v>
      </c>
      <c r="J86" s="461">
        <v>20</v>
      </c>
      <c r="K86" s="461">
        <v>0</v>
      </c>
      <c r="L86" s="461">
        <v>20</v>
      </c>
      <c r="M86" s="461">
        <v>20</v>
      </c>
      <c r="N86" s="461">
        <v>1</v>
      </c>
      <c r="O86" s="461">
        <v>0</v>
      </c>
      <c r="P86" s="461">
        <v>0</v>
      </c>
      <c r="Q86" s="461">
        <v>0</v>
      </c>
      <c r="R86" s="461">
        <v>0</v>
      </c>
      <c r="S86" s="461" t="e">
        <v>#DIV/0!</v>
      </c>
      <c r="T86" s="461">
        <v>1</v>
      </c>
      <c r="U86" s="461" t="e">
        <v>#DIV/0!</v>
      </c>
      <c r="V86" s="461" t="e">
        <v>#DIV/0!</v>
      </c>
      <c r="W86" s="461" t="e">
        <v>#DIV/0!</v>
      </c>
      <c r="X86" s="461">
        <v>1</v>
      </c>
      <c r="Y86" s="461">
        <v>0</v>
      </c>
      <c r="Z86" s="461" t="e">
        <v>#DIV/0!</v>
      </c>
      <c r="AA86" s="461" t="e">
        <v>#DIV/0!</v>
      </c>
      <c r="AB86" s="461" t="e">
        <v>#DIV/0!</v>
      </c>
      <c r="AC86" s="461">
        <v>0</v>
      </c>
      <c r="AD86" s="461">
        <v>1</v>
      </c>
      <c r="AE86" s="461" t="e">
        <v>#DIV/0!</v>
      </c>
      <c r="AF86" s="488">
        <v>0</v>
      </c>
      <c r="AG86" s="461" t="e">
        <v>#DIV/0!</v>
      </c>
      <c r="AH86" s="488" t="e">
        <v>#NUM!</v>
      </c>
      <c r="AI86" s="488" t="e">
        <v>#NUM!</v>
      </c>
      <c r="AJ86" s="461" t="e">
        <v>#NUM!</v>
      </c>
      <c r="AK86" s="461" t="e">
        <v>#DIV/0!</v>
      </c>
      <c r="AL86" s="461" t="e">
        <v>#DIV/0!</v>
      </c>
      <c r="AM86" s="461">
        <v>0</v>
      </c>
      <c r="AN86" s="461">
        <v>1</v>
      </c>
      <c r="AO86" s="461">
        <v>0</v>
      </c>
      <c r="AP86" s="461">
        <v>0.5</v>
      </c>
      <c r="AQ86" s="461">
        <v>0.1</v>
      </c>
      <c r="AR86" s="485" t="s">
        <v>347</v>
      </c>
      <c r="AS86" s="485" t="s">
        <v>349</v>
      </c>
      <c r="AT86" s="699" t="s">
        <v>480</v>
      </c>
      <c r="AU86" s="699" t="s">
        <v>481</v>
      </c>
      <c r="AV86" s="699" t="s">
        <v>482</v>
      </c>
      <c r="AW86" s="486">
        <v>-0.94658802109149998</v>
      </c>
      <c r="AX86" s="617">
        <v>0.89669050033073439</v>
      </c>
      <c r="AY86" s="486">
        <v>0.94693743210981707</v>
      </c>
      <c r="AZ86" s="486">
        <v>0.89231898517773245</v>
      </c>
      <c r="BA86" s="617">
        <v>17.933810006614689</v>
      </c>
      <c r="BB86" s="486">
        <v>16.788190938719062</v>
      </c>
      <c r="BC86" s="661"/>
      <c r="BD86" s="661"/>
      <c r="BE86" s="486">
        <v>0.89669050033073439</v>
      </c>
      <c r="BF86" s="486">
        <v>27.094208611605609</v>
      </c>
      <c r="BG86" s="486">
        <v>0.94658802109149998</v>
      </c>
      <c r="BH86" s="486">
        <v>0.94462635838648024</v>
      </c>
      <c r="BI86" s="486">
        <v>0.99369637958890789</v>
      </c>
      <c r="BJ86" s="486">
        <v>0.94623985940373523</v>
      </c>
      <c r="BK86" s="661"/>
      <c r="BL86" s="661"/>
      <c r="BM86" s="661"/>
      <c r="BN86" s="661"/>
      <c r="BO86" s="661"/>
      <c r="BP86" s="486">
        <v>-0.94658802109149998</v>
      </c>
      <c r="BQ86" s="486">
        <v>0.94658802109149998</v>
      </c>
      <c r="BR86" s="620">
        <v>29.787540173836</v>
      </c>
      <c r="BS86" s="486">
        <v>0.94462635838648024</v>
      </c>
      <c r="BT86" s="486">
        <v>0.94693743210981707</v>
      </c>
      <c r="BU86" s="486">
        <v>0.9446263733231951</v>
      </c>
      <c r="BV86" s="486">
        <v>0.89973216711637105</v>
      </c>
      <c r="BW86" s="486">
        <v>0.93312155077877312</v>
      </c>
      <c r="BX86" s="486">
        <v>4.4894183105703664</v>
      </c>
    </row>
    <row r="87" spans="1:76" ht="17" x14ac:dyDescent="0.25">
      <c r="A87" s="461">
        <v>10</v>
      </c>
      <c r="B87" s="590" t="s">
        <v>583</v>
      </c>
      <c r="C87" s="461">
        <v>0</v>
      </c>
      <c r="D87" s="461">
        <v>0</v>
      </c>
      <c r="E87" s="461">
        <v>20</v>
      </c>
      <c r="F87" s="461">
        <v>0</v>
      </c>
      <c r="G87" s="461">
        <v>20</v>
      </c>
      <c r="H87" s="461">
        <v>0</v>
      </c>
      <c r="I87" s="461">
        <v>0</v>
      </c>
      <c r="J87" s="461">
        <v>20</v>
      </c>
      <c r="K87" s="461">
        <v>0</v>
      </c>
      <c r="L87" s="461">
        <v>20</v>
      </c>
      <c r="M87" s="461">
        <v>20</v>
      </c>
      <c r="N87" s="461">
        <v>1</v>
      </c>
      <c r="O87" s="461">
        <v>0</v>
      </c>
      <c r="P87" s="461">
        <v>0</v>
      </c>
      <c r="Q87" s="461">
        <v>0</v>
      </c>
      <c r="R87" s="461">
        <v>0</v>
      </c>
      <c r="S87" s="461" t="e">
        <v>#DIV/0!</v>
      </c>
      <c r="T87" s="461">
        <v>1</v>
      </c>
      <c r="U87" s="461" t="e">
        <v>#DIV/0!</v>
      </c>
      <c r="V87" s="461" t="e">
        <v>#DIV/0!</v>
      </c>
      <c r="W87" s="461" t="e">
        <v>#DIV/0!</v>
      </c>
      <c r="X87" s="461">
        <v>1</v>
      </c>
      <c r="Y87" s="461">
        <v>0</v>
      </c>
      <c r="Z87" s="461" t="e">
        <v>#DIV/0!</v>
      </c>
      <c r="AA87" s="461" t="e">
        <v>#DIV/0!</v>
      </c>
      <c r="AB87" s="461" t="e">
        <v>#DIV/0!</v>
      </c>
      <c r="AC87" s="461">
        <v>0</v>
      </c>
      <c r="AD87" s="461">
        <v>1</v>
      </c>
      <c r="AE87" s="461" t="e">
        <v>#DIV/0!</v>
      </c>
      <c r="AF87" s="488">
        <v>0</v>
      </c>
      <c r="AG87" s="461" t="e">
        <v>#DIV/0!</v>
      </c>
      <c r="AH87" s="488" t="e">
        <v>#NUM!</v>
      </c>
      <c r="AI87" s="488" t="e">
        <v>#NUM!</v>
      </c>
      <c r="AJ87" s="461" t="e">
        <v>#NUM!</v>
      </c>
      <c r="AK87" s="461" t="e">
        <v>#DIV/0!</v>
      </c>
      <c r="AL87" s="461" t="e">
        <v>#DIV/0!</v>
      </c>
      <c r="AM87" s="461">
        <v>0</v>
      </c>
      <c r="AN87" s="461">
        <v>1</v>
      </c>
      <c r="AO87" s="461">
        <v>0</v>
      </c>
      <c r="AP87" s="461">
        <v>0.5</v>
      </c>
      <c r="AQ87" s="461">
        <v>0.01</v>
      </c>
      <c r="AR87" s="485" t="s">
        <v>347</v>
      </c>
      <c r="AS87" s="485" t="s">
        <v>349</v>
      </c>
      <c r="AT87" s="699" t="s">
        <v>480</v>
      </c>
      <c r="AU87" s="699" t="s">
        <v>481</v>
      </c>
      <c r="AV87" s="699" t="s">
        <v>482</v>
      </c>
      <c r="AW87" s="486">
        <v>-0.99471559400030984</v>
      </c>
      <c r="AX87" s="617">
        <v>0.98946710794589399</v>
      </c>
      <c r="AY87" s="486">
        <v>0.9947196127280763</v>
      </c>
      <c r="AZ87" s="486">
        <v>0.98871953763897868</v>
      </c>
      <c r="BA87" s="617">
        <v>19.789342158917879</v>
      </c>
      <c r="BB87" s="486">
        <v>187.24282502212876</v>
      </c>
      <c r="BC87" s="661"/>
      <c r="BD87" s="661"/>
      <c r="BE87" s="486">
        <v>0.98946710794589399</v>
      </c>
      <c r="BF87" s="486">
        <v>331.65252436174148</v>
      </c>
      <c r="BG87" s="486">
        <v>0.99471559400030984</v>
      </c>
      <c r="BH87" s="486">
        <v>0.9943437307234364</v>
      </c>
      <c r="BI87" s="486">
        <v>0.99924556978650436</v>
      </c>
      <c r="BJ87" s="486">
        <v>0.99471157666402055</v>
      </c>
      <c r="BK87" s="661"/>
      <c r="BL87" s="661"/>
      <c r="BM87" s="661"/>
      <c r="BN87" s="661"/>
      <c r="BO87" s="661"/>
      <c r="BP87" s="486">
        <v>-0.99471559400030984</v>
      </c>
      <c r="BQ87" s="486">
        <v>0.99471559400030984</v>
      </c>
      <c r="BR87" s="620">
        <v>334.62096133542298</v>
      </c>
      <c r="BS87" s="486">
        <v>0.9943437307234364</v>
      </c>
      <c r="BT87" s="486">
        <v>0.9947196127280763</v>
      </c>
      <c r="BU87" s="486">
        <v>0.99434377236395399</v>
      </c>
      <c r="BV87" s="486">
        <v>0.98950249193019446</v>
      </c>
      <c r="BW87" s="486">
        <v>0.98756979878617601</v>
      </c>
      <c r="BX87" s="486">
        <v>7.8898183607690457</v>
      </c>
    </row>
    <row r="88" spans="1:76" s="605" customFormat="1" ht="49" thickBot="1" x14ac:dyDescent="0.25">
      <c r="A88" s="765"/>
      <c r="B88" s="634" t="s">
        <v>828</v>
      </c>
      <c r="C88" s="633">
        <v>0</v>
      </c>
      <c r="D88" s="633">
        <v>0</v>
      </c>
      <c r="E88" s="633">
        <v>20</v>
      </c>
      <c r="F88" s="633">
        <v>0</v>
      </c>
      <c r="G88" s="633">
        <v>20</v>
      </c>
      <c r="H88" s="633">
        <v>0</v>
      </c>
      <c r="I88" s="633">
        <v>0</v>
      </c>
      <c r="J88" s="633">
        <v>20</v>
      </c>
      <c r="K88" s="633">
        <v>0</v>
      </c>
      <c r="L88" s="633">
        <v>20</v>
      </c>
      <c r="M88" s="633">
        <v>20</v>
      </c>
      <c r="N88" s="633">
        <v>1</v>
      </c>
      <c r="O88" s="633">
        <v>0</v>
      </c>
      <c r="P88" s="633">
        <v>0</v>
      </c>
      <c r="Q88" s="633">
        <v>0</v>
      </c>
      <c r="R88" s="633">
        <v>0</v>
      </c>
      <c r="S88" s="633" t="e">
        <v>#DIV/0!</v>
      </c>
      <c r="T88" s="633">
        <v>1</v>
      </c>
      <c r="U88" s="633" t="e">
        <v>#DIV/0!</v>
      </c>
      <c r="V88" s="633" t="e">
        <v>#DIV/0!</v>
      </c>
      <c r="W88" s="633" t="e">
        <v>#DIV/0!</v>
      </c>
      <c r="X88" s="633">
        <v>1</v>
      </c>
      <c r="Y88" s="633">
        <v>0</v>
      </c>
      <c r="Z88" s="633" t="e">
        <v>#DIV/0!</v>
      </c>
      <c r="AA88" s="633" t="e">
        <v>#DIV/0!</v>
      </c>
      <c r="AB88" s="633" t="e">
        <v>#DIV/0!</v>
      </c>
      <c r="AC88" s="633">
        <v>0</v>
      </c>
      <c r="AD88" s="633">
        <v>1</v>
      </c>
      <c r="AE88" s="633" t="e">
        <v>#DIV/0!</v>
      </c>
      <c r="AF88" s="659">
        <v>0</v>
      </c>
      <c r="AG88" s="633" t="e">
        <v>#DIV/0!</v>
      </c>
      <c r="AH88" s="659" t="e">
        <v>#NUM!</v>
      </c>
      <c r="AI88" s="659" t="e">
        <v>#NUM!</v>
      </c>
      <c r="AJ88" s="633" t="e">
        <v>#NUM!</v>
      </c>
      <c r="AK88" s="633" t="e">
        <v>#DIV/0!</v>
      </c>
      <c r="AL88" s="633" t="e">
        <v>#DIV/0!</v>
      </c>
      <c r="AM88" s="633">
        <v>0</v>
      </c>
      <c r="AN88" s="633">
        <v>1</v>
      </c>
      <c r="AO88" s="640" t="s">
        <v>584</v>
      </c>
      <c r="AP88" s="633">
        <v>0.5</v>
      </c>
      <c r="AQ88" s="640" t="s">
        <v>585</v>
      </c>
      <c r="AR88" s="635" t="s">
        <v>347</v>
      </c>
      <c r="AS88" s="635" t="s">
        <v>349</v>
      </c>
      <c r="AT88" s="738" t="s">
        <v>480</v>
      </c>
      <c r="AU88" s="738" t="s">
        <v>481</v>
      </c>
      <c r="AV88" s="738" t="s">
        <v>482</v>
      </c>
      <c r="AW88" s="640" t="s">
        <v>587</v>
      </c>
      <c r="AX88" s="647" t="s">
        <v>573</v>
      </c>
      <c r="AY88" s="640" t="s">
        <v>573</v>
      </c>
      <c r="AZ88" s="640" t="s">
        <v>573</v>
      </c>
      <c r="BA88" s="652" t="s">
        <v>588</v>
      </c>
      <c r="BB88" s="652" t="s">
        <v>586</v>
      </c>
      <c r="BC88" s="649" t="s">
        <v>504</v>
      </c>
      <c r="BD88" s="649" t="s">
        <v>504</v>
      </c>
      <c r="BE88" s="640" t="s">
        <v>573</v>
      </c>
      <c r="BF88" s="652" t="s">
        <v>586</v>
      </c>
      <c r="BG88" s="640" t="s">
        <v>573</v>
      </c>
      <c r="BH88" s="640" t="s">
        <v>573</v>
      </c>
      <c r="BI88" s="640" t="s">
        <v>573</v>
      </c>
      <c r="BJ88" s="640" t="s">
        <v>573</v>
      </c>
      <c r="BK88" s="649" t="s">
        <v>504</v>
      </c>
      <c r="BL88" s="649" t="s">
        <v>504</v>
      </c>
      <c r="BM88" s="649" t="s">
        <v>504</v>
      </c>
      <c r="BN88" s="649" t="s">
        <v>504</v>
      </c>
      <c r="BO88" s="649" t="s">
        <v>504</v>
      </c>
      <c r="BP88" s="640" t="s">
        <v>587</v>
      </c>
      <c r="BQ88" s="640" t="s">
        <v>573</v>
      </c>
      <c r="BR88" s="648" t="s">
        <v>586</v>
      </c>
      <c r="BS88" s="640" t="s">
        <v>573</v>
      </c>
      <c r="BT88" s="640" t="s">
        <v>573</v>
      </c>
      <c r="BU88" s="640" t="s">
        <v>573</v>
      </c>
      <c r="BV88" s="640" t="s">
        <v>573</v>
      </c>
      <c r="BW88" s="640" t="s">
        <v>573</v>
      </c>
      <c r="BX88" s="652" t="s">
        <v>586</v>
      </c>
    </row>
    <row r="89" spans="1:76" x14ac:dyDescent="0.2">
      <c r="A89" s="461">
        <v>1</v>
      </c>
      <c r="B89" s="590"/>
      <c r="C89" s="461">
        <v>9</v>
      </c>
      <c r="D89" s="461">
        <v>2</v>
      </c>
      <c r="E89" s="461">
        <v>3</v>
      </c>
      <c r="F89" s="461">
        <v>6</v>
      </c>
      <c r="G89" s="461">
        <v>12</v>
      </c>
      <c r="H89" s="461">
        <v>8</v>
      </c>
      <c r="I89" s="461">
        <v>11</v>
      </c>
      <c r="J89" s="461">
        <v>9</v>
      </c>
      <c r="K89" s="461">
        <v>15</v>
      </c>
      <c r="L89" s="461">
        <v>5</v>
      </c>
      <c r="M89" s="461">
        <v>20</v>
      </c>
      <c r="N89" s="461">
        <v>0.6</v>
      </c>
      <c r="O89" s="461">
        <v>0.4</v>
      </c>
      <c r="P89" s="461">
        <v>0.55000000000000004</v>
      </c>
      <c r="Q89" s="461">
        <v>48</v>
      </c>
      <c r="R89" s="461">
        <v>0.75</v>
      </c>
      <c r="S89" s="461">
        <v>0.25</v>
      </c>
      <c r="T89" s="461">
        <v>0.25</v>
      </c>
      <c r="U89" s="461">
        <v>0.75</v>
      </c>
      <c r="V89" s="461">
        <v>0.81818181818181823</v>
      </c>
      <c r="W89" s="461">
        <v>0.18181818181818182</v>
      </c>
      <c r="X89" s="461">
        <v>0.33333333333333331</v>
      </c>
      <c r="Y89" s="461">
        <v>0.66666666666666663</v>
      </c>
      <c r="Z89" s="461">
        <v>0.75</v>
      </c>
      <c r="AA89" s="461">
        <v>0.75</v>
      </c>
      <c r="AB89" s="461">
        <v>0.5</v>
      </c>
      <c r="AC89" s="461">
        <v>0.75</v>
      </c>
      <c r="AD89" s="461">
        <v>0.25</v>
      </c>
      <c r="AE89" s="461">
        <v>0.78260869565217384</v>
      </c>
      <c r="AF89" s="488">
        <v>0.48979591836734693</v>
      </c>
      <c r="AG89" s="461">
        <v>0.4923659639173309</v>
      </c>
      <c r="AH89" s="488">
        <v>0.97095059445466858</v>
      </c>
      <c r="AI89" s="488">
        <v>0.99277445398780839</v>
      </c>
      <c r="AJ89" s="461">
        <v>1.7822287189138017</v>
      </c>
      <c r="AK89" s="461">
        <v>0.18149632952867539</v>
      </c>
      <c r="AL89" s="461">
        <v>0.1848490242283447</v>
      </c>
      <c r="AM89" s="461">
        <v>0</v>
      </c>
      <c r="AN89" s="461">
        <v>1</v>
      </c>
      <c r="AO89" s="461">
        <v>0</v>
      </c>
      <c r="AP89" s="461">
        <v>0.5</v>
      </c>
      <c r="AQ89" s="461">
        <v>1</v>
      </c>
      <c r="AR89" s="485" t="s">
        <v>349</v>
      </c>
      <c r="AS89" s="485" t="s">
        <v>349</v>
      </c>
      <c r="AT89" s="699" t="s">
        <v>508</v>
      </c>
      <c r="AU89" s="699" t="s">
        <v>509</v>
      </c>
      <c r="AV89" s="699" t="s">
        <v>510</v>
      </c>
      <c r="AW89" s="486">
        <v>-0.11010061885652656</v>
      </c>
      <c r="AX89" s="486">
        <v>0.19463248480623668</v>
      </c>
      <c r="AY89" s="486">
        <v>0.44117171804892102</v>
      </c>
      <c r="AZ89" s="486">
        <v>0.11724995514191304</v>
      </c>
      <c r="BA89" s="486">
        <v>3.8926496961247334</v>
      </c>
      <c r="BB89" s="486">
        <v>0.66215122362455081</v>
      </c>
      <c r="BC89" s="486">
        <v>0.77042025235802014</v>
      </c>
      <c r="BD89" s="486">
        <v>0.81096868669265265</v>
      </c>
      <c r="BE89" s="486">
        <v>0.32438747467706114</v>
      </c>
      <c r="BF89" s="661"/>
      <c r="BG89" s="486">
        <v>0.35794235983576023</v>
      </c>
      <c r="BH89" s="486">
        <v>0.33911263059142427</v>
      </c>
      <c r="BI89" s="486">
        <v>0.91374725040367433</v>
      </c>
      <c r="BJ89" s="486">
        <v>0.24128608737404639</v>
      </c>
      <c r="BK89" s="486">
        <v>0.79158850751471987</v>
      </c>
      <c r="BL89" s="486">
        <v>0.63394848331123388</v>
      </c>
      <c r="BM89" s="486">
        <v>0.51290364582832337</v>
      </c>
      <c r="BN89" s="486">
        <v>15.831770150294398</v>
      </c>
      <c r="BO89" s="486">
        <v>20.431740392231653</v>
      </c>
      <c r="BP89" s="661"/>
      <c r="BQ89" s="661"/>
      <c r="BR89" s="619">
        <v>1.4524934151826758</v>
      </c>
      <c r="BS89" s="661"/>
      <c r="BT89" s="661"/>
      <c r="BU89" s="661"/>
      <c r="BV89" s="486">
        <v>0.57173118157227376</v>
      </c>
      <c r="BW89" s="486">
        <v>1</v>
      </c>
      <c r="BX89" s="486">
        <v>1.4544738255994667</v>
      </c>
    </row>
    <row r="90" spans="1:76" x14ac:dyDescent="0.2">
      <c r="A90" s="461">
        <v>2</v>
      </c>
      <c r="C90" s="461">
        <v>6</v>
      </c>
      <c r="D90" s="461">
        <v>2</v>
      </c>
      <c r="E90" s="461">
        <v>9</v>
      </c>
      <c r="F90" s="461">
        <v>3</v>
      </c>
      <c r="G90" s="461">
        <v>15</v>
      </c>
      <c r="H90" s="461">
        <v>5</v>
      </c>
      <c r="I90" s="461">
        <v>8</v>
      </c>
      <c r="J90" s="461">
        <v>12</v>
      </c>
      <c r="K90" s="461">
        <v>9</v>
      </c>
      <c r="L90" s="461">
        <v>11</v>
      </c>
      <c r="M90" s="461">
        <v>20</v>
      </c>
      <c r="N90" s="461">
        <v>0.75</v>
      </c>
      <c r="O90" s="461">
        <v>0.25</v>
      </c>
      <c r="P90" s="461">
        <v>0.4</v>
      </c>
      <c r="Q90" s="461">
        <v>0</v>
      </c>
      <c r="R90" s="461">
        <v>0.4</v>
      </c>
      <c r="S90" s="461">
        <v>0.4</v>
      </c>
      <c r="T90" s="461">
        <v>0.6</v>
      </c>
      <c r="U90" s="461">
        <v>0.6</v>
      </c>
      <c r="V90" s="461">
        <v>0.75</v>
      </c>
      <c r="W90" s="461">
        <v>0.25</v>
      </c>
      <c r="X90" s="461">
        <v>0.75</v>
      </c>
      <c r="Y90" s="461">
        <v>0.25</v>
      </c>
      <c r="Z90" s="461">
        <v>0.5</v>
      </c>
      <c r="AA90" s="461">
        <v>0.4898979485566356</v>
      </c>
      <c r="AB90" s="461">
        <v>0</v>
      </c>
      <c r="AC90" s="461">
        <v>0.45</v>
      </c>
      <c r="AD90" s="461">
        <v>0.55000000000000004</v>
      </c>
      <c r="AE90" s="461">
        <v>0.52173913043478271</v>
      </c>
      <c r="AF90" s="488">
        <v>0</v>
      </c>
      <c r="AG90" s="461">
        <v>0</v>
      </c>
      <c r="AH90" s="488">
        <v>0.81127812445913283</v>
      </c>
      <c r="AI90" s="488">
        <v>0.97095059445466858</v>
      </c>
      <c r="AJ90" s="461">
        <v>1.7822287189138015</v>
      </c>
      <c r="AK90" s="461">
        <v>4.8051397557223767E-17</v>
      </c>
      <c r="AL90" s="461">
        <v>5.392281815154366E-17</v>
      </c>
      <c r="AM90" s="461">
        <v>0</v>
      </c>
      <c r="AN90" s="461">
        <v>1</v>
      </c>
      <c r="AO90" s="461">
        <v>0</v>
      </c>
      <c r="AP90" s="461">
        <v>0.5</v>
      </c>
      <c r="AQ90" s="461">
        <v>1</v>
      </c>
      <c r="AR90" s="485" t="s">
        <v>349</v>
      </c>
      <c r="AS90" s="485" t="s">
        <v>349</v>
      </c>
      <c r="AT90" s="699" t="s">
        <v>511</v>
      </c>
      <c r="AU90" s="699" t="s">
        <v>512</v>
      </c>
      <c r="AV90" s="699" t="s">
        <v>513</v>
      </c>
      <c r="AW90" s="486">
        <v>-0.32043706039265729</v>
      </c>
      <c r="AX90" s="486">
        <v>0.40256235146008734</v>
      </c>
      <c r="AY90" s="486">
        <v>0.63447801495409384</v>
      </c>
      <c r="AZ90" s="486">
        <v>0.34104533024775463</v>
      </c>
      <c r="BA90" s="486">
        <v>8.0512470292017468</v>
      </c>
      <c r="BB90" s="486">
        <v>1.2495253953644567</v>
      </c>
      <c r="BC90" s="486">
        <v>2.0396492473977759</v>
      </c>
      <c r="BD90" s="486">
        <v>2.1469992077871325</v>
      </c>
      <c r="BE90" s="486">
        <v>0.53674980194678312</v>
      </c>
      <c r="BF90" s="661"/>
      <c r="BG90" s="486">
        <v>0.54206293152868512</v>
      </c>
      <c r="BH90" s="486">
        <v>0.58297176394038797</v>
      </c>
      <c r="BI90" s="486">
        <v>0.99455235560889654</v>
      </c>
      <c r="BJ90" s="486">
        <v>0.35498770688795128</v>
      </c>
      <c r="BK90" s="486">
        <v>1.8727505646000366</v>
      </c>
      <c r="BL90" s="486">
        <v>1.1815655680713135</v>
      </c>
      <c r="BM90" s="486">
        <v>1.0789293106443723</v>
      </c>
      <c r="BN90" s="486">
        <v>37.455011292000734</v>
      </c>
      <c r="BO90" s="486">
        <v>107.91372976395041</v>
      </c>
      <c r="BP90" s="661"/>
      <c r="BQ90" s="661"/>
      <c r="BR90" s="619">
        <v>15.628336305714461</v>
      </c>
      <c r="BS90" s="661"/>
      <c r="BT90" s="661"/>
      <c r="BU90" s="661"/>
      <c r="BV90" s="486">
        <v>0.61169024712035702</v>
      </c>
      <c r="BW90" s="486">
        <v>1</v>
      </c>
      <c r="BX90" s="486">
        <v>2.3058415966753323</v>
      </c>
    </row>
    <row r="91" spans="1:76" x14ac:dyDescent="0.2">
      <c r="A91" s="461">
        <v>3</v>
      </c>
      <c r="C91" s="461">
        <v>4</v>
      </c>
      <c r="D91" s="461">
        <v>4</v>
      </c>
      <c r="E91" s="461">
        <v>3</v>
      </c>
      <c r="F91" s="461">
        <v>9</v>
      </c>
      <c r="G91" s="461">
        <v>7</v>
      </c>
      <c r="H91" s="461">
        <v>13</v>
      </c>
      <c r="I91" s="461">
        <v>8</v>
      </c>
      <c r="J91" s="461">
        <v>12</v>
      </c>
      <c r="K91" s="461">
        <v>13</v>
      </c>
      <c r="L91" s="461">
        <v>7</v>
      </c>
      <c r="M91" s="461">
        <v>20</v>
      </c>
      <c r="N91" s="461">
        <v>0.35</v>
      </c>
      <c r="O91" s="461">
        <v>0.65</v>
      </c>
      <c r="P91" s="461">
        <v>0.4</v>
      </c>
      <c r="Q91" s="461">
        <v>24</v>
      </c>
      <c r="R91" s="461">
        <v>0.5714285714285714</v>
      </c>
      <c r="S91" s="461">
        <v>0.30769230769230771</v>
      </c>
      <c r="T91" s="461">
        <v>0.42857142857142855</v>
      </c>
      <c r="U91" s="461">
        <v>0.69230769230769229</v>
      </c>
      <c r="V91" s="461">
        <v>0.5</v>
      </c>
      <c r="W91" s="461">
        <v>0.5</v>
      </c>
      <c r="X91" s="461">
        <v>0.25</v>
      </c>
      <c r="Y91" s="461">
        <v>0.75</v>
      </c>
      <c r="Z91" s="461">
        <v>0.63186813186813184</v>
      </c>
      <c r="AA91" s="461">
        <v>0.62897090203315098</v>
      </c>
      <c r="AB91" s="461">
        <v>0.26373626373626369</v>
      </c>
      <c r="AC91" s="461">
        <v>0.65</v>
      </c>
      <c r="AD91" s="461">
        <v>0.35</v>
      </c>
      <c r="AE91" s="461">
        <v>0.53333333333333333</v>
      </c>
      <c r="AF91" s="488">
        <v>0.25531914893617019</v>
      </c>
      <c r="AG91" s="461">
        <v>0.25677629550654774</v>
      </c>
      <c r="AH91" s="488">
        <v>0.93406805537549098</v>
      </c>
      <c r="AI91" s="488">
        <v>0.97095059445466858</v>
      </c>
      <c r="AJ91" s="461">
        <v>1.8577174691301483</v>
      </c>
      <c r="AK91" s="461">
        <v>4.7301180700011325E-2</v>
      </c>
      <c r="AL91" s="461">
        <v>4.965954606715102E-2</v>
      </c>
      <c r="AM91" s="461">
        <v>0</v>
      </c>
      <c r="AN91" s="461">
        <v>1</v>
      </c>
      <c r="AO91" s="461">
        <v>0</v>
      </c>
      <c r="AP91" s="461">
        <v>0.5</v>
      </c>
      <c r="AQ91" s="461">
        <v>1</v>
      </c>
      <c r="AR91" s="485" t="s">
        <v>349</v>
      </c>
      <c r="AS91" s="485" t="s">
        <v>349</v>
      </c>
      <c r="AT91" s="699" t="s">
        <v>514</v>
      </c>
      <c r="AU91" s="699" t="s">
        <v>515</v>
      </c>
      <c r="AV91" s="699" t="s">
        <v>516</v>
      </c>
      <c r="AW91" s="486">
        <v>4.5862384581960562E-2</v>
      </c>
      <c r="AX91" s="486">
        <v>0.20069631407666147</v>
      </c>
      <c r="AY91" s="486">
        <v>0.44799142187843449</v>
      </c>
      <c r="AZ91" s="486">
        <v>0.10174162247945011</v>
      </c>
      <c r="BA91" s="486">
        <v>4.0139262815332293</v>
      </c>
      <c r="BB91" s="486">
        <v>1.448528737643449</v>
      </c>
      <c r="BC91" s="486">
        <v>0.8380725203201248</v>
      </c>
      <c r="BD91" s="486">
        <v>0.88218160033697368</v>
      </c>
      <c r="BE91" s="486">
        <v>0.57341804021903275</v>
      </c>
      <c r="BF91" s="661"/>
      <c r="BG91" s="486">
        <v>0.36080084078362906</v>
      </c>
      <c r="BH91" s="486">
        <v>0.31894630825175885</v>
      </c>
      <c r="BI91" s="486">
        <v>0.87212413029356561</v>
      </c>
      <c r="BJ91" s="486">
        <v>0.21761586092599045</v>
      </c>
      <c r="BK91" s="486">
        <v>0.82320781573234547</v>
      </c>
      <c r="BL91" s="486">
        <v>0.79183526507062918</v>
      </c>
      <c r="BM91" s="486">
        <v>0.50064126374022755</v>
      </c>
      <c r="BN91" s="486">
        <v>16.46415631464691</v>
      </c>
      <c r="BO91" s="486">
        <v>21.254593769970885</v>
      </c>
      <c r="BP91" s="661"/>
      <c r="BQ91" s="661"/>
      <c r="BR91" s="619">
        <v>1.272436462838316</v>
      </c>
      <c r="BS91" s="661"/>
      <c r="BT91" s="661"/>
      <c r="BU91" s="661"/>
      <c r="BV91" s="486">
        <v>0.76765553248483598</v>
      </c>
      <c r="BW91" s="486">
        <v>0.86617261793301448</v>
      </c>
      <c r="BX91" s="486">
        <v>1.9675828406194142</v>
      </c>
    </row>
    <row r="92" spans="1:76" x14ac:dyDescent="0.2">
      <c r="A92" s="461">
        <v>4</v>
      </c>
      <c r="C92" s="461">
        <v>4</v>
      </c>
      <c r="D92" s="461">
        <v>5</v>
      </c>
      <c r="E92" s="461">
        <v>5</v>
      </c>
      <c r="F92" s="461">
        <v>6</v>
      </c>
      <c r="G92" s="461">
        <v>9</v>
      </c>
      <c r="H92" s="461">
        <v>11</v>
      </c>
      <c r="I92" s="461">
        <v>9</v>
      </c>
      <c r="J92" s="461">
        <v>11</v>
      </c>
      <c r="K92" s="461">
        <v>10</v>
      </c>
      <c r="L92" s="461">
        <v>10</v>
      </c>
      <c r="M92" s="461">
        <v>20</v>
      </c>
      <c r="N92" s="461">
        <v>0.45</v>
      </c>
      <c r="O92" s="461">
        <v>0.55000000000000004</v>
      </c>
      <c r="P92" s="461">
        <v>0.45</v>
      </c>
      <c r="Q92" s="461">
        <v>-1</v>
      </c>
      <c r="R92" s="461">
        <v>0.44444444444444442</v>
      </c>
      <c r="S92" s="461">
        <v>0.45454545454545453</v>
      </c>
      <c r="T92" s="461">
        <v>0.55555555555555558</v>
      </c>
      <c r="U92" s="461">
        <v>0.54545454545454541</v>
      </c>
      <c r="V92" s="461">
        <v>0.44444444444444442</v>
      </c>
      <c r="W92" s="461">
        <v>0.55555555555555558</v>
      </c>
      <c r="X92" s="461">
        <v>0.45454545454545453</v>
      </c>
      <c r="Y92" s="461">
        <v>0.54545454545454541</v>
      </c>
      <c r="Z92" s="461">
        <v>0.49494949494949492</v>
      </c>
      <c r="AA92" s="461">
        <v>0.4923659639173309</v>
      </c>
      <c r="AB92" s="461">
        <v>-1.0101010101010166E-2</v>
      </c>
      <c r="AC92" s="461">
        <v>0.5</v>
      </c>
      <c r="AD92" s="461">
        <v>0.5</v>
      </c>
      <c r="AE92" s="461">
        <v>0.44444444444444442</v>
      </c>
      <c r="AF92" s="488">
        <v>-1.0101010101010102E-2</v>
      </c>
      <c r="AG92" s="461">
        <v>-1.0101010101010102E-2</v>
      </c>
      <c r="AH92" s="488">
        <v>0.99277445398780839</v>
      </c>
      <c r="AI92" s="488">
        <v>0.99277445398780839</v>
      </c>
      <c r="AJ92" s="461">
        <v>1.9854752972273344</v>
      </c>
      <c r="AK92" s="461">
        <v>7.3610748282055237E-5</v>
      </c>
      <c r="AL92" s="461">
        <v>7.414649720928376E-5</v>
      </c>
      <c r="AM92" s="461">
        <v>0</v>
      </c>
      <c r="AN92" s="461">
        <v>1</v>
      </c>
      <c r="AO92" s="461">
        <v>0</v>
      </c>
      <c r="AP92" s="461">
        <v>0.5</v>
      </c>
      <c r="AQ92" s="461">
        <v>1</v>
      </c>
      <c r="AR92" s="485" t="s">
        <v>349</v>
      </c>
      <c r="AS92" s="485" t="s">
        <v>349</v>
      </c>
      <c r="AT92" s="699" t="s">
        <v>517</v>
      </c>
      <c r="AU92" s="699" t="s">
        <v>518</v>
      </c>
      <c r="AV92" s="699" t="s">
        <v>519</v>
      </c>
      <c r="AW92" s="486">
        <v>1.6839971005504287E-2</v>
      </c>
      <c r="AX92" s="486">
        <v>0.3315169291600622</v>
      </c>
      <c r="AY92" s="486">
        <v>0.57577506819943347</v>
      </c>
      <c r="AZ92" s="486">
        <v>0.24481490642982842</v>
      </c>
      <c r="BA92" s="486">
        <v>6.6303385832012438</v>
      </c>
      <c r="BB92" s="486">
        <v>1.5780660028651969</v>
      </c>
      <c r="BC92" s="486">
        <v>1.2724892230386224</v>
      </c>
      <c r="BD92" s="486">
        <v>1.3394623400406553</v>
      </c>
      <c r="BE92" s="486">
        <v>0.73670428702236046</v>
      </c>
      <c r="BF92" s="661"/>
      <c r="BG92" s="486">
        <v>0.51111376531613972</v>
      </c>
      <c r="BH92" s="486">
        <v>0.49364989824560068</v>
      </c>
      <c r="BI92" s="486">
        <v>0.9991409181851677</v>
      </c>
      <c r="BJ92" s="486">
        <v>0.43749936359359254</v>
      </c>
      <c r="BK92" s="486">
        <v>1.035955075589273</v>
      </c>
      <c r="BL92" s="486">
        <v>1.0315685513582673</v>
      </c>
      <c r="BM92" s="486">
        <v>0.88827478208729072</v>
      </c>
      <c r="BN92" s="486">
        <v>20.71910151178546</v>
      </c>
      <c r="BO92" s="486">
        <v>27.12202560239545</v>
      </c>
      <c r="BP92" s="661"/>
      <c r="BQ92" s="661"/>
      <c r="BR92" s="619">
        <v>5.8525724338319822</v>
      </c>
      <c r="BS92" s="661"/>
      <c r="BT92" s="661"/>
      <c r="BU92" s="661"/>
      <c r="BV92" s="486">
        <v>0.7465641277719095</v>
      </c>
      <c r="BW92" s="486">
        <v>0.54094661652636089</v>
      </c>
      <c r="BX92" s="486">
        <v>1.5189070534592801</v>
      </c>
    </row>
    <row r="93" spans="1:76" x14ac:dyDescent="0.2">
      <c r="A93" s="461">
        <v>5</v>
      </c>
      <c r="C93" s="461">
        <v>4</v>
      </c>
      <c r="D93" s="461">
        <v>6</v>
      </c>
      <c r="E93" s="461">
        <v>6</v>
      </c>
      <c r="F93" s="461">
        <v>4</v>
      </c>
      <c r="G93" s="461">
        <v>10</v>
      </c>
      <c r="H93" s="461">
        <v>10</v>
      </c>
      <c r="I93" s="461">
        <v>10</v>
      </c>
      <c r="J93" s="461">
        <v>10</v>
      </c>
      <c r="K93" s="461">
        <v>8</v>
      </c>
      <c r="L93" s="461">
        <v>12</v>
      </c>
      <c r="M93" s="461">
        <v>20</v>
      </c>
      <c r="N93" s="461">
        <v>0.5</v>
      </c>
      <c r="O93" s="461">
        <v>0.5</v>
      </c>
      <c r="P93" s="461">
        <v>0.5</v>
      </c>
      <c r="Q93" s="461">
        <v>-20</v>
      </c>
      <c r="R93" s="461">
        <v>0.4</v>
      </c>
      <c r="S93" s="461">
        <v>0.6</v>
      </c>
      <c r="T93" s="461">
        <v>0.6</v>
      </c>
      <c r="U93" s="461">
        <v>0.4</v>
      </c>
      <c r="V93" s="461">
        <v>0.4</v>
      </c>
      <c r="W93" s="461">
        <v>0.6</v>
      </c>
      <c r="X93" s="461">
        <v>0.6</v>
      </c>
      <c r="Y93" s="461">
        <v>0.4</v>
      </c>
      <c r="Z93" s="461">
        <v>0.4</v>
      </c>
      <c r="AA93" s="461">
        <v>0.4</v>
      </c>
      <c r="AB93" s="461">
        <v>-0.19999999999999996</v>
      </c>
      <c r="AC93" s="461">
        <v>0.4</v>
      </c>
      <c r="AD93" s="461">
        <v>0.6</v>
      </c>
      <c r="AE93" s="461">
        <v>0.40000000000000008</v>
      </c>
      <c r="AF93" s="488">
        <v>-0.2</v>
      </c>
      <c r="AG93" s="461">
        <v>-0.2</v>
      </c>
      <c r="AH93" s="488">
        <v>1</v>
      </c>
      <c r="AI93" s="488">
        <v>1</v>
      </c>
      <c r="AJ93" s="461">
        <v>1.9709505944546686</v>
      </c>
      <c r="AK93" s="461">
        <v>2.9049405545331364E-2</v>
      </c>
      <c r="AL93" s="461">
        <v>2.9049405545331364E-2</v>
      </c>
      <c r="AM93" s="461">
        <v>0</v>
      </c>
      <c r="AN93" s="461">
        <v>1</v>
      </c>
      <c r="AO93" s="461">
        <v>0</v>
      </c>
      <c r="AP93" s="461">
        <v>0.5</v>
      </c>
      <c r="AQ93" s="461">
        <v>1</v>
      </c>
      <c r="AR93" s="485" t="s">
        <v>349</v>
      </c>
      <c r="AS93" s="485" t="s">
        <v>349</v>
      </c>
      <c r="AT93" s="699" t="s">
        <v>520</v>
      </c>
      <c r="AU93" s="699" t="s">
        <v>521</v>
      </c>
      <c r="AV93" s="699" t="s">
        <v>522</v>
      </c>
      <c r="AW93" s="486">
        <v>3.334872387943745E-2</v>
      </c>
      <c r="AX93" s="486">
        <v>0.35803025028097779</v>
      </c>
      <c r="AY93" s="486">
        <v>0.59835629041648575</v>
      </c>
      <c r="AZ93" s="486">
        <v>0.37533688019688627</v>
      </c>
      <c r="BA93" s="486">
        <v>7.1606050056195558</v>
      </c>
      <c r="BB93" s="486">
        <v>1.3425746955078868</v>
      </c>
      <c r="BC93" s="486">
        <v>1.3605149510677157</v>
      </c>
      <c r="BD93" s="486">
        <v>1.4321210011239112</v>
      </c>
      <c r="BE93" s="486">
        <v>0.71606050056195558</v>
      </c>
      <c r="BF93" s="661"/>
      <c r="BG93" s="486">
        <v>0.50456299683187367</v>
      </c>
      <c r="BH93" s="486">
        <v>0.61232925406303118</v>
      </c>
      <c r="BI93" s="486">
        <v>0.99941628311385666</v>
      </c>
      <c r="BJ93" s="486">
        <v>0.31932018017410191</v>
      </c>
      <c r="BK93" s="486">
        <v>1.0091259936637473</v>
      </c>
      <c r="BL93" s="486">
        <v>1.2246585081260624</v>
      </c>
      <c r="BM93" s="486">
        <v>0.63864036034820382</v>
      </c>
      <c r="BN93" s="486">
        <v>20.182519873274945</v>
      </c>
      <c r="BO93" s="486">
        <v>28.642420022478223</v>
      </c>
      <c r="BP93" s="661"/>
      <c r="BQ93" s="661"/>
      <c r="BR93" s="619">
        <v>86.719036770379503</v>
      </c>
      <c r="BS93" s="661"/>
      <c r="BT93" s="661"/>
      <c r="BU93" s="661"/>
      <c r="BV93" s="486">
        <v>0.68605206756743253</v>
      </c>
      <c r="BW93" s="486">
        <v>0.76012187312985136</v>
      </c>
      <c r="BX93" s="486">
        <v>1.6586071470863619</v>
      </c>
    </row>
    <row r="94" spans="1:76" x14ac:dyDescent="0.2">
      <c r="A94" s="461">
        <v>6</v>
      </c>
      <c r="C94" s="461">
        <v>5</v>
      </c>
      <c r="D94" s="461">
        <v>7</v>
      </c>
      <c r="E94" s="461">
        <v>5</v>
      </c>
      <c r="F94" s="461">
        <v>3</v>
      </c>
      <c r="G94" s="461">
        <v>10</v>
      </c>
      <c r="H94" s="461">
        <v>10</v>
      </c>
      <c r="I94" s="461">
        <v>12</v>
      </c>
      <c r="J94" s="461">
        <v>8</v>
      </c>
      <c r="K94" s="461">
        <v>8</v>
      </c>
      <c r="L94" s="461">
        <v>12</v>
      </c>
      <c r="M94" s="461">
        <v>20</v>
      </c>
      <c r="N94" s="461">
        <v>0.5</v>
      </c>
      <c r="O94" s="461">
        <v>0.5</v>
      </c>
      <c r="P94" s="461">
        <v>0.6</v>
      </c>
      <c r="Q94" s="461">
        <v>-20</v>
      </c>
      <c r="R94" s="461">
        <v>0.5</v>
      </c>
      <c r="S94" s="461">
        <v>0.7</v>
      </c>
      <c r="T94" s="461">
        <v>0.5</v>
      </c>
      <c r="U94" s="461">
        <v>0.3</v>
      </c>
      <c r="V94" s="461">
        <v>0.41666666666666669</v>
      </c>
      <c r="W94" s="461">
        <v>0.58333333333333337</v>
      </c>
      <c r="X94" s="461">
        <v>0.625</v>
      </c>
      <c r="Y94" s="461">
        <v>0.375</v>
      </c>
      <c r="Z94" s="461">
        <v>0.4</v>
      </c>
      <c r="AA94" s="461">
        <v>0.3872983346207417</v>
      </c>
      <c r="AB94" s="461">
        <v>-0.19999999999999996</v>
      </c>
      <c r="AC94" s="461">
        <v>0.4</v>
      </c>
      <c r="AD94" s="461">
        <v>0.6</v>
      </c>
      <c r="AE94" s="461">
        <v>0.45454545454545453</v>
      </c>
      <c r="AF94" s="488">
        <v>-0.2</v>
      </c>
      <c r="AG94" s="461">
        <v>-0.20412414523193151</v>
      </c>
      <c r="AH94" s="488">
        <v>1</v>
      </c>
      <c r="AI94" s="488">
        <v>0.97095059445466858</v>
      </c>
      <c r="AJ94" s="461">
        <v>1.9406454496153465</v>
      </c>
      <c r="AK94" s="461">
        <v>3.0305144839322347E-2</v>
      </c>
      <c r="AL94" s="461">
        <v>3.0751805676496227E-2</v>
      </c>
      <c r="AM94" s="461">
        <v>0</v>
      </c>
      <c r="AN94" s="461">
        <v>1</v>
      </c>
      <c r="AO94" s="461">
        <v>0</v>
      </c>
      <c r="AP94" s="461">
        <v>0.5</v>
      </c>
      <c r="AQ94" s="461">
        <v>1</v>
      </c>
      <c r="AR94" s="485" t="s">
        <v>349</v>
      </c>
      <c r="AS94" s="485" t="s">
        <v>349</v>
      </c>
      <c r="AT94" s="699" t="s">
        <v>523</v>
      </c>
      <c r="AU94" s="699" t="s">
        <v>524</v>
      </c>
      <c r="AV94" s="699" t="s">
        <v>525</v>
      </c>
      <c r="AW94" s="486">
        <v>5.6354920947597684E-2</v>
      </c>
      <c r="AX94" s="486">
        <v>0.35826348274782538</v>
      </c>
      <c r="AY94" s="486">
        <v>0.59855115299181016</v>
      </c>
      <c r="AZ94" s="486">
        <v>0.34428587582294135</v>
      </c>
      <c r="BA94" s="486">
        <v>7.165269654956508</v>
      </c>
      <c r="BB94" s="486">
        <v>1.287895439614777</v>
      </c>
      <c r="BC94" s="486">
        <v>1.3614012344417366</v>
      </c>
      <c r="BD94" s="486">
        <v>1.4330539309913015</v>
      </c>
      <c r="BE94" s="486">
        <v>0.71652696549565076</v>
      </c>
      <c r="BF94" s="661"/>
      <c r="BG94" s="486">
        <v>0.53818776618102171</v>
      </c>
      <c r="BH94" s="486">
        <v>0.58669702987421712</v>
      </c>
      <c r="BI94" s="486">
        <v>0.94247906519195057</v>
      </c>
      <c r="BJ94" s="486">
        <v>0.45120508711676743</v>
      </c>
      <c r="BK94" s="486">
        <v>1.0763755323620434</v>
      </c>
      <c r="BL94" s="486">
        <v>1.1733940597484342</v>
      </c>
      <c r="BM94" s="486">
        <v>0.90241017423353487</v>
      </c>
      <c r="BN94" s="486">
        <v>21.52751064724087</v>
      </c>
      <c r="BO94" s="486">
        <v>28.661078619826032</v>
      </c>
      <c r="BP94" s="661"/>
      <c r="BQ94" s="661"/>
      <c r="BR94" s="619">
        <v>1.8502296840405701</v>
      </c>
      <c r="BS94" s="661"/>
      <c r="BT94" s="661"/>
      <c r="BU94" s="661"/>
      <c r="BV94" s="486">
        <v>0.6811018469706458</v>
      </c>
      <c r="BW94" s="486">
        <v>0.32166652559030451</v>
      </c>
      <c r="BX94" s="486">
        <v>1.1240842338377486</v>
      </c>
    </row>
    <row r="95" spans="1:76" x14ac:dyDescent="0.2">
      <c r="A95" s="461">
        <v>7</v>
      </c>
      <c r="C95" s="461">
        <v>4</v>
      </c>
      <c r="D95" s="461">
        <v>5</v>
      </c>
      <c r="E95" s="461">
        <v>5</v>
      </c>
      <c r="F95" s="461">
        <v>6</v>
      </c>
      <c r="G95" s="461">
        <v>9</v>
      </c>
      <c r="H95" s="461">
        <v>11</v>
      </c>
      <c r="I95" s="461">
        <v>9</v>
      </c>
      <c r="J95" s="461">
        <v>11</v>
      </c>
      <c r="K95" s="461">
        <v>10</v>
      </c>
      <c r="L95" s="461">
        <v>10</v>
      </c>
      <c r="M95" s="461">
        <v>20</v>
      </c>
      <c r="N95" s="461">
        <v>0.45</v>
      </c>
      <c r="O95" s="461">
        <v>0.55000000000000004</v>
      </c>
      <c r="P95" s="461">
        <v>0.45</v>
      </c>
      <c r="Q95" s="461">
        <v>-1</v>
      </c>
      <c r="R95" s="461">
        <v>0.44444444444444442</v>
      </c>
      <c r="S95" s="461">
        <v>0.45454545454545453</v>
      </c>
      <c r="T95" s="461">
        <v>0.55555555555555558</v>
      </c>
      <c r="U95" s="461">
        <v>0.54545454545454541</v>
      </c>
      <c r="V95" s="461">
        <v>0.44444444444444442</v>
      </c>
      <c r="W95" s="461">
        <v>0.55555555555555558</v>
      </c>
      <c r="X95" s="461">
        <v>0.45454545454545453</v>
      </c>
      <c r="Y95" s="461">
        <v>0.54545454545454541</v>
      </c>
      <c r="Z95" s="461">
        <v>0.49494949494949492</v>
      </c>
      <c r="AA95" s="461">
        <v>0.4923659639173309</v>
      </c>
      <c r="AB95" s="461">
        <v>-1.0101010101010166E-2</v>
      </c>
      <c r="AC95" s="461">
        <v>0.5</v>
      </c>
      <c r="AD95" s="461">
        <v>0.5</v>
      </c>
      <c r="AE95" s="461">
        <v>0.44444444444444442</v>
      </c>
      <c r="AF95" s="488">
        <v>-1.0101010101010102E-2</v>
      </c>
      <c r="AG95" s="461">
        <v>-1.0101010101010102E-2</v>
      </c>
      <c r="AH95" s="488">
        <v>0.99277445398780839</v>
      </c>
      <c r="AI95" s="488">
        <v>0.99277445398780839</v>
      </c>
      <c r="AJ95" s="461">
        <v>1.9854752972273344</v>
      </c>
      <c r="AK95" s="461">
        <v>7.3610748282055237E-5</v>
      </c>
      <c r="AL95" s="461">
        <v>7.414649720928376E-5</v>
      </c>
      <c r="AM95" s="461">
        <v>0</v>
      </c>
      <c r="AN95" s="461">
        <v>1</v>
      </c>
      <c r="AO95" s="461">
        <v>0</v>
      </c>
      <c r="AP95" s="461">
        <v>0.5</v>
      </c>
      <c r="AQ95" s="461">
        <v>1</v>
      </c>
      <c r="AR95" s="485" t="s">
        <v>349</v>
      </c>
      <c r="AS95" s="485" t="s">
        <v>349</v>
      </c>
      <c r="AT95" s="699" t="s">
        <v>517</v>
      </c>
      <c r="AU95" s="699" t="s">
        <v>518</v>
      </c>
      <c r="AV95" s="699" t="s">
        <v>519</v>
      </c>
      <c r="AW95" s="486">
        <v>5.0327739865520471E-2</v>
      </c>
      <c r="AX95" s="486">
        <v>0.31735664221393367</v>
      </c>
      <c r="AY95" s="486">
        <v>0.56334415965192508</v>
      </c>
      <c r="AZ95" s="486">
        <v>0.28663293460130379</v>
      </c>
      <c r="BA95" s="486">
        <v>6.3471328442786739</v>
      </c>
      <c r="BB95" s="486">
        <v>1.4095500339181393</v>
      </c>
      <c r="BC95" s="486">
        <v>1.218136606477725</v>
      </c>
      <c r="BD95" s="486">
        <v>1.2822490594502367</v>
      </c>
      <c r="BE95" s="486">
        <v>0.70523698269763035</v>
      </c>
      <c r="BF95" s="661"/>
      <c r="BG95" s="486">
        <v>0.47979848137905617</v>
      </c>
      <c r="BH95" s="486">
        <v>0.53388916748217452</v>
      </c>
      <c r="BI95" s="486">
        <v>0.96576277908557429</v>
      </c>
      <c r="BJ95" s="486">
        <v>0.27490817633620457</v>
      </c>
      <c r="BK95" s="486">
        <v>0.97945708154668287</v>
      </c>
      <c r="BL95" s="486">
        <v>1.0395261855259927</v>
      </c>
      <c r="BM95" s="486">
        <v>0.55815852718793069</v>
      </c>
      <c r="BN95" s="486">
        <v>19.589141630933657</v>
      </c>
      <c r="BO95" s="486">
        <v>27.236898704855516</v>
      </c>
      <c r="BP95" s="661"/>
      <c r="BQ95" s="661"/>
      <c r="BR95" s="619">
        <v>1.1884571809363909</v>
      </c>
      <c r="BS95" s="661"/>
      <c r="BT95" s="661"/>
      <c r="BU95" s="661"/>
      <c r="BV95" s="486">
        <v>0.70381605263249558</v>
      </c>
      <c r="BW95" s="486">
        <v>0.58459670412999254</v>
      </c>
      <c r="BX95" s="486">
        <v>1.595859028125957</v>
      </c>
    </row>
    <row r="96" spans="1:76" x14ac:dyDescent="0.2">
      <c r="A96" s="461">
        <v>8</v>
      </c>
      <c r="C96" s="461">
        <v>5</v>
      </c>
      <c r="D96" s="461">
        <v>4</v>
      </c>
      <c r="E96" s="461">
        <v>3</v>
      </c>
      <c r="F96" s="461">
        <v>8</v>
      </c>
      <c r="G96" s="461">
        <v>8</v>
      </c>
      <c r="H96" s="461">
        <v>12</v>
      </c>
      <c r="I96" s="461">
        <v>9</v>
      </c>
      <c r="J96" s="461">
        <v>11</v>
      </c>
      <c r="K96" s="461">
        <v>13</v>
      </c>
      <c r="L96" s="461">
        <v>7</v>
      </c>
      <c r="M96" s="461">
        <v>20</v>
      </c>
      <c r="N96" s="461">
        <v>0.4</v>
      </c>
      <c r="O96" s="461">
        <v>0.6</v>
      </c>
      <c r="P96" s="461">
        <v>0.45</v>
      </c>
      <c r="Q96" s="461">
        <v>28</v>
      </c>
      <c r="R96" s="461">
        <v>0.625</v>
      </c>
      <c r="S96" s="461">
        <v>0.33333333333333331</v>
      </c>
      <c r="T96" s="461">
        <v>0.375</v>
      </c>
      <c r="U96" s="461">
        <v>0.66666666666666663</v>
      </c>
      <c r="V96" s="461">
        <v>0.55555555555555558</v>
      </c>
      <c r="W96" s="461">
        <v>0.44444444444444442</v>
      </c>
      <c r="X96" s="461">
        <v>0.27272727272727271</v>
      </c>
      <c r="Y96" s="461">
        <v>0.72727272727272729</v>
      </c>
      <c r="Z96" s="461">
        <v>0.64583333333333326</v>
      </c>
      <c r="AA96" s="461">
        <v>0.6454972243679028</v>
      </c>
      <c r="AB96" s="461">
        <v>0.29166666666666652</v>
      </c>
      <c r="AC96" s="461">
        <v>0.65</v>
      </c>
      <c r="AD96" s="461">
        <v>0.35</v>
      </c>
      <c r="AE96" s="461">
        <v>0.58823529411764708</v>
      </c>
      <c r="AF96" s="488">
        <v>0.2857142857142857</v>
      </c>
      <c r="AG96" s="461">
        <v>0.28721347895177635</v>
      </c>
      <c r="AH96" s="488">
        <v>0.97095059445466858</v>
      </c>
      <c r="AI96" s="488">
        <v>0.99277445398780839</v>
      </c>
      <c r="AJ96" s="461">
        <v>1.9037016960573481</v>
      </c>
      <c r="AK96" s="461">
        <v>6.0023352385128487E-2</v>
      </c>
      <c r="AL96" s="461">
        <v>6.1132135003050293E-2</v>
      </c>
      <c r="AM96" s="461">
        <v>0</v>
      </c>
      <c r="AN96" s="461">
        <v>1</v>
      </c>
      <c r="AO96" s="461">
        <v>0</v>
      </c>
      <c r="AP96" s="461">
        <v>0.5</v>
      </c>
      <c r="AQ96" s="461">
        <v>1</v>
      </c>
      <c r="AR96" s="485" t="s">
        <v>349</v>
      </c>
      <c r="AS96" s="485" t="s">
        <v>349</v>
      </c>
      <c r="AT96" s="699" t="s">
        <v>526</v>
      </c>
      <c r="AU96" s="699" t="s">
        <v>527</v>
      </c>
      <c r="AV96" s="699" t="s">
        <v>528</v>
      </c>
      <c r="AW96" s="486">
        <v>2.4344089976908338E-2</v>
      </c>
      <c r="AX96" s="486">
        <v>0.23020934436147708</v>
      </c>
      <c r="AY96" s="486">
        <v>0.47980135927431167</v>
      </c>
      <c r="AZ96" s="486">
        <v>0.11427340683376616</v>
      </c>
      <c r="BA96" s="486">
        <v>4.6041868872295417</v>
      </c>
      <c r="BB96" s="486">
        <v>1.3562657628506412</v>
      </c>
      <c r="BC96" s="486">
        <v>0.9112453214308468</v>
      </c>
      <c r="BD96" s="486">
        <v>0.9592056015061543</v>
      </c>
      <c r="BE96" s="486">
        <v>0.57552336090369272</v>
      </c>
      <c r="BF96" s="661"/>
      <c r="BG96" s="486">
        <v>0.39711248366764834</v>
      </c>
      <c r="BH96" s="486">
        <v>0.33768756704775088</v>
      </c>
      <c r="BI96" s="486">
        <v>0.96698384623839118</v>
      </c>
      <c r="BJ96" s="486">
        <v>0.26263832691163708</v>
      </c>
      <c r="BK96" s="486">
        <v>0.83746104513131248</v>
      </c>
      <c r="BL96" s="486">
        <v>0.73580978126661467</v>
      </c>
      <c r="BM96" s="486">
        <v>0.5582922615774466</v>
      </c>
      <c r="BN96" s="486">
        <v>16.749220902626249</v>
      </c>
      <c r="BO96" s="486">
        <v>20.257673247167467</v>
      </c>
      <c r="BP96" s="661"/>
      <c r="BQ96" s="661"/>
      <c r="BR96" s="619">
        <v>2.7093938795368215</v>
      </c>
      <c r="BS96" s="661"/>
      <c r="BT96" s="661"/>
      <c r="BU96" s="661"/>
      <c r="BV96" s="486">
        <v>0.74567208014763053</v>
      </c>
      <c r="BW96" s="486">
        <v>0.57866485904072718</v>
      </c>
      <c r="BX96" s="486">
        <v>1.9364680179725084</v>
      </c>
    </row>
    <row r="97" spans="1:76" x14ac:dyDescent="0.2">
      <c r="A97" s="461">
        <v>9</v>
      </c>
      <c r="C97" s="461">
        <v>5</v>
      </c>
      <c r="D97" s="461">
        <v>3</v>
      </c>
      <c r="E97" s="461">
        <v>8</v>
      </c>
      <c r="F97" s="461">
        <v>4</v>
      </c>
      <c r="G97" s="461">
        <v>13</v>
      </c>
      <c r="H97" s="461">
        <v>7</v>
      </c>
      <c r="I97" s="461">
        <v>8</v>
      </c>
      <c r="J97" s="461">
        <v>12</v>
      </c>
      <c r="K97" s="461">
        <v>9</v>
      </c>
      <c r="L97" s="461">
        <v>11</v>
      </c>
      <c r="M97" s="461">
        <v>20</v>
      </c>
      <c r="N97" s="461">
        <v>0.65</v>
      </c>
      <c r="O97" s="461">
        <v>0.35</v>
      </c>
      <c r="P97" s="461">
        <v>0.4</v>
      </c>
      <c r="Q97" s="461">
        <v>-4</v>
      </c>
      <c r="R97" s="461">
        <v>0.38461538461538464</v>
      </c>
      <c r="S97" s="461">
        <v>0.42857142857142855</v>
      </c>
      <c r="T97" s="461">
        <v>0.61538461538461542</v>
      </c>
      <c r="U97" s="461">
        <v>0.5714285714285714</v>
      </c>
      <c r="V97" s="461">
        <v>0.625</v>
      </c>
      <c r="W97" s="461">
        <v>0.375</v>
      </c>
      <c r="X97" s="461">
        <v>0.66666666666666663</v>
      </c>
      <c r="Y97" s="461">
        <v>0.33333333333333331</v>
      </c>
      <c r="Z97" s="461">
        <v>0.47802197802197799</v>
      </c>
      <c r="AA97" s="461">
        <v>0.46880723093849541</v>
      </c>
      <c r="AB97" s="461">
        <v>-4.3956043956044022E-2</v>
      </c>
      <c r="AC97" s="461">
        <v>0.45</v>
      </c>
      <c r="AD97" s="461">
        <v>0.55000000000000004</v>
      </c>
      <c r="AE97" s="461">
        <v>0.47619047619047622</v>
      </c>
      <c r="AF97" s="488">
        <v>-3.7735849056603772E-2</v>
      </c>
      <c r="AG97" s="461">
        <v>-4.2796049251091289E-2</v>
      </c>
      <c r="AH97" s="488">
        <v>0.93406805537549098</v>
      </c>
      <c r="AI97" s="488">
        <v>0.97095059445466858</v>
      </c>
      <c r="AJ97" s="461">
        <v>1.9037016960573481</v>
      </c>
      <c r="AK97" s="461">
        <v>1.3169537728113592E-3</v>
      </c>
      <c r="AL97" s="461">
        <v>1.382615097157995E-3</v>
      </c>
      <c r="AM97" s="461">
        <v>0</v>
      </c>
      <c r="AN97" s="461">
        <v>1</v>
      </c>
      <c r="AO97" s="461">
        <v>0</v>
      </c>
      <c r="AP97" s="461">
        <v>0.5</v>
      </c>
      <c r="AQ97" s="461">
        <v>1</v>
      </c>
      <c r="AR97" s="485" t="s">
        <v>349</v>
      </c>
      <c r="AS97" s="485" t="s">
        <v>349</v>
      </c>
      <c r="AT97" s="699" t="s">
        <v>529</v>
      </c>
      <c r="AU97" s="699" t="s">
        <v>515</v>
      </c>
      <c r="AV97" s="699" t="s">
        <v>530</v>
      </c>
      <c r="AW97" s="486">
        <v>-0.1617348594153801</v>
      </c>
      <c r="AX97" s="486">
        <v>0.39694365498658518</v>
      </c>
      <c r="AY97" s="486">
        <v>0.63003464586210267</v>
      </c>
      <c r="AZ97" s="486">
        <v>0.33449965463239234</v>
      </c>
      <c r="BA97" s="486">
        <v>7.9388730997317039</v>
      </c>
      <c r="BB97" s="486">
        <v>1.2507191183093935</v>
      </c>
      <c r="BC97" s="486">
        <v>1.6575669109329927</v>
      </c>
      <c r="BD97" s="486">
        <v>1.7448072746663088</v>
      </c>
      <c r="BE97" s="486">
        <v>0.61068254613320794</v>
      </c>
      <c r="BF97" s="661"/>
      <c r="BG97" s="486">
        <v>0.56605013839464213</v>
      </c>
      <c r="BH97" s="486">
        <v>0.57810817895972866</v>
      </c>
      <c r="BI97" s="486">
        <v>0.99973484333398965</v>
      </c>
      <c r="BJ97" s="486">
        <v>0.46127106314918503</v>
      </c>
      <c r="BK97" s="486">
        <v>1.3507046070752882</v>
      </c>
      <c r="BL97" s="486">
        <v>1.3242081045613205</v>
      </c>
      <c r="BM97" s="486">
        <v>1.0611879437425029</v>
      </c>
      <c r="BN97" s="486">
        <v>27.014092141505763</v>
      </c>
      <c r="BO97" s="486">
        <v>49.548984312709365</v>
      </c>
      <c r="BP97" s="661"/>
      <c r="BQ97" s="661"/>
      <c r="BR97" s="619">
        <v>190.48180266399669</v>
      </c>
      <c r="BS97" s="661"/>
      <c r="BT97" s="661"/>
      <c r="BU97" s="661"/>
      <c r="BV97" s="486">
        <v>0.64420463010340467</v>
      </c>
      <c r="BW97" s="486">
        <v>1</v>
      </c>
      <c r="BX97" s="486">
        <v>1.7527811615891022</v>
      </c>
    </row>
    <row r="98" spans="1:76" x14ac:dyDescent="0.2">
      <c r="A98" s="461">
        <v>10</v>
      </c>
      <c r="C98" s="461">
        <v>6</v>
      </c>
      <c r="D98" s="461">
        <v>5</v>
      </c>
      <c r="E98" s="461">
        <v>4</v>
      </c>
      <c r="F98" s="461">
        <v>5</v>
      </c>
      <c r="G98" s="461">
        <v>10</v>
      </c>
      <c r="H98" s="461">
        <v>10</v>
      </c>
      <c r="I98" s="461">
        <v>11</v>
      </c>
      <c r="J98" s="461">
        <v>9</v>
      </c>
      <c r="K98" s="461">
        <v>11</v>
      </c>
      <c r="L98" s="461">
        <v>9</v>
      </c>
      <c r="M98" s="461">
        <v>20</v>
      </c>
      <c r="N98" s="461">
        <v>0.5</v>
      </c>
      <c r="O98" s="461">
        <v>0.5</v>
      </c>
      <c r="P98" s="461">
        <v>0.55000000000000004</v>
      </c>
      <c r="Q98" s="461">
        <v>10</v>
      </c>
      <c r="R98" s="461">
        <v>0.6</v>
      </c>
      <c r="S98" s="461">
        <v>0.5</v>
      </c>
      <c r="T98" s="461">
        <v>0.4</v>
      </c>
      <c r="U98" s="461">
        <v>0.5</v>
      </c>
      <c r="V98" s="461">
        <v>0.54545454545454541</v>
      </c>
      <c r="W98" s="461">
        <v>0.45454545454545453</v>
      </c>
      <c r="X98" s="461">
        <v>0.44444444444444442</v>
      </c>
      <c r="Y98" s="461">
        <v>0.55555555555555558</v>
      </c>
      <c r="Z98" s="461">
        <v>0.55000000000000004</v>
      </c>
      <c r="AA98" s="461">
        <v>0.54772255750516607</v>
      </c>
      <c r="AB98" s="461">
        <v>0.10000000000000009</v>
      </c>
      <c r="AC98" s="461">
        <v>0.55000000000000004</v>
      </c>
      <c r="AD98" s="461">
        <v>0.45</v>
      </c>
      <c r="AE98" s="461">
        <v>0.57142857142857129</v>
      </c>
      <c r="AF98" s="488">
        <v>0.1</v>
      </c>
      <c r="AG98" s="461">
        <v>0.10050378152592121</v>
      </c>
      <c r="AH98" s="488">
        <v>1</v>
      </c>
      <c r="AI98" s="488">
        <v>0.99277445398780839</v>
      </c>
      <c r="AJ98" s="461">
        <v>1.9854752972273344</v>
      </c>
      <c r="AK98" s="461">
        <v>7.2991567604739974E-3</v>
      </c>
      <c r="AL98" s="461">
        <v>7.3256225719548016E-3</v>
      </c>
      <c r="AM98" s="461">
        <v>0</v>
      </c>
      <c r="AN98" s="461">
        <v>1</v>
      </c>
      <c r="AO98" s="461">
        <v>0</v>
      </c>
      <c r="AP98" s="461">
        <v>0.5</v>
      </c>
      <c r="AQ98" s="461">
        <v>1</v>
      </c>
      <c r="AR98" s="485" t="s">
        <v>349</v>
      </c>
      <c r="AS98" s="485" t="s">
        <v>349</v>
      </c>
      <c r="AT98" s="699" t="s">
        <v>523</v>
      </c>
      <c r="AU98" s="699" t="s">
        <v>509</v>
      </c>
      <c r="AV98" s="699" t="s">
        <v>531</v>
      </c>
      <c r="AW98" s="486">
        <v>6.0679309284739337E-2</v>
      </c>
      <c r="AX98" s="486">
        <v>0.31545642432311605</v>
      </c>
      <c r="AY98" s="486">
        <v>0.56165507593461317</v>
      </c>
      <c r="AZ98" s="486">
        <v>0.18424497644965279</v>
      </c>
      <c r="BA98" s="486">
        <v>6.3091284864623205</v>
      </c>
      <c r="BB98" s="486">
        <v>1.1252650814796252</v>
      </c>
      <c r="BC98" s="486">
        <v>1.198734412427841</v>
      </c>
      <c r="BD98" s="486">
        <v>1.2618256972924642</v>
      </c>
      <c r="BE98" s="486">
        <v>0.63091284864623209</v>
      </c>
      <c r="BF98" s="661"/>
      <c r="BG98" s="486">
        <v>0.47506221393018649</v>
      </c>
      <c r="BH98" s="486">
        <v>0.4262720984743964</v>
      </c>
      <c r="BI98" s="486">
        <v>0.96544318988263544</v>
      </c>
      <c r="BJ98" s="486">
        <v>0.30543284436575752</v>
      </c>
      <c r="BK98" s="486">
        <v>0.95012442786037299</v>
      </c>
      <c r="BL98" s="486">
        <v>0.8525441969487928</v>
      </c>
      <c r="BM98" s="486">
        <v>0.61086568873151503</v>
      </c>
      <c r="BN98" s="486">
        <v>19.00248855720746</v>
      </c>
      <c r="BO98" s="486">
        <v>25.236513945849282</v>
      </c>
      <c r="BP98" s="661"/>
      <c r="BQ98" s="661"/>
      <c r="BR98" s="619">
        <v>1.6433637934672096</v>
      </c>
      <c r="BS98" s="661"/>
      <c r="BT98" s="661"/>
      <c r="BU98" s="661"/>
      <c r="BV98" s="486">
        <v>0.65686775845801892</v>
      </c>
      <c r="BW98" s="486">
        <v>1</v>
      </c>
      <c r="BX98" s="486">
        <v>1.1496776014945964</v>
      </c>
    </row>
    <row r="99" spans="1:76" x14ac:dyDescent="0.2">
      <c r="A99" s="461">
        <v>11</v>
      </c>
      <c r="C99" s="461">
        <v>4</v>
      </c>
      <c r="D99" s="461">
        <v>4</v>
      </c>
      <c r="E99" s="461">
        <v>5</v>
      </c>
      <c r="F99" s="461">
        <v>7</v>
      </c>
      <c r="G99" s="461">
        <v>9</v>
      </c>
      <c r="H99" s="461">
        <v>11</v>
      </c>
      <c r="I99" s="461">
        <v>8</v>
      </c>
      <c r="J99" s="461">
        <v>12</v>
      </c>
      <c r="K99" s="461">
        <v>11</v>
      </c>
      <c r="L99" s="461">
        <v>9</v>
      </c>
      <c r="M99" s="461">
        <v>20</v>
      </c>
      <c r="N99" s="461">
        <v>0.45</v>
      </c>
      <c r="O99" s="461">
        <v>0.55000000000000004</v>
      </c>
      <c r="P99" s="461">
        <v>0.4</v>
      </c>
      <c r="Q99" s="461">
        <v>8</v>
      </c>
      <c r="R99" s="461">
        <v>0.44444444444444442</v>
      </c>
      <c r="S99" s="461">
        <v>0.36363636363636365</v>
      </c>
      <c r="T99" s="461">
        <v>0.55555555555555558</v>
      </c>
      <c r="U99" s="461">
        <v>0.63636363636363635</v>
      </c>
      <c r="V99" s="461">
        <v>0.5</v>
      </c>
      <c r="W99" s="461">
        <v>0.5</v>
      </c>
      <c r="X99" s="461">
        <v>0.41666666666666669</v>
      </c>
      <c r="Y99" s="461">
        <v>0.58333333333333337</v>
      </c>
      <c r="Z99" s="461">
        <v>0.54040404040404044</v>
      </c>
      <c r="AA99" s="461">
        <v>0.53181602347831047</v>
      </c>
      <c r="AB99" s="461">
        <v>8.0808080808080884E-2</v>
      </c>
      <c r="AC99" s="461">
        <v>0.55000000000000004</v>
      </c>
      <c r="AD99" s="461">
        <v>0.45</v>
      </c>
      <c r="AE99" s="461">
        <v>0.47058823529411764</v>
      </c>
      <c r="AF99" s="488">
        <v>8.1632653061224483E-2</v>
      </c>
      <c r="AG99" s="461">
        <v>8.2060993986221811E-2</v>
      </c>
      <c r="AH99" s="488">
        <v>0.99277445398780839</v>
      </c>
      <c r="AI99" s="488">
        <v>0.97095059445466858</v>
      </c>
      <c r="AJ99" s="461">
        <v>1.9588718484453604</v>
      </c>
      <c r="AK99" s="461">
        <v>4.8531999971164856E-3</v>
      </c>
      <c r="AL99" s="461">
        <v>4.9428508344035111E-3</v>
      </c>
      <c r="AM99" s="461">
        <v>0</v>
      </c>
      <c r="AN99" s="461">
        <v>1</v>
      </c>
      <c r="AO99" s="461">
        <v>0</v>
      </c>
      <c r="AP99" s="461">
        <v>0.5</v>
      </c>
      <c r="AQ99" s="461">
        <v>1</v>
      </c>
      <c r="AR99" s="485" t="s">
        <v>349</v>
      </c>
      <c r="AS99" s="485" t="s">
        <v>349</v>
      </c>
      <c r="AT99" s="699" t="s">
        <v>532</v>
      </c>
      <c r="AU99" s="699" t="s">
        <v>515</v>
      </c>
      <c r="AV99" s="699" t="s">
        <v>533</v>
      </c>
      <c r="AW99" s="486">
        <v>3.4299894741420998E-2</v>
      </c>
      <c r="AX99" s="486">
        <v>0.30593251470217403</v>
      </c>
      <c r="AY99" s="486">
        <v>0.55311166567174663</v>
      </c>
      <c r="AZ99" s="486">
        <v>0.20806222872905017</v>
      </c>
      <c r="BA99" s="486">
        <v>6.1186502940434808</v>
      </c>
      <c r="BB99" s="486">
        <v>1.4037790221583375</v>
      </c>
      <c r="BC99" s="486">
        <v>1.1742864200689507</v>
      </c>
      <c r="BD99" s="486">
        <v>1.2360909684936325</v>
      </c>
      <c r="BE99" s="486">
        <v>0.67985003267149779</v>
      </c>
      <c r="BF99" s="661"/>
      <c r="BG99" s="486">
        <v>0.46952682611332275</v>
      </c>
      <c r="BH99" s="486">
        <v>0.4558951107881769</v>
      </c>
      <c r="BI99" s="486">
        <v>0.91424713939557123</v>
      </c>
      <c r="BJ99" s="486">
        <v>0.3136691470759268</v>
      </c>
      <c r="BK99" s="486">
        <v>0.95546831431811063</v>
      </c>
      <c r="BL99" s="486">
        <v>1.0131002461959486</v>
      </c>
      <c r="BM99" s="486">
        <v>0.63685668243668248</v>
      </c>
      <c r="BN99" s="486">
        <v>19.109366286362214</v>
      </c>
      <c r="BO99" s="486">
        <v>25.483365216263564</v>
      </c>
      <c r="BP99" s="661"/>
      <c r="BQ99" s="661"/>
      <c r="BR99" s="619">
        <v>1.3312333664780132</v>
      </c>
      <c r="BS99" s="661"/>
      <c r="BT99" s="661"/>
      <c r="BU99" s="661"/>
      <c r="BV99" s="486">
        <v>0.71552474514742681</v>
      </c>
      <c r="BW99" s="486">
        <v>0.89924739513217011</v>
      </c>
      <c r="BX99" s="486">
        <v>1.4347581835623773</v>
      </c>
    </row>
    <row r="100" spans="1:76" x14ac:dyDescent="0.2">
      <c r="A100" s="461">
        <v>12</v>
      </c>
      <c r="C100" s="461">
        <v>9</v>
      </c>
      <c r="D100" s="461">
        <v>4</v>
      </c>
      <c r="E100" s="461">
        <v>6</v>
      </c>
      <c r="F100" s="461">
        <v>1</v>
      </c>
      <c r="G100" s="461">
        <v>15</v>
      </c>
      <c r="H100" s="461">
        <v>5</v>
      </c>
      <c r="I100" s="461">
        <v>13</v>
      </c>
      <c r="J100" s="461">
        <v>7</v>
      </c>
      <c r="K100" s="461">
        <v>10</v>
      </c>
      <c r="L100" s="461">
        <v>10</v>
      </c>
      <c r="M100" s="461">
        <v>20</v>
      </c>
      <c r="N100" s="461">
        <v>0.75</v>
      </c>
      <c r="O100" s="461">
        <v>0.25</v>
      </c>
      <c r="P100" s="461">
        <v>0.65</v>
      </c>
      <c r="Q100" s="461">
        <v>-15</v>
      </c>
      <c r="R100" s="461">
        <v>0.6</v>
      </c>
      <c r="S100" s="461">
        <v>0.8</v>
      </c>
      <c r="T100" s="461">
        <v>0.4</v>
      </c>
      <c r="U100" s="461">
        <v>0.2</v>
      </c>
      <c r="V100" s="461">
        <v>0.69230769230769229</v>
      </c>
      <c r="W100" s="461">
        <v>0.30769230769230771</v>
      </c>
      <c r="X100" s="461">
        <v>0.8571428571428571</v>
      </c>
      <c r="Y100" s="461">
        <v>0.14285714285714285</v>
      </c>
      <c r="Z100" s="461">
        <v>0.4</v>
      </c>
      <c r="AA100" s="461">
        <v>0.34641016151377546</v>
      </c>
      <c r="AB100" s="461">
        <v>-0.19999999999999996</v>
      </c>
      <c r="AC100" s="461">
        <v>0.5</v>
      </c>
      <c r="AD100" s="461">
        <v>0.5</v>
      </c>
      <c r="AE100" s="461">
        <v>0.6428571428571429</v>
      </c>
      <c r="AF100" s="488">
        <v>-0.17647058823529413</v>
      </c>
      <c r="AG100" s="461">
        <v>-0.18156825980064073</v>
      </c>
      <c r="AH100" s="488">
        <v>0.81127812445913283</v>
      </c>
      <c r="AI100" s="488">
        <v>0.93406805537549098</v>
      </c>
      <c r="AJ100" s="461">
        <v>1.7199730940219751</v>
      </c>
      <c r="AK100" s="461">
        <v>2.5373085812648979E-2</v>
      </c>
      <c r="AL100" s="461">
        <v>2.9075132607851065E-2</v>
      </c>
      <c r="AM100" s="461">
        <v>0</v>
      </c>
      <c r="AN100" s="461">
        <v>1</v>
      </c>
      <c r="AO100" s="461">
        <v>0</v>
      </c>
      <c r="AP100" s="461">
        <v>0.5</v>
      </c>
      <c r="AQ100" s="461">
        <v>1</v>
      </c>
      <c r="AR100" s="485" t="s">
        <v>349</v>
      </c>
      <c r="AS100" s="485" t="s">
        <v>349</v>
      </c>
      <c r="AT100" s="699" t="s">
        <v>511</v>
      </c>
      <c r="AU100" s="699" t="s">
        <v>534</v>
      </c>
      <c r="AV100" s="699" t="s">
        <v>535</v>
      </c>
      <c r="AW100" s="486">
        <v>-0.19699221363711739</v>
      </c>
      <c r="AX100" s="486">
        <v>0.42500072012197665</v>
      </c>
      <c r="AY100" s="486">
        <v>0.65192079282837467</v>
      </c>
      <c r="AZ100" s="486">
        <v>0.25428165727681562</v>
      </c>
      <c r="BA100" s="486">
        <v>8.5000144024395325</v>
      </c>
      <c r="BB100" s="486">
        <v>1.0247009912035052</v>
      </c>
      <c r="BC100" s="486">
        <v>2.1533369819513482</v>
      </c>
      <c r="BD100" s="486">
        <v>2.2666705073172086</v>
      </c>
      <c r="BE100" s="486">
        <v>0.56666762682930216</v>
      </c>
      <c r="BF100" s="661"/>
      <c r="BG100" s="486">
        <v>0.58541847586131013</v>
      </c>
      <c r="BH100" s="486">
        <v>0.50362259496625961</v>
      </c>
      <c r="BI100" s="486">
        <v>0.99925798714489866</v>
      </c>
      <c r="BJ100" s="486">
        <v>0.49001748486437746</v>
      </c>
      <c r="BK100" s="486">
        <v>1.82377222047965</v>
      </c>
      <c r="BL100" s="486">
        <v>1.6155984406419339</v>
      </c>
      <c r="BM100" s="486">
        <v>1.4893310863727725</v>
      </c>
      <c r="BN100" s="486">
        <v>36.475444409593003</v>
      </c>
      <c r="BO100" s="486">
        <v>90.520325889709483</v>
      </c>
      <c r="BP100" s="661"/>
      <c r="BQ100" s="661"/>
      <c r="BR100" s="619">
        <v>5.3653628909095392</v>
      </c>
      <c r="BS100" s="661"/>
      <c r="BT100" s="661"/>
      <c r="BU100" s="661"/>
      <c r="BV100" s="486">
        <v>0.55712234485864898</v>
      </c>
      <c r="BW100" s="486">
        <v>0.58201343274437023</v>
      </c>
      <c r="BX100" s="486">
        <v>1.3259308316506115</v>
      </c>
    </row>
    <row r="101" spans="1:76" x14ac:dyDescent="0.2">
      <c r="A101" s="461">
        <v>13</v>
      </c>
      <c r="C101" s="461">
        <v>4</v>
      </c>
      <c r="D101" s="461">
        <v>3</v>
      </c>
      <c r="E101" s="461">
        <v>7</v>
      </c>
      <c r="F101" s="461">
        <v>6</v>
      </c>
      <c r="G101" s="461">
        <v>11</v>
      </c>
      <c r="H101" s="461">
        <v>9</v>
      </c>
      <c r="I101" s="461">
        <v>7</v>
      </c>
      <c r="J101" s="461">
        <v>13</v>
      </c>
      <c r="K101" s="461">
        <v>10</v>
      </c>
      <c r="L101" s="461">
        <v>10</v>
      </c>
      <c r="M101" s="461">
        <v>20</v>
      </c>
      <c r="N101" s="461">
        <v>0.55000000000000004</v>
      </c>
      <c r="O101" s="461">
        <v>0.45</v>
      </c>
      <c r="P101" s="461">
        <v>0.35</v>
      </c>
      <c r="Q101" s="461">
        <v>3</v>
      </c>
      <c r="R101" s="461">
        <v>0.36363636363636365</v>
      </c>
      <c r="S101" s="461">
        <v>0.33333333333333331</v>
      </c>
      <c r="T101" s="461">
        <v>0.63636363636363635</v>
      </c>
      <c r="U101" s="461">
        <v>0.66666666666666663</v>
      </c>
      <c r="V101" s="461">
        <v>0.5714285714285714</v>
      </c>
      <c r="W101" s="461">
        <v>0.42857142857142855</v>
      </c>
      <c r="X101" s="461">
        <v>0.53846153846153844</v>
      </c>
      <c r="Y101" s="461">
        <v>0.46153846153846156</v>
      </c>
      <c r="Z101" s="461">
        <v>0.51515151515151514</v>
      </c>
      <c r="AA101" s="461">
        <v>0.49236596391733095</v>
      </c>
      <c r="AB101" s="461">
        <v>3.0303030303030276E-2</v>
      </c>
      <c r="AC101" s="461">
        <v>0.5</v>
      </c>
      <c r="AD101" s="461">
        <v>0.5</v>
      </c>
      <c r="AE101" s="461">
        <v>0.44444444444444442</v>
      </c>
      <c r="AF101" s="488">
        <v>2.9126213592233011E-2</v>
      </c>
      <c r="AG101" s="461">
        <v>3.1606977062050699E-2</v>
      </c>
      <c r="AH101" s="488">
        <v>0.99277445398780839</v>
      </c>
      <c r="AI101" s="488">
        <v>0.93406805537549098</v>
      </c>
      <c r="AJ101" s="461">
        <v>1.9261207468426806</v>
      </c>
      <c r="AK101" s="461">
        <v>7.2176252061870692E-4</v>
      </c>
      <c r="AL101" s="461">
        <v>7.4916607570299477E-4</v>
      </c>
      <c r="AM101" s="461">
        <v>0</v>
      </c>
      <c r="AN101" s="461">
        <v>1</v>
      </c>
      <c r="AO101" s="461">
        <v>0</v>
      </c>
      <c r="AP101" s="461">
        <v>0.5</v>
      </c>
      <c r="AQ101" s="461">
        <v>1</v>
      </c>
      <c r="AR101" s="485" t="s">
        <v>349</v>
      </c>
      <c r="AS101" s="485" t="s">
        <v>349</v>
      </c>
      <c r="AT101" s="699" t="s">
        <v>536</v>
      </c>
      <c r="AU101" s="699" t="s">
        <v>537</v>
      </c>
      <c r="AV101" s="699" t="s">
        <v>519</v>
      </c>
      <c r="AW101" s="486">
        <v>-0.14862094509283158</v>
      </c>
      <c r="AX101" s="486">
        <v>0.3629175116171458</v>
      </c>
      <c r="AY101" s="486">
        <v>0.60242635368744102</v>
      </c>
      <c r="AZ101" s="486">
        <v>0.28078925681924083</v>
      </c>
      <c r="BA101" s="486">
        <v>7.2583502323429165</v>
      </c>
      <c r="BB101" s="486">
        <v>1.6439572844046244</v>
      </c>
      <c r="BC101" s="486">
        <v>1.3930167112577312</v>
      </c>
      <c r="BD101" s="486">
        <v>1.4663333802712959</v>
      </c>
      <c r="BE101" s="486">
        <v>0.65985002112208324</v>
      </c>
      <c r="BF101" s="661"/>
      <c r="BG101" s="486">
        <v>0.51582238109203105</v>
      </c>
      <c r="BH101" s="486">
        <v>0.52728770948028481</v>
      </c>
      <c r="BI101" s="486">
        <v>0.99077383277853515</v>
      </c>
      <c r="BJ101" s="486">
        <v>0.38865910857638958</v>
      </c>
      <c r="BK101" s="486">
        <v>1.0720898496996252</v>
      </c>
      <c r="BL101" s="486">
        <v>0.95870492632779047</v>
      </c>
      <c r="BM101" s="486">
        <v>0.78911219925255527</v>
      </c>
      <c r="BN101" s="486">
        <v>21.441796993992504</v>
      </c>
      <c r="BO101" s="486">
        <v>32.211354749380142</v>
      </c>
      <c r="BP101" s="661"/>
      <c r="BQ101" s="661"/>
      <c r="BR101" s="619">
        <v>2.7849230562403502</v>
      </c>
      <c r="BS101" s="661"/>
      <c r="BT101" s="661"/>
      <c r="BU101" s="661"/>
      <c r="BV101" s="486">
        <v>0.72379971564177692</v>
      </c>
      <c r="BW101" s="486">
        <v>0.90121578455871754</v>
      </c>
      <c r="BX101" s="486">
        <v>1.8225965043455923</v>
      </c>
    </row>
    <row r="102" spans="1:76" x14ac:dyDescent="0.2">
      <c r="A102" s="461">
        <v>14</v>
      </c>
      <c r="C102" s="461">
        <v>7</v>
      </c>
      <c r="D102" s="461">
        <v>4</v>
      </c>
      <c r="E102" s="461">
        <v>6</v>
      </c>
      <c r="F102" s="461">
        <v>3</v>
      </c>
      <c r="G102" s="461">
        <v>13</v>
      </c>
      <c r="H102" s="461">
        <v>7</v>
      </c>
      <c r="I102" s="461">
        <v>11</v>
      </c>
      <c r="J102" s="461">
        <v>9</v>
      </c>
      <c r="K102" s="461">
        <v>10</v>
      </c>
      <c r="L102" s="461">
        <v>10</v>
      </c>
      <c r="M102" s="461">
        <v>20</v>
      </c>
      <c r="N102" s="461">
        <v>0.65</v>
      </c>
      <c r="O102" s="461">
        <v>0.35</v>
      </c>
      <c r="P102" s="461">
        <v>0.55000000000000004</v>
      </c>
      <c r="Q102" s="461">
        <v>-3</v>
      </c>
      <c r="R102" s="461">
        <v>0.53846153846153844</v>
      </c>
      <c r="S102" s="461">
        <v>0.5714285714285714</v>
      </c>
      <c r="T102" s="461">
        <v>0.46153846153846156</v>
      </c>
      <c r="U102" s="461">
        <v>0.42857142857142855</v>
      </c>
      <c r="V102" s="461">
        <v>0.63636363636363635</v>
      </c>
      <c r="W102" s="461">
        <v>0.36363636363636365</v>
      </c>
      <c r="X102" s="461">
        <v>0.66666666666666663</v>
      </c>
      <c r="Y102" s="461">
        <v>0.33333333333333331</v>
      </c>
      <c r="Z102" s="461">
        <v>0.48351648351648346</v>
      </c>
      <c r="AA102" s="461">
        <v>0.48038446141526137</v>
      </c>
      <c r="AB102" s="461">
        <v>-3.2967032967033072E-2</v>
      </c>
      <c r="AC102" s="461">
        <v>0.5</v>
      </c>
      <c r="AD102" s="461">
        <v>0.5</v>
      </c>
      <c r="AE102" s="461">
        <v>0.58333333333333337</v>
      </c>
      <c r="AF102" s="488">
        <v>-3.0927835051546393E-2</v>
      </c>
      <c r="AG102" s="461">
        <v>-3.1606977062050699E-2</v>
      </c>
      <c r="AH102" s="488">
        <v>0.93406805537549098</v>
      </c>
      <c r="AI102" s="488">
        <v>0.99277445398780839</v>
      </c>
      <c r="AJ102" s="461">
        <v>1.9261207468426806</v>
      </c>
      <c r="AK102" s="461">
        <v>7.2176252061870692E-4</v>
      </c>
      <c r="AL102" s="461">
        <v>7.4916607570299477E-4</v>
      </c>
      <c r="AM102" s="461">
        <v>0</v>
      </c>
      <c r="AN102" s="461">
        <v>1</v>
      </c>
      <c r="AO102" s="461">
        <v>0</v>
      </c>
      <c r="AP102" s="461">
        <v>0.5</v>
      </c>
      <c r="AQ102" s="461">
        <v>1</v>
      </c>
      <c r="AR102" s="485" t="s">
        <v>349</v>
      </c>
      <c r="AS102" s="485" t="s">
        <v>349</v>
      </c>
      <c r="AT102" s="699" t="s">
        <v>538</v>
      </c>
      <c r="AU102" s="699" t="s">
        <v>509</v>
      </c>
      <c r="AV102" s="699" t="s">
        <v>539</v>
      </c>
      <c r="AW102" s="486">
        <v>-0.12228068047293113</v>
      </c>
      <c r="AX102" s="486">
        <v>0.33951320644125255</v>
      </c>
      <c r="AY102" s="486">
        <v>0.58267761793401041</v>
      </c>
      <c r="AZ102" s="486">
        <v>0.24610960906280333</v>
      </c>
      <c r="BA102" s="486">
        <v>6.7902641288250507</v>
      </c>
      <c r="BB102" s="486">
        <v>0.989783755458714</v>
      </c>
      <c r="BC102" s="486">
        <v>1.4177474554689664</v>
      </c>
      <c r="BD102" s="486">
        <v>1.492365742598913</v>
      </c>
      <c r="BE102" s="486">
        <v>0.52232800990961925</v>
      </c>
      <c r="BF102" s="661"/>
      <c r="BG102" s="486">
        <v>0.50351147377515248</v>
      </c>
      <c r="BH102" s="486">
        <v>0.49512237188780911</v>
      </c>
      <c r="BI102" s="486">
        <v>0.96596292010715223</v>
      </c>
      <c r="BJ102" s="486">
        <v>0.39318912323754446</v>
      </c>
      <c r="BK102" s="486">
        <v>1.1872432481693009</v>
      </c>
      <c r="BL102" s="486">
        <v>1.0450493186971859</v>
      </c>
      <c r="BM102" s="486">
        <v>0.90456044292425186</v>
      </c>
      <c r="BN102" s="486">
        <v>23.744864963386018</v>
      </c>
      <c r="BO102" s="486">
        <v>39.438889122356365</v>
      </c>
      <c r="BP102" s="661"/>
      <c r="BQ102" s="661"/>
      <c r="BR102" s="619">
        <v>2.0844410876129396</v>
      </c>
      <c r="BS102" s="661"/>
      <c r="BT102" s="661"/>
      <c r="BU102" s="661"/>
      <c r="BV102" s="486">
        <v>0.58773576422618223</v>
      </c>
      <c r="BW102" s="486">
        <v>0.90884614103001493</v>
      </c>
      <c r="BX102" s="486">
        <v>1.2828908189770132</v>
      </c>
    </row>
    <row r="103" spans="1:76" x14ac:dyDescent="0.2">
      <c r="A103" s="461">
        <v>15</v>
      </c>
      <c r="C103" s="461">
        <v>4</v>
      </c>
      <c r="D103" s="461">
        <v>5</v>
      </c>
      <c r="E103" s="461">
        <v>6</v>
      </c>
      <c r="F103" s="461">
        <v>5</v>
      </c>
      <c r="G103" s="461">
        <v>10</v>
      </c>
      <c r="H103" s="461">
        <v>10</v>
      </c>
      <c r="I103" s="461">
        <v>9</v>
      </c>
      <c r="J103" s="461">
        <v>11</v>
      </c>
      <c r="K103" s="461">
        <v>9</v>
      </c>
      <c r="L103" s="461">
        <v>11</v>
      </c>
      <c r="M103" s="461">
        <v>20</v>
      </c>
      <c r="N103" s="461">
        <v>0.5</v>
      </c>
      <c r="O103" s="461">
        <v>0.5</v>
      </c>
      <c r="P103" s="461">
        <v>0.45</v>
      </c>
      <c r="Q103" s="461">
        <v>-10</v>
      </c>
      <c r="R103" s="461">
        <v>0.4</v>
      </c>
      <c r="S103" s="461">
        <v>0.5</v>
      </c>
      <c r="T103" s="461">
        <v>0.6</v>
      </c>
      <c r="U103" s="461">
        <v>0.5</v>
      </c>
      <c r="V103" s="461">
        <v>0.44444444444444442</v>
      </c>
      <c r="W103" s="461">
        <v>0.55555555555555558</v>
      </c>
      <c r="X103" s="461">
        <v>0.54545454545454541</v>
      </c>
      <c r="Y103" s="461">
        <v>0.45454545454545453</v>
      </c>
      <c r="Z103" s="461">
        <v>0.45</v>
      </c>
      <c r="AA103" s="461">
        <v>0.44721359549995793</v>
      </c>
      <c r="AB103" s="461">
        <v>-9.9999999999999978E-2</v>
      </c>
      <c r="AC103" s="461">
        <v>0.45</v>
      </c>
      <c r="AD103" s="461">
        <v>0.55000000000000004</v>
      </c>
      <c r="AE103" s="461">
        <v>0.4210526315789474</v>
      </c>
      <c r="AF103" s="488">
        <v>-0.1</v>
      </c>
      <c r="AG103" s="461">
        <v>-0.10050378152592121</v>
      </c>
      <c r="AH103" s="488">
        <v>1</v>
      </c>
      <c r="AI103" s="488">
        <v>0.99277445398780839</v>
      </c>
      <c r="AJ103" s="461">
        <v>1.9854752972273344</v>
      </c>
      <c r="AK103" s="461">
        <v>7.2991567604739627E-3</v>
      </c>
      <c r="AL103" s="461">
        <v>7.3256225719547669E-3</v>
      </c>
      <c r="AM103" s="461">
        <v>0</v>
      </c>
      <c r="AN103" s="461">
        <v>1</v>
      </c>
      <c r="AO103" s="461">
        <v>0</v>
      </c>
      <c r="AP103" s="461">
        <v>0.5</v>
      </c>
      <c r="AQ103" s="461">
        <v>1</v>
      </c>
      <c r="AR103" s="485" t="s">
        <v>349</v>
      </c>
      <c r="AS103" s="485" t="s">
        <v>349</v>
      </c>
      <c r="AT103" s="699" t="s">
        <v>523</v>
      </c>
      <c r="AU103" s="699" t="s">
        <v>527</v>
      </c>
      <c r="AV103" s="699" t="s">
        <v>540</v>
      </c>
      <c r="AW103" s="486">
        <v>-2.0048455026858612E-2</v>
      </c>
      <c r="AX103" s="486">
        <v>0.38705260419158799</v>
      </c>
      <c r="AY103" s="486">
        <v>0.62213551915285148</v>
      </c>
      <c r="AZ103" s="486">
        <v>0.37720480270576662</v>
      </c>
      <c r="BA103" s="486">
        <v>7.74105208383176</v>
      </c>
      <c r="BB103" s="486">
        <v>1.6128820012997265</v>
      </c>
      <c r="BC103" s="486">
        <v>1.4707998959280344</v>
      </c>
      <c r="BD103" s="486">
        <v>1.548210416766352</v>
      </c>
      <c r="BE103" s="486">
        <v>0.77410520838317598</v>
      </c>
      <c r="BF103" s="661"/>
      <c r="BG103" s="486">
        <v>0.53168162534325258</v>
      </c>
      <c r="BH103" s="486">
        <v>0.60609606370218228</v>
      </c>
      <c r="BI103" s="486">
        <v>0.93559327695853001</v>
      </c>
      <c r="BJ103" s="486">
        <v>0.37853679060040712</v>
      </c>
      <c r="BK103" s="486">
        <v>1.0633632506865052</v>
      </c>
      <c r="BL103" s="486">
        <v>1.2121921274043646</v>
      </c>
      <c r="BM103" s="486">
        <v>0.75707358120081425</v>
      </c>
      <c r="BN103" s="486">
        <v>21.267265013730103</v>
      </c>
      <c r="BO103" s="486">
        <v>30.96420833532704</v>
      </c>
      <c r="BP103" s="661"/>
      <c r="BQ103" s="661"/>
      <c r="BR103" s="619">
        <v>2.3376133016007294</v>
      </c>
      <c r="BS103" s="661"/>
      <c r="BT103" s="661"/>
      <c r="BU103" s="661"/>
      <c r="BV103" s="486">
        <v>0.72327017143307848</v>
      </c>
      <c r="BW103" s="486">
        <v>0.99928545613223485</v>
      </c>
      <c r="BX103" s="486">
        <v>1.5742877217709332</v>
      </c>
    </row>
    <row r="104" spans="1:76" x14ac:dyDescent="0.2">
      <c r="A104" s="461">
        <v>16</v>
      </c>
      <c r="C104" s="461">
        <v>3</v>
      </c>
      <c r="D104" s="461">
        <v>4</v>
      </c>
      <c r="E104" s="461">
        <v>4</v>
      </c>
      <c r="F104" s="461">
        <v>9</v>
      </c>
      <c r="G104" s="461">
        <v>7</v>
      </c>
      <c r="H104" s="461">
        <v>13</v>
      </c>
      <c r="I104" s="461">
        <v>7</v>
      </c>
      <c r="J104" s="461">
        <v>13</v>
      </c>
      <c r="K104" s="461">
        <v>12</v>
      </c>
      <c r="L104" s="461">
        <v>8</v>
      </c>
      <c r="M104" s="461">
        <v>20</v>
      </c>
      <c r="N104" s="461">
        <v>0.35</v>
      </c>
      <c r="O104" s="461">
        <v>0.65</v>
      </c>
      <c r="P104" s="461">
        <v>0.35</v>
      </c>
      <c r="Q104" s="461">
        <v>11</v>
      </c>
      <c r="R104" s="461">
        <v>0.42857142857142855</v>
      </c>
      <c r="S104" s="461">
        <v>0.30769230769230771</v>
      </c>
      <c r="T104" s="461">
        <v>0.5714285714285714</v>
      </c>
      <c r="U104" s="461">
        <v>0.69230769230769229</v>
      </c>
      <c r="V104" s="461">
        <v>0.42857142857142855</v>
      </c>
      <c r="W104" s="461">
        <v>0.5714285714285714</v>
      </c>
      <c r="X104" s="461">
        <v>0.30769230769230771</v>
      </c>
      <c r="Y104" s="461">
        <v>0.69230769230769229</v>
      </c>
      <c r="Z104" s="461">
        <v>0.56043956043956045</v>
      </c>
      <c r="AA104" s="461">
        <v>0.54470477940192219</v>
      </c>
      <c r="AB104" s="461">
        <v>0.12087912087912089</v>
      </c>
      <c r="AC104" s="461">
        <v>0.6</v>
      </c>
      <c r="AD104" s="461">
        <v>0.4</v>
      </c>
      <c r="AE104" s="461">
        <v>0.42857142857142855</v>
      </c>
      <c r="AF104" s="488">
        <v>0.12087912087912088</v>
      </c>
      <c r="AG104" s="461">
        <v>0.12087912087912088</v>
      </c>
      <c r="AH104" s="488">
        <v>0.93406805537549098</v>
      </c>
      <c r="AI104" s="488">
        <v>0.93406805537549098</v>
      </c>
      <c r="AJ104" s="461">
        <v>1.8577174691301483</v>
      </c>
      <c r="AK104" s="461">
        <v>1.0418641620833655E-2</v>
      </c>
      <c r="AL104" s="461">
        <v>1.1154049815615854E-2</v>
      </c>
      <c r="AM104" s="461">
        <v>0</v>
      </c>
      <c r="AN104" s="461">
        <v>1</v>
      </c>
      <c r="AO104" s="461">
        <v>0</v>
      </c>
      <c r="AP104" s="461">
        <v>0.5</v>
      </c>
      <c r="AQ104" s="461">
        <v>1</v>
      </c>
      <c r="AR104" s="485" t="s">
        <v>349</v>
      </c>
      <c r="AS104" s="485" t="s">
        <v>349</v>
      </c>
      <c r="AT104" s="699" t="s">
        <v>514</v>
      </c>
      <c r="AU104" s="699" t="s">
        <v>541</v>
      </c>
      <c r="AV104" s="699" t="s">
        <v>516</v>
      </c>
      <c r="AW104" s="486">
        <v>1.1296744051480029E-2</v>
      </c>
      <c r="AX104" s="486">
        <v>0.22787014064541783</v>
      </c>
      <c r="AY104" s="486">
        <v>0.47735745583935091</v>
      </c>
      <c r="AZ104" s="486">
        <v>0.12052569320854856</v>
      </c>
      <c r="BA104" s="486">
        <v>4.5574028129083564</v>
      </c>
      <c r="BB104" s="486">
        <v>1.8020022472398105</v>
      </c>
      <c r="BC104" s="486">
        <v>0.95154564225559091</v>
      </c>
      <c r="BD104" s="486">
        <v>1.0016269918479908</v>
      </c>
      <c r="BE104" s="486">
        <v>0.65105754470119381</v>
      </c>
      <c r="BF104" s="661"/>
      <c r="BG104" s="486">
        <v>0.40316043427704812</v>
      </c>
      <c r="BH104" s="486">
        <v>0.34685739831202256</v>
      </c>
      <c r="BI104" s="486">
        <v>0.87296892526244907</v>
      </c>
      <c r="BJ104" s="486">
        <v>0.26554421618562524</v>
      </c>
      <c r="BK104" s="486">
        <v>0.89351529119229034</v>
      </c>
      <c r="BL104" s="486">
        <v>0.81098330459231716</v>
      </c>
      <c r="BM104" s="486">
        <v>0.61090396354561827</v>
      </c>
      <c r="BN104" s="486">
        <v>17.870305823845808</v>
      </c>
      <c r="BO104" s="486">
        <v>21.951250603928429</v>
      </c>
      <c r="BP104" s="661"/>
      <c r="BQ104" s="661"/>
      <c r="BR104" s="619">
        <v>1.4966550738136655</v>
      </c>
      <c r="BS104" s="661"/>
      <c r="BT104" s="661"/>
      <c r="BU104" s="661"/>
      <c r="BV104" s="486">
        <v>0.80061240023393054</v>
      </c>
      <c r="BW104" s="486">
        <v>1</v>
      </c>
      <c r="BX104" s="486">
        <v>2.0595193420191418</v>
      </c>
    </row>
    <row r="105" spans="1:76" x14ac:dyDescent="0.2">
      <c r="A105" s="461">
        <v>17</v>
      </c>
      <c r="C105" s="461">
        <v>5</v>
      </c>
      <c r="D105" s="461">
        <v>3</v>
      </c>
      <c r="E105" s="461">
        <v>8</v>
      </c>
      <c r="F105" s="461">
        <v>4</v>
      </c>
      <c r="G105" s="461">
        <v>13</v>
      </c>
      <c r="H105" s="461">
        <v>7</v>
      </c>
      <c r="I105" s="461">
        <v>8</v>
      </c>
      <c r="J105" s="461">
        <v>12</v>
      </c>
      <c r="K105" s="461">
        <v>9</v>
      </c>
      <c r="L105" s="461">
        <v>11</v>
      </c>
      <c r="M105" s="461">
        <v>20</v>
      </c>
      <c r="N105" s="461">
        <v>0.65</v>
      </c>
      <c r="O105" s="461">
        <v>0.35</v>
      </c>
      <c r="P105" s="461">
        <v>0.4</v>
      </c>
      <c r="Q105" s="461">
        <v>-4</v>
      </c>
      <c r="R105" s="461">
        <v>0.38461538461538464</v>
      </c>
      <c r="S105" s="461">
        <v>0.42857142857142855</v>
      </c>
      <c r="T105" s="461">
        <v>0.61538461538461542</v>
      </c>
      <c r="U105" s="461">
        <v>0.5714285714285714</v>
      </c>
      <c r="V105" s="461">
        <v>0.625</v>
      </c>
      <c r="W105" s="461">
        <v>0.375</v>
      </c>
      <c r="X105" s="461">
        <v>0.66666666666666663</v>
      </c>
      <c r="Y105" s="461">
        <v>0.33333333333333331</v>
      </c>
      <c r="Z105" s="461">
        <v>0.47802197802197799</v>
      </c>
      <c r="AA105" s="461">
        <v>0.46880723093849541</v>
      </c>
      <c r="AB105" s="461">
        <v>-4.3956043956044022E-2</v>
      </c>
      <c r="AC105" s="461">
        <v>0.45</v>
      </c>
      <c r="AD105" s="461">
        <v>0.55000000000000004</v>
      </c>
      <c r="AE105" s="461">
        <v>0.47619047619047622</v>
      </c>
      <c r="AF105" s="488">
        <v>-3.7735849056603772E-2</v>
      </c>
      <c r="AG105" s="461">
        <v>-4.2796049251091289E-2</v>
      </c>
      <c r="AH105" s="488">
        <v>0.93406805537549098</v>
      </c>
      <c r="AI105" s="488">
        <v>0.97095059445466858</v>
      </c>
      <c r="AJ105" s="461">
        <v>1.9037016960573481</v>
      </c>
      <c r="AK105" s="461">
        <v>1.3169537728113592E-3</v>
      </c>
      <c r="AL105" s="461">
        <v>1.382615097157995E-3</v>
      </c>
      <c r="AM105" s="461">
        <v>0</v>
      </c>
      <c r="AN105" s="461">
        <v>1</v>
      </c>
      <c r="AO105" s="461">
        <v>0</v>
      </c>
      <c r="AP105" s="461">
        <v>0.5</v>
      </c>
      <c r="AQ105" s="461">
        <v>1</v>
      </c>
      <c r="AR105" s="485" t="s">
        <v>349</v>
      </c>
      <c r="AS105" s="485" t="s">
        <v>349</v>
      </c>
      <c r="AT105" s="699" t="s">
        <v>529</v>
      </c>
      <c r="AU105" s="699" t="s">
        <v>512</v>
      </c>
      <c r="AV105" s="699" t="s">
        <v>542</v>
      </c>
      <c r="AW105" s="486">
        <v>-0.23783518216431912</v>
      </c>
      <c r="AX105" s="486">
        <v>0.39074014232141868</v>
      </c>
      <c r="AY105" s="486">
        <v>0.62509210707016505</v>
      </c>
      <c r="AZ105" s="486">
        <v>0.33137047598651109</v>
      </c>
      <c r="BA105" s="486">
        <v>7.8148028464283739</v>
      </c>
      <c r="BB105" s="486">
        <v>1.4584910076777791</v>
      </c>
      <c r="BC105" s="486">
        <v>1.631662132770759</v>
      </c>
      <c r="BD105" s="486">
        <v>1.7175390871271148</v>
      </c>
      <c r="BE105" s="486">
        <v>0.60113868049449026</v>
      </c>
      <c r="BF105" s="661"/>
      <c r="BG105" s="486">
        <v>0.54797653033638372</v>
      </c>
      <c r="BH105" s="486">
        <v>0.57237196023682757</v>
      </c>
      <c r="BI105" s="486">
        <v>0.98874592675430462</v>
      </c>
      <c r="BJ105" s="486">
        <v>0.44728568193868734</v>
      </c>
      <c r="BK105" s="486">
        <v>1.3611584285399549</v>
      </c>
      <c r="BL105" s="486">
        <v>1.2602223677514552</v>
      </c>
      <c r="BM105" s="486">
        <v>1.0290135475688087</v>
      </c>
      <c r="BN105" s="486">
        <v>27.2231685707991</v>
      </c>
      <c r="BO105" s="486">
        <v>52.025218953873988</v>
      </c>
      <c r="BP105" s="661"/>
      <c r="BQ105" s="661"/>
      <c r="BR105" s="619">
        <v>7.3146866307671559</v>
      </c>
      <c r="BS105" s="661"/>
      <c r="BT105" s="661"/>
      <c r="BU105" s="661"/>
      <c r="BV105" s="486">
        <v>0.67091847372638536</v>
      </c>
      <c r="BW105" s="486">
        <v>0.88791218283598694</v>
      </c>
      <c r="BX105" s="486">
        <v>1.8906472024565013</v>
      </c>
    </row>
    <row r="106" spans="1:76" x14ac:dyDescent="0.2">
      <c r="A106" s="461">
        <v>18</v>
      </c>
      <c r="C106" s="461">
        <v>8</v>
      </c>
      <c r="D106" s="461">
        <v>6</v>
      </c>
      <c r="E106" s="461">
        <v>4</v>
      </c>
      <c r="F106" s="461">
        <v>2</v>
      </c>
      <c r="G106" s="461">
        <v>12</v>
      </c>
      <c r="H106" s="461">
        <v>8</v>
      </c>
      <c r="I106" s="461">
        <v>14</v>
      </c>
      <c r="J106" s="461">
        <v>6</v>
      </c>
      <c r="K106" s="461">
        <v>10</v>
      </c>
      <c r="L106" s="461">
        <v>10</v>
      </c>
      <c r="M106" s="461">
        <v>20</v>
      </c>
      <c r="N106" s="461">
        <v>0.6</v>
      </c>
      <c r="O106" s="461">
        <v>0.4</v>
      </c>
      <c r="P106" s="461">
        <v>0.7</v>
      </c>
      <c r="Q106" s="461">
        <v>-8</v>
      </c>
      <c r="R106" s="461">
        <v>0.66666666666666663</v>
      </c>
      <c r="S106" s="461">
        <v>0.75</v>
      </c>
      <c r="T106" s="461">
        <v>0.33333333333333331</v>
      </c>
      <c r="U106" s="461">
        <v>0.25</v>
      </c>
      <c r="V106" s="461">
        <v>0.5714285714285714</v>
      </c>
      <c r="W106" s="461">
        <v>0.42857142857142855</v>
      </c>
      <c r="X106" s="461">
        <v>0.66666666666666663</v>
      </c>
      <c r="Y106" s="461">
        <v>0.33333333333333331</v>
      </c>
      <c r="Z106" s="461">
        <v>0.45833333333333331</v>
      </c>
      <c r="AA106" s="461">
        <v>0.40824829046386302</v>
      </c>
      <c r="AB106" s="461">
        <v>-8.333333333333337E-2</v>
      </c>
      <c r="AC106" s="461">
        <v>0.5</v>
      </c>
      <c r="AD106" s="461">
        <v>0.5</v>
      </c>
      <c r="AE106" s="461">
        <v>0.61538461538461531</v>
      </c>
      <c r="AF106" s="488">
        <v>-8.6956521739130432E-2</v>
      </c>
      <c r="AG106" s="461">
        <v>-8.9087080637474794E-2</v>
      </c>
      <c r="AH106" s="488">
        <v>0.97095059445466858</v>
      </c>
      <c r="AI106" s="488">
        <v>0.8812908992306927</v>
      </c>
      <c r="AJ106" s="461">
        <v>1.8464393446710154</v>
      </c>
      <c r="AK106" s="461">
        <v>5.8021490143457186E-3</v>
      </c>
      <c r="AL106" s="461">
        <v>6.2650027376304146E-3</v>
      </c>
      <c r="AM106" s="461">
        <v>0</v>
      </c>
      <c r="AN106" s="461">
        <v>1</v>
      </c>
      <c r="AO106" s="461">
        <v>0</v>
      </c>
      <c r="AP106" s="461">
        <v>0.5</v>
      </c>
      <c r="AQ106" s="461">
        <v>1</v>
      </c>
      <c r="AR106" s="485" t="s">
        <v>349</v>
      </c>
      <c r="AS106" s="485" t="s">
        <v>349</v>
      </c>
      <c r="AT106" s="699" t="s">
        <v>508</v>
      </c>
      <c r="AU106" s="699" t="s">
        <v>543</v>
      </c>
      <c r="AV106" s="699" t="s">
        <v>544</v>
      </c>
      <c r="AW106" s="486">
        <v>7.8080847852493002E-2</v>
      </c>
      <c r="AX106" s="486">
        <v>0.34153503475812197</v>
      </c>
      <c r="AY106" s="486">
        <v>0.5844099885851729</v>
      </c>
      <c r="AZ106" s="486">
        <v>0.21362460666860053</v>
      </c>
      <c r="BA106" s="486">
        <v>6.8307006951624398</v>
      </c>
      <c r="BB106" s="486">
        <v>0.83946488052709345</v>
      </c>
      <c r="BC106" s="486">
        <v>1.3519095125842326</v>
      </c>
      <c r="BD106" s="486">
        <v>1.4230626448255077</v>
      </c>
      <c r="BE106" s="486">
        <v>0.56922505793020328</v>
      </c>
      <c r="BF106" s="661"/>
      <c r="BG106" s="486">
        <v>0.47932990978819989</v>
      </c>
      <c r="BH106" s="486">
        <v>0.45759208301266585</v>
      </c>
      <c r="BI106" s="486">
        <v>0.99043970440740536</v>
      </c>
      <c r="BJ106" s="486">
        <v>0.28665453350976783</v>
      </c>
      <c r="BK106" s="486">
        <v>0.96607029212021067</v>
      </c>
      <c r="BL106" s="486">
        <v>1.1418497857586629</v>
      </c>
      <c r="BM106" s="486">
        <v>0.60934369208969119</v>
      </c>
      <c r="BN106" s="486">
        <v>19.321405842404214</v>
      </c>
      <c r="BO106" s="486">
        <v>26.111279872091593</v>
      </c>
      <c r="BP106" s="661"/>
      <c r="BQ106" s="661"/>
      <c r="BR106" s="619">
        <v>0.94629312310294877</v>
      </c>
      <c r="BS106" s="661"/>
      <c r="BT106" s="661"/>
      <c r="BU106" s="661"/>
      <c r="BV106" s="486">
        <v>0.53810714522997327</v>
      </c>
      <c r="BW106" s="486">
        <v>0.69145172718968251</v>
      </c>
      <c r="BX106" s="486">
        <v>1.0101591633591014</v>
      </c>
    </row>
    <row r="107" spans="1:76" x14ac:dyDescent="0.2">
      <c r="A107" s="461">
        <v>19</v>
      </c>
      <c r="C107" s="461">
        <v>2</v>
      </c>
      <c r="D107" s="461">
        <v>6</v>
      </c>
      <c r="E107" s="461">
        <v>8</v>
      </c>
      <c r="F107" s="461">
        <v>4</v>
      </c>
      <c r="G107" s="461">
        <v>10</v>
      </c>
      <c r="H107" s="461">
        <v>10</v>
      </c>
      <c r="I107" s="461">
        <v>8</v>
      </c>
      <c r="J107" s="461">
        <v>12</v>
      </c>
      <c r="K107" s="461">
        <v>6</v>
      </c>
      <c r="L107" s="461">
        <v>14</v>
      </c>
      <c r="M107" s="461">
        <v>20</v>
      </c>
      <c r="N107" s="461">
        <v>0.5</v>
      </c>
      <c r="O107" s="461">
        <v>0.5</v>
      </c>
      <c r="P107" s="461">
        <v>0.4</v>
      </c>
      <c r="Q107" s="461">
        <v>-40</v>
      </c>
      <c r="R107" s="461">
        <v>0.2</v>
      </c>
      <c r="S107" s="461">
        <v>0.6</v>
      </c>
      <c r="T107" s="461">
        <v>0.8</v>
      </c>
      <c r="U107" s="461">
        <v>0.4</v>
      </c>
      <c r="V107" s="461">
        <v>0.25</v>
      </c>
      <c r="W107" s="461">
        <v>0.75</v>
      </c>
      <c r="X107" s="461">
        <v>0.66666666666666663</v>
      </c>
      <c r="Y107" s="461">
        <v>0.33333333333333331</v>
      </c>
      <c r="Z107" s="461">
        <v>0.30000000000000004</v>
      </c>
      <c r="AA107" s="461">
        <v>0.28284271247461906</v>
      </c>
      <c r="AB107" s="461">
        <v>-0.39999999999999991</v>
      </c>
      <c r="AC107" s="461">
        <v>0.3</v>
      </c>
      <c r="AD107" s="461">
        <v>0.7</v>
      </c>
      <c r="AE107" s="461">
        <v>0.22222222222222224</v>
      </c>
      <c r="AF107" s="488">
        <v>-0.4</v>
      </c>
      <c r="AG107" s="461">
        <v>-0.40824829046386302</v>
      </c>
      <c r="AH107" s="488">
        <v>1</v>
      </c>
      <c r="AI107" s="488">
        <v>0.97095059445466858</v>
      </c>
      <c r="AJ107" s="461">
        <v>1.8464393446710154</v>
      </c>
      <c r="AK107" s="461">
        <v>0.12451124978365315</v>
      </c>
      <c r="AL107" s="461">
        <v>0.12634639359704852</v>
      </c>
      <c r="AM107" s="461">
        <v>0</v>
      </c>
      <c r="AN107" s="461">
        <v>1</v>
      </c>
      <c r="AO107" s="461">
        <v>0</v>
      </c>
      <c r="AP107" s="461">
        <v>0.5</v>
      </c>
      <c r="AQ107" s="461">
        <v>1</v>
      </c>
      <c r="AR107" s="485" t="s">
        <v>349</v>
      </c>
      <c r="AS107" s="485" t="s">
        <v>349</v>
      </c>
      <c r="AT107" s="699" t="s">
        <v>523</v>
      </c>
      <c r="AU107" s="699" t="s">
        <v>515</v>
      </c>
      <c r="AV107" s="699" t="s">
        <v>530</v>
      </c>
      <c r="AW107" s="486">
        <v>-4.8235926834173951E-2</v>
      </c>
      <c r="AX107" s="486">
        <v>0.43903717652947893</v>
      </c>
      <c r="AY107" s="486">
        <v>0.66259880510719227</v>
      </c>
      <c r="AZ107" s="486">
        <v>0.34261774962099456</v>
      </c>
      <c r="BA107" s="486">
        <v>8.7807435305895787</v>
      </c>
      <c r="BB107" s="486">
        <v>1.9436568891051438</v>
      </c>
      <c r="BC107" s="486">
        <v>1.66834127081202</v>
      </c>
      <c r="BD107" s="486">
        <v>1.7561487061179157</v>
      </c>
      <c r="BE107" s="486">
        <v>0.87807435305895787</v>
      </c>
      <c r="BF107" s="661"/>
      <c r="BG107" s="486">
        <v>0.62330963037490261</v>
      </c>
      <c r="BH107" s="486">
        <v>0.58523953464135348</v>
      </c>
      <c r="BI107" s="486">
        <v>0.93207967099728728</v>
      </c>
      <c r="BJ107" s="486">
        <v>0.57602280603774392</v>
      </c>
      <c r="BK107" s="486">
        <v>1.2466192607498052</v>
      </c>
      <c r="BL107" s="486">
        <v>1.170479069282707</v>
      </c>
      <c r="BM107" s="486">
        <v>1.1520456120754878</v>
      </c>
      <c r="BN107" s="486">
        <v>24.932385214996106</v>
      </c>
      <c r="BO107" s="486">
        <v>35.122974122358315</v>
      </c>
      <c r="BP107" s="661"/>
      <c r="BQ107" s="661"/>
      <c r="BR107" s="619">
        <v>2.6916350281446522</v>
      </c>
      <c r="BS107" s="661"/>
      <c r="BT107" s="661"/>
      <c r="BU107" s="661"/>
      <c r="BV107" s="486">
        <v>0.76770136682154411</v>
      </c>
      <c r="BW107" s="486">
        <v>0.9603128838117545</v>
      </c>
      <c r="BX107" s="486">
        <v>1.4589342736863344</v>
      </c>
    </row>
    <row r="108" spans="1:76" x14ac:dyDescent="0.2">
      <c r="A108" s="461">
        <v>20</v>
      </c>
      <c r="C108" s="461">
        <v>2</v>
      </c>
      <c r="D108" s="461">
        <v>8</v>
      </c>
      <c r="E108" s="461">
        <v>8</v>
      </c>
      <c r="F108" s="461">
        <v>2</v>
      </c>
      <c r="G108" s="461">
        <v>10</v>
      </c>
      <c r="H108" s="461">
        <v>10</v>
      </c>
      <c r="I108" s="461">
        <v>10</v>
      </c>
      <c r="J108" s="461">
        <v>10</v>
      </c>
      <c r="K108" s="461">
        <v>4</v>
      </c>
      <c r="L108" s="461">
        <v>16</v>
      </c>
      <c r="M108" s="461">
        <v>20</v>
      </c>
      <c r="N108" s="461">
        <v>0.5</v>
      </c>
      <c r="O108" s="461">
        <v>0.5</v>
      </c>
      <c r="P108" s="461">
        <v>0.5</v>
      </c>
      <c r="Q108" s="461">
        <v>-60</v>
      </c>
      <c r="R108" s="461">
        <v>0.2</v>
      </c>
      <c r="S108" s="461">
        <v>0.8</v>
      </c>
      <c r="T108" s="461">
        <v>0.8</v>
      </c>
      <c r="U108" s="461">
        <v>0.2</v>
      </c>
      <c r="V108" s="461">
        <v>0.2</v>
      </c>
      <c r="W108" s="461">
        <v>0.8</v>
      </c>
      <c r="X108" s="461">
        <v>0.8</v>
      </c>
      <c r="Y108" s="461">
        <v>0.2</v>
      </c>
      <c r="Z108" s="461">
        <v>0.2</v>
      </c>
      <c r="AA108" s="461">
        <v>0.2</v>
      </c>
      <c r="AB108" s="461">
        <v>-0.6</v>
      </c>
      <c r="AC108" s="461">
        <v>0.2</v>
      </c>
      <c r="AD108" s="461">
        <v>0.8</v>
      </c>
      <c r="AE108" s="461">
        <v>0.20000000000000004</v>
      </c>
      <c r="AF108" s="488">
        <v>-0.6</v>
      </c>
      <c r="AG108" s="461">
        <v>-0.6</v>
      </c>
      <c r="AH108" s="488">
        <v>1</v>
      </c>
      <c r="AI108" s="488">
        <v>1</v>
      </c>
      <c r="AJ108" s="461">
        <v>1.7219280948873623</v>
      </c>
      <c r="AK108" s="461">
        <v>0.2780719051126378</v>
      </c>
      <c r="AL108" s="461">
        <v>0.2780719051126378</v>
      </c>
      <c r="AM108" s="461">
        <v>0</v>
      </c>
      <c r="AN108" s="461">
        <v>1</v>
      </c>
      <c r="AO108" s="461">
        <v>0</v>
      </c>
      <c r="AP108" s="461">
        <v>0.5</v>
      </c>
      <c r="AQ108" s="461">
        <v>1</v>
      </c>
      <c r="AR108" s="485" t="s">
        <v>349</v>
      </c>
      <c r="AS108" s="485" t="s">
        <v>349</v>
      </c>
      <c r="AT108" s="699" t="s">
        <v>523</v>
      </c>
      <c r="AU108" s="699" t="s">
        <v>521</v>
      </c>
      <c r="AV108" s="699" t="s">
        <v>530</v>
      </c>
      <c r="AW108" s="486">
        <v>-2.7945368425752216E-2</v>
      </c>
      <c r="AX108" s="486">
        <v>0.47485861552104403</v>
      </c>
      <c r="AY108" s="486">
        <v>0.68909985888914826</v>
      </c>
      <c r="AZ108" s="486">
        <v>0.46445213737978408</v>
      </c>
      <c r="BA108" s="486">
        <v>9.4971723104208809</v>
      </c>
      <c r="BB108" s="486">
        <v>2.0118799128712932</v>
      </c>
      <c r="BC108" s="486">
        <v>1.8044627389799675</v>
      </c>
      <c r="BD108" s="486">
        <v>1.8994344620841761</v>
      </c>
      <c r="BE108" s="486">
        <v>0.94971723104208805</v>
      </c>
      <c r="BF108" s="661"/>
      <c r="BG108" s="486">
        <v>0.64255391721305199</v>
      </c>
      <c r="BH108" s="486">
        <v>0.68120093263554793</v>
      </c>
      <c r="BI108" s="486">
        <v>0.99166521279983022</v>
      </c>
      <c r="BJ108" s="486">
        <v>0.56053389312475177</v>
      </c>
      <c r="BK108" s="486">
        <v>1.285107834426104</v>
      </c>
      <c r="BL108" s="486">
        <v>1.3624018652710959</v>
      </c>
      <c r="BM108" s="486">
        <v>1.1210677862495035</v>
      </c>
      <c r="BN108" s="486">
        <v>25.702156688522081</v>
      </c>
      <c r="BO108" s="486">
        <v>37.988689241683524</v>
      </c>
      <c r="BP108" s="661"/>
      <c r="BQ108" s="661"/>
      <c r="BR108" s="619">
        <v>8.9933131258539323</v>
      </c>
      <c r="BS108" s="661"/>
      <c r="BT108" s="661"/>
      <c r="BU108" s="661"/>
      <c r="BV108" s="486">
        <v>0.78147919182006631</v>
      </c>
      <c r="BW108" s="486">
        <v>0.77219122625335435</v>
      </c>
      <c r="BX108" s="486">
        <v>1.6730508881576476</v>
      </c>
    </row>
    <row r="109" spans="1:76" s="605" customFormat="1" ht="31" customHeight="1" thickBot="1" x14ac:dyDescent="0.25">
      <c r="A109" s="765"/>
      <c r="B109" s="634" t="s">
        <v>829</v>
      </c>
      <c r="C109" s="633">
        <f t="shared" ref="C109:AL109" si="12">AVERAGE(C89:C108)</f>
        <v>5</v>
      </c>
      <c r="D109" s="633">
        <f t="shared" si="12"/>
        <v>4.5</v>
      </c>
      <c r="E109" s="633">
        <f t="shared" si="12"/>
        <v>5.65</v>
      </c>
      <c r="F109" s="633">
        <f t="shared" si="12"/>
        <v>4.8499999999999996</v>
      </c>
      <c r="G109" s="633">
        <f t="shared" si="12"/>
        <v>10.65</v>
      </c>
      <c r="H109" s="633">
        <f t="shared" si="12"/>
        <v>9.35</v>
      </c>
      <c r="I109" s="633">
        <f t="shared" si="12"/>
        <v>9.5</v>
      </c>
      <c r="J109" s="633">
        <f t="shared" si="12"/>
        <v>10.5</v>
      </c>
      <c r="K109" s="633">
        <f t="shared" si="12"/>
        <v>9.85</v>
      </c>
      <c r="L109" s="633">
        <f t="shared" si="12"/>
        <v>10.15</v>
      </c>
      <c r="M109" s="633">
        <f t="shared" si="12"/>
        <v>20</v>
      </c>
      <c r="N109" s="633">
        <f t="shared" si="12"/>
        <v>0.53249999999999997</v>
      </c>
      <c r="O109" s="633">
        <f t="shared" si="12"/>
        <v>0.46749999999999997</v>
      </c>
      <c r="P109" s="633">
        <f t="shared" si="12"/>
        <v>0.47499999999999998</v>
      </c>
      <c r="Q109" s="633">
        <f t="shared" si="12"/>
        <v>-2.7</v>
      </c>
      <c r="R109" s="633">
        <f t="shared" si="12"/>
        <v>0.46731643356643343</v>
      </c>
      <c r="S109" s="633">
        <f t="shared" si="12"/>
        <v>0.49416749916749908</v>
      </c>
      <c r="T109" s="633">
        <f t="shared" si="12"/>
        <v>0.53268356643356651</v>
      </c>
      <c r="U109" s="633">
        <f t="shared" si="12"/>
        <v>0.50583250083250075</v>
      </c>
      <c r="V109" s="633">
        <f t="shared" si="12"/>
        <v>0.52096459096459091</v>
      </c>
      <c r="W109" s="633">
        <f t="shared" si="12"/>
        <v>0.47903540903540903</v>
      </c>
      <c r="X109" s="633">
        <f t="shared" si="12"/>
        <v>0.54916736041736036</v>
      </c>
      <c r="Y109" s="633">
        <f t="shared" si="12"/>
        <v>0.45083263958263958</v>
      </c>
      <c r="Z109" s="633">
        <f t="shared" si="12"/>
        <v>0.48657446719946729</v>
      </c>
      <c r="AA109" s="633">
        <f t="shared" si="12"/>
        <v>0.47528596724801442</v>
      </c>
      <c r="AB109" s="633">
        <f t="shared" si="12"/>
        <v>-2.6851065601065611E-2</v>
      </c>
      <c r="AC109" s="633">
        <f t="shared" si="12"/>
        <v>0.49249999999999999</v>
      </c>
      <c r="AD109" s="633">
        <f t="shared" si="12"/>
        <v>0.50750000000000006</v>
      </c>
      <c r="AE109" s="633">
        <f t="shared" si="12"/>
        <v>0.48608071872340269</v>
      </c>
      <c r="AF109" s="659">
        <f t="shared" si="12"/>
        <v>-2.6378066139540877E-2</v>
      </c>
      <c r="AG109" s="633">
        <f t="shared" si="12"/>
        <v>-2.7476302079855762E-2</v>
      </c>
      <c r="AH109" s="659">
        <f t="shared" si="12"/>
        <v>0.95884230625554778</v>
      </c>
      <c r="AI109" s="659">
        <f t="shared" si="12"/>
        <v>0.97147852022272496</v>
      </c>
      <c r="AJ109" s="633">
        <f t="shared" si="12"/>
        <v>1.8895193958810688</v>
      </c>
      <c r="AK109" s="633">
        <f t="shared" si="12"/>
        <v>4.0801430597203855E-2</v>
      </c>
      <c r="AL109" s="633">
        <f t="shared" si="12"/>
        <v>4.1518017585480543E-2</v>
      </c>
      <c r="AM109" s="633">
        <v>0</v>
      </c>
      <c r="AN109" s="633">
        <v>1</v>
      </c>
      <c r="AO109" s="633">
        <v>0</v>
      </c>
      <c r="AP109" s="633">
        <v>0.5</v>
      </c>
      <c r="AQ109" s="633">
        <v>1</v>
      </c>
      <c r="AR109" s="633" t="s">
        <v>349</v>
      </c>
      <c r="AS109" s="633" t="s">
        <v>349</v>
      </c>
      <c r="AT109" s="738"/>
      <c r="AU109" s="738"/>
      <c r="AV109" s="738"/>
      <c r="AW109" s="654">
        <f t="shared" ref="AW109:BD109" si="13">AVERAGE(AW89:AW108)</f>
        <v>-4.9139834206574293E-2</v>
      </c>
      <c r="AX109" s="654">
        <f t="shared" si="13"/>
        <v>0.3400062772633291</v>
      </c>
      <c r="AY109" s="654">
        <f t="shared" si="13"/>
        <v>0.57909945359887938</v>
      </c>
      <c r="AZ109" s="654">
        <f t="shared" si="13"/>
        <v>0.2641581880147002</v>
      </c>
      <c r="BA109" s="670">
        <f t="shared" si="13"/>
        <v>6.8001255452665816</v>
      </c>
      <c r="BB109" s="654">
        <f>AVERAGE(BB89:BB108)</f>
        <v>1.372056974156207</v>
      </c>
      <c r="BC109" s="654">
        <f t="shared" si="13"/>
        <v>1.3822669720985501</v>
      </c>
      <c r="BD109" s="654">
        <f t="shared" si="13"/>
        <v>1.455017865366895</v>
      </c>
      <c r="BE109" s="654">
        <f>AVERAGE(BE89:BE108)</f>
        <v>0.64891082872231087</v>
      </c>
      <c r="BF109" s="691" t="s">
        <v>504</v>
      </c>
      <c r="BG109" s="654">
        <f>AVERAGE(BG89:BG108)</f>
        <v>0.50174925910116497</v>
      </c>
      <c r="BH109" s="654">
        <f>AVERAGE(BH89:BH108)</f>
        <v>0.50204748282967993</v>
      </c>
      <c r="BI109" s="654">
        <f>AVERAGE(BI89:BI108)</f>
        <v>0.9600559628971832</v>
      </c>
      <c r="BJ109" s="654">
        <f>AVERAGE(BJ89:BJ108)</f>
        <v>0.37131387409932276</v>
      </c>
      <c r="BK109" s="654">
        <f t="shared" ref="BK109:BO109" si="14">AVERAGE(BK89:BK108)</f>
        <v>1.1290579320728691</v>
      </c>
      <c r="BL109" s="654">
        <f t="shared" si="14"/>
        <v>1.0789820077956063</v>
      </c>
      <c r="BM109" s="654">
        <f t="shared" si="14"/>
        <v>0.82048062759187668</v>
      </c>
      <c r="BN109" s="654">
        <f t="shared" si="14"/>
        <v>22.581158641457375</v>
      </c>
      <c r="BO109" s="654">
        <f t="shared" si="14"/>
        <v>37.406160724420339</v>
      </c>
      <c r="BP109" s="691" t="s">
        <v>504</v>
      </c>
      <c r="BQ109" s="691" t="s">
        <v>504</v>
      </c>
      <c r="BR109" s="655">
        <f>AVERAGE(BR89:BR108)</f>
        <v>17.207213963722431</v>
      </c>
      <c r="BS109" s="691" t="s">
        <v>504</v>
      </c>
      <c r="BT109" s="691" t="s">
        <v>504</v>
      </c>
      <c r="BU109" s="691" t="s">
        <v>504</v>
      </c>
      <c r="BV109" s="654">
        <f t="shared" ref="BV109:BW109" si="15">AVERAGE(BV89:BV108)</f>
        <v>0.68408134219840089</v>
      </c>
      <c r="BW109" s="654">
        <f t="shared" si="15"/>
        <v>0.81273227130192682</v>
      </c>
      <c r="BX109" s="654">
        <f>AVERAGE(BX89:BX108)</f>
        <v>1.5998528718222511</v>
      </c>
    </row>
    <row r="110" spans="1:76" x14ac:dyDescent="0.2">
      <c r="A110" s="461">
        <v>1</v>
      </c>
      <c r="C110" s="461">
        <v>9</v>
      </c>
      <c r="D110" s="461">
        <v>2</v>
      </c>
      <c r="E110" s="461">
        <v>2</v>
      </c>
      <c r="F110" s="461">
        <v>7</v>
      </c>
      <c r="G110" s="461">
        <v>11</v>
      </c>
      <c r="H110" s="461">
        <v>9</v>
      </c>
      <c r="I110" s="461">
        <v>11</v>
      </c>
      <c r="J110" s="461">
        <v>9</v>
      </c>
      <c r="K110" s="461">
        <v>16</v>
      </c>
      <c r="L110" s="461">
        <v>4</v>
      </c>
      <c r="M110" s="461">
        <v>20</v>
      </c>
      <c r="N110" s="461">
        <v>0.55000000000000004</v>
      </c>
      <c r="O110" s="461">
        <v>0.45</v>
      </c>
      <c r="P110" s="461">
        <v>0.55000000000000004</v>
      </c>
      <c r="Q110" s="461">
        <v>59</v>
      </c>
      <c r="R110" s="461">
        <v>0.81818181818181823</v>
      </c>
      <c r="S110" s="461">
        <v>0.22222222222222221</v>
      </c>
      <c r="T110" s="461">
        <v>0.18181818181818182</v>
      </c>
      <c r="U110" s="461">
        <v>0.77777777777777779</v>
      </c>
      <c r="V110" s="461">
        <v>0.81818181818181823</v>
      </c>
      <c r="W110" s="461">
        <v>0.18181818181818182</v>
      </c>
      <c r="X110" s="461">
        <v>0.22222222222222221</v>
      </c>
      <c r="Y110" s="461">
        <v>0.77777777777777779</v>
      </c>
      <c r="Z110" s="461">
        <v>0.79797979797979801</v>
      </c>
      <c r="AA110" s="461">
        <v>0.79772403521746571</v>
      </c>
      <c r="AB110" s="461">
        <v>0.59595959595959602</v>
      </c>
      <c r="AC110" s="461">
        <v>0.8</v>
      </c>
      <c r="AD110" s="461">
        <v>0.2</v>
      </c>
      <c r="AE110" s="461">
        <v>0.81818181818181823</v>
      </c>
      <c r="AF110" s="488">
        <v>0.59595959595959591</v>
      </c>
      <c r="AG110" s="461">
        <v>0.59595959595959591</v>
      </c>
      <c r="AH110" s="488">
        <v>0.99277445398780839</v>
      </c>
      <c r="AI110" s="488">
        <v>0.99277445398780839</v>
      </c>
      <c r="AJ110" s="461">
        <v>1.7128876215181608</v>
      </c>
      <c r="AK110" s="461">
        <v>0.27266128645745619</v>
      </c>
      <c r="AL110" s="461">
        <v>0.27464575197540747</v>
      </c>
      <c r="AM110" s="461">
        <v>0</v>
      </c>
      <c r="AN110" s="461">
        <v>1</v>
      </c>
      <c r="AO110" s="461">
        <v>0</v>
      </c>
      <c r="AP110" s="461">
        <v>0.5</v>
      </c>
      <c r="AQ110" s="461">
        <v>1</v>
      </c>
      <c r="AR110" s="485" t="s">
        <v>349</v>
      </c>
      <c r="AS110" s="485" t="s">
        <v>349</v>
      </c>
      <c r="AT110" s="699" t="s">
        <v>536</v>
      </c>
      <c r="AU110" s="699" t="s">
        <v>545</v>
      </c>
      <c r="AV110" s="699" t="s">
        <v>535</v>
      </c>
      <c r="AW110" s="486">
        <v>-4.2466547270097341E-2</v>
      </c>
      <c r="AX110" s="486">
        <v>0.21414252746563847</v>
      </c>
      <c r="AY110" s="486">
        <v>0.4627553645995241</v>
      </c>
      <c r="AZ110" s="486">
        <v>9.6893900455906679E-2</v>
      </c>
      <c r="BA110" s="617">
        <v>4.2828505493127693</v>
      </c>
      <c r="BB110" s="486">
        <v>0.76714164917268479</v>
      </c>
      <c r="BC110" s="486">
        <v>0.82196121653477383</v>
      </c>
      <c r="BD110" s="486">
        <v>0.86522233319449871</v>
      </c>
      <c r="BE110" s="486">
        <v>0.38935004993752448</v>
      </c>
      <c r="BF110" s="661"/>
      <c r="BG110" s="486">
        <v>0.36209001126241508</v>
      </c>
      <c r="BH110" s="486">
        <v>0.31099488218853</v>
      </c>
      <c r="BI110" s="486">
        <v>0.97337581869269174</v>
      </c>
      <c r="BJ110" s="486">
        <v>0.24409163701172371</v>
      </c>
      <c r="BK110" s="486">
        <v>0.74007407270590875</v>
      </c>
      <c r="BL110" s="486">
        <v>0.62559175115515953</v>
      </c>
      <c r="BM110" s="486">
        <v>0.49559031102347056</v>
      </c>
      <c r="BN110" s="486">
        <v>14.801481454118175</v>
      </c>
      <c r="BO110" s="486">
        <v>17.623443414910891</v>
      </c>
      <c r="BP110" s="661"/>
      <c r="BQ110" s="661"/>
      <c r="BR110" s="619">
        <v>1.6976905636656494</v>
      </c>
      <c r="BS110" s="661"/>
      <c r="BT110" s="661"/>
      <c r="BU110" s="661"/>
      <c r="BV110" s="486">
        <v>0.59234269668162698</v>
      </c>
      <c r="BW110" s="617">
        <v>0.26826276791369924</v>
      </c>
      <c r="BX110" s="486">
        <v>1.554507250402422</v>
      </c>
    </row>
    <row r="111" spans="1:76" x14ac:dyDescent="0.2">
      <c r="A111" s="461">
        <v>2</v>
      </c>
      <c r="C111" s="461">
        <v>7</v>
      </c>
      <c r="D111" s="461">
        <v>0</v>
      </c>
      <c r="E111" s="461">
        <v>4</v>
      </c>
      <c r="F111" s="461">
        <v>9</v>
      </c>
      <c r="G111" s="461">
        <v>11</v>
      </c>
      <c r="H111" s="461">
        <v>9</v>
      </c>
      <c r="I111" s="461">
        <v>7</v>
      </c>
      <c r="J111" s="461">
        <v>13</v>
      </c>
      <c r="K111" s="461">
        <v>16</v>
      </c>
      <c r="L111" s="461">
        <v>4</v>
      </c>
      <c r="M111" s="461">
        <v>20</v>
      </c>
      <c r="N111" s="461">
        <v>0.55000000000000004</v>
      </c>
      <c r="O111" s="461">
        <v>0.45</v>
      </c>
      <c r="P111" s="461">
        <v>0.35</v>
      </c>
      <c r="Q111" s="461">
        <v>63</v>
      </c>
      <c r="R111" s="461">
        <v>0.63636363636363635</v>
      </c>
      <c r="S111" s="461">
        <v>0</v>
      </c>
      <c r="T111" s="461">
        <v>0.36363636363636365</v>
      </c>
      <c r="U111" s="461">
        <v>1</v>
      </c>
      <c r="V111" s="461">
        <v>1</v>
      </c>
      <c r="W111" s="461">
        <v>0</v>
      </c>
      <c r="X111" s="461">
        <v>0.30769230769230771</v>
      </c>
      <c r="Y111" s="461">
        <v>0.69230769230769229</v>
      </c>
      <c r="Z111" s="461">
        <v>0.81818181818181812</v>
      </c>
      <c r="AA111" s="461">
        <v>0.7977240352174656</v>
      </c>
      <c r="AB111" s="461">
        <v>0.63636363636363624</v>
      </c>
      <c r="AC111" s="461">
        <v>0.8</v>
      </c>
      <c r="AD111" s="461">
        <v>0.2</v>
      </c>
      <c r="AE111" s="461">
        <v>0.77777777777777779</v>
      </c>
      <c r="AF111" s="488">
        <v>0.61165048543689315</v>
      </c>
      <c r="AG111" s="461">
        <v>0.66374651830306475</v>
      </c>
      <c r="AH111" s="488">
        <v>0.99277445398780839</v>
      </c>
      <c r="AI111" s="488">
        <v>0.93406805537549098</v>
      </c>
      <c r="AJ111" s="461" t="e">
        <v>#NUM!</v>
      </c>
      <c r="AK111" s="461" t="e">
        <v>#NUM!</v>
      </c>
      <c r="AL111" s="461" t="e">
        <v>#NUM!</v>
      </c>
      <c r="AM111" s="461">
        <v>0</v>
      </c>
      <c r="AN111" s="461">
        <v>1</v>
      </c>
      <c r="AO111" s="461">
        <v>0</v>
      </c>
      <c r="AP111" s="461">
        <v>0.5</v>
      </c>
      <c r="AQ111" s="461">
        <v>1</v>
      </c>
      <c r="AR111" s="485" t="s">
        <v>349</v>
      </c>
      <c r="AS111" s="485" t="s">
        <v>349</v>
      </c>
      <c r="AT111" s="699" t="s">
        <v>546</v>
      </c>
      <c r="AU111" s="699" t="s">
        <v>541</v>
      </c>
      <c r="AV111" s="699" t="s">
        <v>516</v>
      </c>
      <c r="AW111" s="486">
        <v>-0.10037368864118215</v>
      </c>
      <c r="AX111" s="486">
        <v>0.19282392911296203</v>
      </c>
      <c r="AY111" s="486">
        <v>0.43911721568729462</v>
      </c>
      <c r="AZ111" s="486">
        <v>0.10536328422573285</v>
      </c>
      <c r="BA111" s="617">
        <v>3.8564785822592409</v>
      </c>
      <c r="BB111" s="486">
        <v>0.77973408843457304</v>
      </c>
      <c r="BC111" s="486">
        <v>0.74013225316086428</v>
      </c>
      <c r="BD111" s="486">
        <v>0.77908658227459393</v>
      </c>
      <c r="BE111" s="486">
        <v>0.35058896202356732</v>
      </c>
      <c r="BF111" s="661"/>
      <c r="BG111" s="486">
        <v>0.35712786065456764</v>
      </c>
      <c r="BH111" s="486">
        <v>0.32415985920438428</v>
      </c>
      <c r="BI111" s="486">
        <v>0.95502727034855506</v>
      </c>
      <c r="BJ111" s="486">
        <v>0.27052579228993745</v>
      </c>
      <c r="BK111" s="486">
        <v>0.74174793842158759</v>
      </c>
      <c r="BL111" s="486">
        <v>0.65146587658038158</v>
      </c>
      <c r="BM111" s="486">
        <v>0.54926077428208464</v>
      </c>
      <c r="BN111" s="486">
        <v>14.834958768431752</v>
      </c>
      <c r="BO111" s="486">
        <v>17.513554760518215</v>
      </c>
      <c r="BP111" s="661"/>
      <c r="BQ111" s="661"/>
      <c r="BR111" s="619">
        <v>2.1113229643879743</v>
      </c>
      <c r="BS111" s="661"/>
      <c r="BT111" s="661"/>
      <c r="BU111" s="661"/>
      <c r="BV111" s="486">
        <v>0.62483732660611691</v>
      </c>
      <c r="BW111" s="617">
        <v>0.95293035113943292</v>
      </c>
      <c r="BX111" s="486">
        <v>1.5814614782004031</v>
      </c>
    </row>
    <row r="112" spans="1:76" x14ac:dyDescent="0.2">
      <c r="A112" s="461">
        <v>3</v>
      </c>
      <c r="C112" s="461">
        <v>9</v>
      </c>
      <c r="D112" s="461">
        <v>1</v>
      </c>
      <c r="E112" s="461">
        <v>1</v>
      </c>
      <c r="F112" s="461">
        <v>9</v>
      </c>
      <c r="G112" s="461">
        <v>10</v>
      </c>
      <c r="H112" s="461">
        <v>10</v>
      </c>
      <c r="I112" s="461">
        <v>10</v>
      </c>
      <c r="J112" s="461">
        <v>10</v>
      </c>
      <c r="K112" s="461">
        <v>18</v>
      </c>
      <c r="L112" s="461">
        <v>2</v>
      </c>
      <c r="M112" s="461">
        <v>20</v>
      </c>
      <c r="N112" s="461">
        <v>0.5</v>
      </c>
      <c r="O112" s="461">
        <v>0.5</v>
      </c>
      <c r="P112" s="461">
        <v>0.5</v>
      </c>
      <c r="Q112" s="461">
        <v>80</v>
      </c>
      <c r="R112" s="461">
        <v>0.9</v>
      </c>
      <c r="S112" s="461">
        <v>0.1</v>
      </c>
      <c r="T112" s="461">
        <v>0.1</v>
      </c>
      <c r="U112" s="461">
        <v>0.9</v>
      </c>
      <c r="V112" s="461">
        <v>0.9</v>
      </c>
      <c r="W112" s="461">
        <v>0.1</v>
      </c>
      <c r="X112" s="461">
        <v>0.1</v>
      </c>
      <c r="Y112" s="461">
        <v>0.9</v>
      </c>
      <c r="Z112" s="461">
        <v>0.9</v>
      </c>
      <c r="AA112" s="461">
        <v>0.9</v>
      </c>
      <c r="AB112" s="461">
        <v>0.8</v>
      </c>
      <c r="AC112" s="461">
        <v>0.9</v>
      </c>
      <c r="AD112" s="461">
        <v>0.1</v>
      </c>
      <c r="AE112" s="461">
        <v>0.9</v>
      </c>
      <c r="AF112" s="488">
        <v>0.8</v>
      </c>
      <c r="AG112" s="461">
        <v>0.8</v>
      </c>
      <c r="AH112" s="488">
        <v>1</v>
      </c>
      <c r="AI112" s="488">
        <v>1</v>
      </c>
      <c r="AJ112" s="461">
        <v>1.4689955935892813</v>
      </c>
      <c r="AK112" s="461">
        <v>0.53100440641071889</v>
      </c>
      <c r="AL112" s="461">
        <v>0.53100440641071889</v>
      </c>
      <c r="AM112" s="461">
        <v>0</v>
      </c>
      <c r="AN112" s="461">
        <v>1</v>
      </c>
      <c r="AO112" s="461">
        <v>0</v>
      </c>
      <c r="AP112" s="461">
        <v>0.5</v>
      </c>
      <c r="AQ112" s="461">
        <v>1</v>
      </c>
      <c r="AR112" s="485" t="s">
        <v>349</v>
      </c>
      <c r="AS112" s="485" t="s">
        <v>349</v>
      </c>
      <c r="AT112" s="699" t="s">
        <v>523</v>
      </c>
      <c r="AU112" s="699" t="s">
        <v>547</v>
      </c>
      <c r="AV112" s="699" t="s">
        <v>535</v>
      </c>
      <c r="AW112" s="486">
        <v>-5.7652297636248573E-2</v>
      </c>
      <c r="AX112" s="486">
        <v>0.11644064054830409</v>
      </c>
      <c r="AY112" s="486">
        <v>0.34123399676512906</v>
      </c>
      <c r="AZ112" s="486">
        <v>8.4395553933210701E-2</v>
      </c>
      <c r="BA112" s="617">
        <v>2.3288128109660819</v>
      </c>
      <c r="BB112" s="486">
        <v>0.52646657788018802</v>
      </c>
      <c r="BC112" s="486">
        <v>0.44247443408355558</v>
      </c>
      <c r="BD112" s="486">
        <v>0.46576256219321638</v>
      </c>
      <c r="BE112" s="486">
        <v>0.23288128109660819</v>
      </c>
      <c r="BF112" s="661"/>
      <c r="BG112" s="486">
        <v>0.29931229307303286</v>
      </c>
      <c r="BH112" s="486">
        <v>0.29039151190108303</v>
      </c>
      <c r="BI112" s="486">
        <v>0.67138214120114537</v>
      </c>
      <c r="BJ112" s="486">
        <v>0.24531012729727192</v>
      </c>
      <c r="BK112" s="486">
        <v>0.59862458614606573</v>
      </c>
      <c r="BL112" s="486">
        <v>0.58078302380216607</v>
      </c>
      <c r="BM112" s="486">
        <v>0.49062025459454384</v>
      </c>
      <c r="BN112" s="486">
        <v>11.972491722921314</v>
      </c>
      <c r="BO112" s="486">
        <v>9.3152512438643278</v>
      </c>
      <c r="BP112" s="661"/>
      <c r="BQ112" s="661"/>
      <c r="BR112" s="619">
        <v>0.84262767974962571</v>
      </c>
      <c r="BS112" s="661"/>
      <c r="BT112" s="661"/>
      <c r="BU112" s="661"/>
      <c r="BV112" s="486">
        <v>0.6150666959622948</v>
      </c>
      <c r="BW112" s="617">
        <v>0.64434901336436456</v>
      </c>
      <c r="BX112" s="486">
        <v>1.5322021179047105</v>
      </c>
    </row>
    <row r="113" spans="1:76" x14ac:dyDescent="0.2">
      <c r="A113" s="461">
        <v>4</v>
      </c>
      <c r="C113" s="461">
        <v>8</v>
      </c>
      <c r="D113" s="461">
        <v>1</v>
      </c>
      <c r="E113" s="461">
        <v>1</v>
      </c>
      <c r="F113" s="461">
        <v>10</v>
      </c>
      <c r="G113" s="461">
        <v>9</v>
      </c>
      <c r="H113" s="461">
        <v>11</v>
      </c>
      <c r="I113" s="461">
        <v>9</v>
      </c>
      <c r="J113" s="461">
        <v>11</v>
      </c>
      <c r="K113" s="461">
        <v>18</v>
      </c>
      <c r="L113" s="461">
        <v>2</v>
      </c>
      <c r="M113" s="461">
        <v>20</v>
      </c>
      <c r="N113" s="461">
        <v>0.45</v>
      </c>
      <c r="O113" s="461">
        <v>0.55000000000000004</v>
      </c>
      <c r="P113" s="461">
        <v>0.45</v>
      </c>
      <c r="Q113" s="461">
        <v>79</v>
      </c>
      <c r="R113" s="461">
        <v>0.88888888888888884</v>
      </c>
      <c r="S113" s="461">
        <v>9.0909090909090912E-2</v>
      </c>
      <c r="T113" s="461">
        <v>0.1111111111111111</v>
      </c>
      <c r="U113" s="461">
        <v>0.90909090909090906</v>
      </c>
      <c r="V113" s="461">
        <v>0.88888888888888884</v>
      </c>
      <c r="W113" s="461">
        <v>0.1111111111111111</v>
      </c>
      <c r="X113" s="461">
        <v>9.0909090909090912E-2</v>
      </c>
      <c r="Y113" s="461">
        <v>0.90909090909090906</v>
      </c>
      <c r="Z113" s="461">
        <v>0.89898989898989901</v>
      </c>
      <c r="AA113" s="461">
        <v>0.89893314995098939</v>
      </c>
      <c r="AB113" s="461">
        <v>0.79797979797979801</v>
      </c>
      <c r="AC113" s="461">
        <v>0.9</v>
      </c>
      <c r="AD113" s="461">
        <v>0.1</v>
      </c>
      <c r="AE113" s="461">
        <v>0.88888888888888884</v>
      </c>
      <c r="AF113" s="488">
        <v>0.79797979797979801</v>
      </c>
      <c r="AG113" s="461">
        <v>0.79797979797979801</v>
      </c>
      <c r="AH113" s="488">
        <v>0.99277445398780839</v>
      </c>
      <c r="AI113" s="488">
        <v>0.99277445398780839</v>
      </c>
      <c r="AJ113" s="461">
        <v>1.4609640474436811</v>
      </c>
      <c r="AK113" s="461">
        <v>0.52458486053193543</v>
      </c>
      <c r="AL113" s="461">
        <v>0.52840285970772727</v>
      </c>
      <c r="AM113" s="461">
        <v>0</v>
      </c>
      <c r="AN113" s="461">
        <v>1</v>
      </c>
      <c r="AO113" s="461">
        <v>0</v>
      </c>
      <c r="AP113" s="461">
        <v>0.5</v>
      </c>
      <c r="AQ113" s="461">
        <v>1</v>
      </c>
      <c r="AR113" s="485" t="s">
        <v>349</v>
      </c>
      <c r="AS113" s="485" t="s">
        <v>349</v>
      </c>
      <c r="AT113" s="699" t="s">
        <v>517</v>
      </c>
      <c r="AU113" s="699" t="s">
        <v>518</v>
      </c>
      <c r="AV113" s="699" t="s">
        <v>548</v>
      </c>
      <c r="AW113" s="486">
        <v>2.405664001012988E-2</v>
      </c>
      <c r="AX113" s="486">
        <v>0.15275790713897958</v>
      </c>
      <c r="AY113" s="486">
        <v>0.3908425605521737</v>
      </c>
      <c r="AZ113" s="486">
        <v>0.15574328166997203</v>
      </c>
      <c r="BA113" s="617">
        <v>3.0551581427795913</v>
      </c>
      <c r="BB113" s="486">
        <v>0.71607902350475505</v>
      </c>
      <c r="BC113" s="486">
        <v>0.58634348194759833</v>
      </c>
      <c r="BD113" s="486">
        <v>0.61720366520799819</v>
      </c>
      <c r="BE113" s="486">
        <v>0.33946201586439906</v>
      </c>
      <c r="BF113" s="661"/>
      <c r="BG113" s="486">
        <v>0.35695457356993521</v>
      </c>
      <c r="BH113" s="486">
        <v>0.39461331736472827</v>
      </c>
      <c r="BI113" s="486">
        <v>0.73429857599060844</v>
      </c>
      <c r="BJ113" s="486">
        <v>0.3077775182901526</v>
      </c>
      <c r="BK113" s="486">
        <v>0.72598027792110742</v>
      </c>
      <c r="BL113" s="486">
        <v>0.78619884369930193</v>
      </c>
      <c r="BM113" s="486">
        <v>0.62489464154858587</v>
      </c>
      <c r="BN113" s="486">
        <v>14.519605558422148</v>
      </c>
      <c r="BO113" s="486">
        <v>12.787128965015944</v>
      </c>
      <c r="BP113" s="661"/>
      <c r="BQ113" s="661"/>
      <c r="BR113" s="619">
        <v>0.84847951389070908</v>
      </c>
      <c r="BS113" s="661"/>
      <c r="BT113" s="661"/>
      <c r="BU113" s="661"/>
      <c r="BV113" s="486">
        <v>0.65607818055071543</v>
      </c>
      <c r="BW113" s="617">
        <v>0.93312296982866849</v>
      </c>
      <c r="BX113" s="486">
        <v>1.3068514945259686</v>
      </c>
    </row>
    <row r="114" spans="1:76" x14ac:dyDescent="0.2">
      <c r="A114" s="461">
        <v>5</v>
      </c>
      <c r="C114" s="461">
        <v>8</v>
      </c>
      <c r="D114" s="461">
        <v>2</v>
      </c>
      <c r="E114" s="461">
        <v>4</v>
      </c>
      <c r="F114" s="461">
        <v>6</v>
      </c>
      <c r="G114" s="461">
        <v>12</v>
      </c>
      <c r="H114" s="461">
        <v>8</v>
      </c>
      <c r="I114" s="461">
        <v>10</v>
      </c>
      <c r="J114" s="461">
        <v>10</v>
      </c>
      <c r="K114" s="461">
        <v>14</v>
      </c>
      <c r="L114" s="461">
        <v>6</v>
      </c>
      <c r="M114" s="461">
        <v>20</v>
      </c>
      <c r="N114" s="461">
        <v>0.6</v>
      </c>
      <c r="O114" s="461">
        <v>0.4</v>
      </c>
      <c r="P114" s="461">
        <v>0.5</v>
      </c>
      <c r="Q114" s="461">
        <v>40</v>
      </c>
      <c r="R114" s="461">
        <v>0.66666666666666663</v>
      </c>
      <c r="S114" s="461">
        <v>0.25</v>
      </c>
      <c r="T114" s="461">
        <v>0.33333333333333331</v>
      </c>
      <c r="U114" s="461">
        <v>0.75</v>
      </c>
      <c r="V114" s="461">
        <v>0.8</v>
      </c>
      <c r="W114" s="461">
        <v>0.2</v>
      </c>
      <c r="X114" s="461">
        <v>0.4</v>
      </c>
      <c r="Y114" s="461">
        <v>0.6</v>
      </c>
      <c r="Z114" s="461">
        <v>0.70833333333333326</v>
      </c>
      <c r="AA114" s="461">
        <v>0.70710678118654757</v>
      </c>
      <c r="AB114" s="461">
        <v>0.41666666666666652</v>
      </c>
      <c r="AC114" s="461">
        <v>0.7</v>
      </c>
      <c r="AD114" s="461">
        <v>0.3</v>
      </c>
      <c r="AE114" s="461">
        <v>0.72727272727272718</v>
      </c>
      <c r="AF114" s="488">
        <v>0.4</v>
      </c>
      <c r="AG114" s="461">
        <v>0.40824829046386302</v>
      </c>
      <c r="AH114" s="488">
        <v>0.97095059445466858</v>
      </c>
      <c r="AI114" s="488">
        <v>1</v>
      </c>
      <c r="AJ114" s="461">
        <v>1.8464393446710154</v>
      </c>
      <c r="AK114" s="461">
        <v>0.12451124978365315</v>
      </c>
      <c r="AL114" s="461">
        <v>0.12634639359704852</v>
      </c>
      <c r="AM114" s="461">
        <v>0</v>
      </c>
      <c r="AN114" s="461">
        <v>1</v>
      </c>
      <c r="AO114" s="461">
        <v>0</v>
      </c>
      <c r="AP114" s="461">
        <v>0.5</v>
      </c>
      <c r="AQ114" s="461">
        <v>1</v>
      </c>
      <c r="AR114" s="485" t="s">
        <v>349</v>
      </c>
      <c r="AS114" s="485" t="s">
        <v>349</v>
      </c>
      <c r="AT114" s="699" t="s">
        <v>508</v>
      </c>
      <c r="AU114" s="699" t="s">
        <v>521</v>
      </c>
      <c r="AV114" s="699" t="s">
        <v>510</v>
      </c>
      <c r="AW114" s="486">
        <v>-0.13422738643481821</v>
      </c>
      <c r="AX114" s="486">
        <v>0.26030404174966293</v>
      </c>
      <c r="AY114" s="486">
        <v>0.51020000171468338</v>
      </c>
      <c r="AZ114" s="486">
        <v>0.21775580513547232</v>
      </c>
      <c r="BA114" s="617">
        <v>5.2060808349932586</v>
      </c>
      <c r="BB114" s="486">
        <v>0.93144177426408203</v>
      </c>
      <c r="BC114" s="486">
        <v>1.0303701652590824</v>
      </c>
      <c r="BD114" s="486">
        <v>1.0846001739569286</v>
      </c>
      <c r="BE114" s="486">
        <v>0.43384006958277155</v>
      </c>
      <c r="BF114" s="661"/>
      <c r="BG114" s="486">
        <v>0.44224853176936951</v>
      </c>
      <c r="BH114" s="486">
        <v>0.46628502082373702</v>
      </c>
      <c r="BI114" s="486">
        <v>0.92196900701009143</v>
      </c>
      <c r="BJ114" s="486">
        <v>0.36213435670131289</v>
      </c>
      <c r="BK114" s="486">
        <v>0.97727918553402726</v>
      </c>
      <c r="BL114" s="486">
        <v>0.84589589238989804</v>
      </c>
      <c r="BM114" s="486">
        <v>0.76979171842535676</v>
      </c>
      <c r="BN114" s="486">
        <v>19.545583710680546</v>
      </c>
      <c r="BO114" s="486">
        <v>26.479838561373274</v>
      </c>
      <c r="BP114" s="661"/>
      <c r="BQ114" s="661"/>
      <c r="BR114" s="619">
        <v>1.6866946128129059</v>
      </c>
      <c r="BS114" s="661"/>
      <c r="BT114" s="661"/>
      <c r="BU114" s="661"/>
      <c r="BV114" s="486">
        <v>0.6119193236026933</v>
      </c>
      <c r="BW114" s="617">
        <v>0.42375322180305902</v>
      </c>
      <c r="BX114" s="486">
        <v>1.4286526729363795</v>
      </c>
    </row>
    <row r="115" spans="1:76" x14ac:dyDescent="0.2">
      <c r="A115" s="461">
        <v>6</v>
      </c>
      <c r="C115" s="461">
        <v>5</v>
      </c>
      <c r="D115" s="461">
        <v>2</v>
      </c>
      <c r="E115" s="461">
        <v>5</v>
      </c>
      <c r="F115" s="461">
        <v>8</v>
      </c>
      <c r="G115" s="461">
        <v>10</v>
      </c>
      <c r="H115" s="461">
        <v>10</v>
      </c>
      <c r="I115" s="461">
        <v>7</v>
      </c>
      <c r="J115" s="461">
        <v>13</v>
      </c>
      <c r="K115" s="461">
        <v>13</v>
      </c>
      <c r="L115" s="461">
        <v>7</v>
      </c>
      <c r="M115" s="461">
        <v>20</v>
      </c>
      <c r="N115" s="461">
        <v>0.5</v>
      </c>
      <c r="O115" s="461">
        <v>0.5</v>
      </c>
      <c r="P115" s="461">
        <v>0.35</v>
      </c>
      <c r="Q115" s="461">
        <v>30</v>
      </c>
      <c r="R115" s="461">
        <v>0.5</v>
      </c>
      <c r="S115" s="461">
        <v>0.2</v>
      </c>
      <c r="T115" s="461">
        <v>0.5</v>
      </c>
      <c r="U115" s="461">
        <v>0.8</v>
      </c>
      <c r="V115" s="461">
        <v>0.7142857142857143</v>
      </c>
      <c r="W115" s="461">
        <v>0.2857142857142857</v>
      </c>
      <c r="X115" s="461">
        <v>0.38461538461538464</v>
      </c>
      <c r="Y115" s="461">
        <v>0.61538461538461542</v>
      </c>
      <c r="Z115" s="461">
        <v>0.65</v>
      </c>
      <c r="AA115" s="461">
        <v>0.63245553203367588</v>
      </c>
      <c r="AB115" s="461">
        <v>0.30000000000000004</v>
      </c>
      <c r="AC115" s="461">
        <v>0.65</v>
      </c>
      <c r="AD115" s="461">
        <v>0.35</v>
      </c>
      <c r="AE115" s="461">
        <v>0.58823529411764697</v>
      </c>
      <c r="AF115" s="488">
        <v>0.3</v>
      </c>
      <c r="AG115" s="461">
        <v>0.31448545101657549</v>
      </c>
      <c r="AH115" s="488">
        <v>1</v>
      </c>
      <c r="AI115" s="488">
        <v>0.93406805537549098</v>
      </c>
      <c r="AJ115" s="461">
        <v>1.860964047443681</v>
      </c>
      <c r="AK115" s="461">
        <v>7.3104007931809864E-2</v>
      </c>
      <c r="AL115" s="461">
        <v>7.559610710556619E-2</v>
      </c>
      <c r="AM115" s="461">
        <v>0</v>
      </c>
      <c r="AN115" s="461">
        <v>1</v>
      </c>
      <c r="AO115" s="461">
        <v>0</v>
      </c>
      <c r="AP115" s="461">
        <v>0.5</v>
      </c>
      <c r="AQ115" s="461">
        <v>1</v>
      </c>
      <c r="AR115" s="485" t="s">
        <v>349</v>
      </c>
      <c r="AS115" s="485" t="s">
        <v>349</v>
      </c>
      <c r="AT115" s="699" t="s">
        <v>520</v>
      </c>
      <c r="AU115" s="699" t="s">
        <v>541</v>
      </c>
      <c r="AV115" s="699" t="s">
        <v>528</v>
      </c>
      <c r="AW115" s="486">
        <v>-4.0478842448382957E-2</v>
      </c>
      <c r="AX115" s="486">
        <v>0.24457332094823009</v>
      </c>
      <c r="AY115" s="486">
        <v>0.49454354808068224</v>
      </c>
      <c r="AZ115" s="486">
        <v>0.1209700755888802</v>
      </c>
      <c r="BA115" s="617">
        <v>4.891466418964602</v>
      </c>
      <c r="BB115" s="486">
        <v>1.0644703379985618</v>
      </c>
      <c r="BC115" s="486">
        <v>0.92937861960327439</v>
      </c>
      <c r="BD115" s="486">
        <v>0.97829328379292035</v>
      </c>
      <c r="BE115" s="486">
        <v>0.48914664189646018</v>
      </c>
      <c r="BF115" s="661"/>
      <c r="BG115" s="486">
        <v>0.42252445517852288</v>
      </c>
      <c r="BH115" s="486">
        <v>0.34780170130353771</v>
      </c>
      <c r="BI115" s="486">
        <v>0.96793312510815577</v>
      </c>
      <c r="BJ115" s="486">
        <v>0.30810559778382818</v>
      </c>
      <c r="BK115" s="486">
        <v>0.84504891035704577</v>
      </c>
      <c r="BL115" s="486">
        <v>0.69560340260707543</v>
      </c>
      <c r="BM115" s="486">
        <v>0.61621119556765636</v>
      </c>
      <c r="BN115" s="486">
        <v>16.900978207140916</v>
      </c>
      <c r="BO115" s="486">
        <v>19.565865675858408</v>
      </c>
      <c r="BP115" s="661"/>
      <c r="BQ115" s="661"/>
      <c r="BR115" s="619">
        <v>2.5363706667214649</v>
      </c>
      <c r="BS115" s="661"/>
      <c r="BT115" s="661"/>
      <c r="BU115" s="661"/>
      <c r="BV115" s="486">
        <v>0.67663112639442013</v>
      </c>
      <c r="BW115" s="617">
        <v>0.70587868739133752</v>
      </c>
      <c r="BX115" s="486">
        <v>1.4593953202143464</v>
      </c>
    </row>
    <row r="116" spans="1:76" x14ac:dyDescent="0.2">
      <c r="A116" s="461">
        <v>7</v>
      </c>
      <c r="C116" s="461">
        <v>11</v>
      </c>
      <c r="D116" s="461">
        <v>2</v>
      </c>
      <c r="E116" s="461">
        <v>2</v>
      </c>
      <c r="F116" s="461">
        <v>5</v>
      </c>
      <c r="G116" s="461">
        <v>13</v>
      </c>
      <c r="H116" s="461">
        <v>7</v>
      </c>
      <c r="I116" s="461">
        <v>13</v>
      </c>
      <c r="J116" s="461">
        <v>7</v>
      </c>
      <c r="K116" s="461">
        <v>16</v>
      </c>
      <c r="L116" s="461">
        <v>4</v>
      </c>
      <c r="M116" s="461">
        <v>20</v>
      </c>
      <c r="N116" s="461">
        <v>0.65</v>
      </c>
      <c r="O116" s="461">
        <v>0.35</v>
      </c>
      <c r="P116" s="461">
        <v>0.65</v>
      </c>
      <c r="Q116" s="461">
        <v>51</v>
      </c>
      <c r="R116" s="461">
        <v>0.84615384615384615</v>
      </c>
      <c r="S116" s="461">
        <v>0.2857142857142857</v>
      </c>
      <c r="T116" s="461">
        <v>0.15384615384615385</v>
      </c>
      <c r="U116" s="461">
        <v>0.7142857142857143</v>
      </c>
      <c r="V116" s="461">
        <v>0.84615384615384615</v>
      </c>
      <c r="W116" s="461">
        <v>0.15384615384615385</v>
      </c>
      <c r="X116" s="461">
        <v>0.2857142857142857</v>
      </c>
      <c r="Y116" s="461">
        <v>0.7142857142857143</v>
      </c>
      <c r="Z116" s="461">
        <v>0.78021978021978022</v>
      </c>
      <c r="AA116" s="461">
        <v>0.77742884201424145</v>
      </c>
      <c r="AB116" s="461">
        <v>0.56043956043956045</v>
      </c>
      <c r="AC116" s="461">
        <v>0.8</v>
      </c>
      <c r="AD116" s="461">
        <v>0.2</v>
      </c>
      <c r="AE116" s="461">
        <v>0.84615384615384615</v>
      </c>
      <c r="AF116" s="488">
        <v>0.56043956043956045</v>
      </c>
      <c r="AG116" s="461">
        <v>0.56043956043956045</v>
      </c>
      <c r="AH116" s="488">
        <v>0.93406805537549098</v>
      </c>
      <c r="AI116" s="488">
        <v>0.93406805537549098</v>
      </c>
      <c r="AJ116" s="461">
        <v>1.6387586809150083</v>
      </c>
      <c r="AK116" s="461">
        <v>0.22937742983597392</v>
      </c>
      <c r="AL116" s="461">
        <v>0.24556822012692134</v>
      </c>
      <c r="AM116" s="461">
        <v>0</v>
      </c>
      <c r="AN116" s="461">
        <v>1</v>
      </c>
      <c r="AO116" s="461">
        <v>0</v>
      </c>
      <c r="AP116" s="461">
        <v>0.5</v>
      </c>
      <c r="AQ116" s="461">
        <v>1</v>
      </c>
      <c r="AR116" s="485" t="s">
        <v>349</v>
      </c>
      <c r="AS116" s="485" t="s">
        <v>349</v>
      </c>
      <c r="AT116" s="699" t="s">
        <v>538</v>
      </c>
      <c r="AU116" s="699" t="s">
        <v>549</v>
      </c>
      <c r="AV116" s="699" t="s">
        <v>550</v>
      </c>
      <c r="AW116" s="486">
        <v>-9.1962285525304763E-2</v>
      </c>
      <c r="AX116" s="486">
        <v>0.18756401975044307</v>
      </c>
      <c r="AY116" s="486">
        <v>0.4330866192235025</v>
      </c>
      <c r="AZ116" s="486">
        <v>0.12408727376304274</v>
      </c>
      <c r="BA116" s="617">
        <v>3.7512803950088611</v>
      </c>
      <c r="BB116" s="486">
        <v>0.51709772099710327</v>
      </c>
      <c r="BC116" s="486">
        <v>0.78323436818866321</v>
      </c>
      <c r="BD116" s="486">
        <v>0.82445722967227708</v>
      </c>
      <c r="BE116" s="486">
        <v>0.28856003038529704</v>
      </c>
      <c r="BF116" s="661"/>
      <c r="BG116" s="486">
        <v>0.36297061593778701</v>
      </c>
      <c r="BH116" s="486">
        <v>0.35223208244594062</v>
      </c>
      <c r="BI116" s="486">
        <v>0.90631987386316049</v>
      </c>
      <c r="BJ116" s="486">
        <v>0.25928148217310049</v>
      </c>
      <c r="BK116" s="486">
        <v>0.85837209141841453</v>
      </c>
      <c r="BL116" s="486">
        <v>0.77843111657569741</v>
      </c>
      <c r="BM116" s="486">
        <v>0.59649608418812228</v>
      </c>
      <c r="BN116" s="486">
        <v>17.16744182836829</v>
      </c>
      <c r="BO116" s="486">
        <v>22.657244697152841</v>
      </c>
      <c r="BP116" s="661"/>
      <c r="BQ116" s="661"/>
      <c r="BR116" s="619">
        <v>1.2236543267801718</v>
      </c>
      <c r="BS116" s="661"/>
      <c r="BT116" s="661"/>
      <c r="BU116" s="661"/>
      <c r="BV116" s="486">
        <v>0.50933850906994149</v>
      </c>
      <c r="BW116" s="617">
        <v>0.65085326997754733</v>
      </c>
      <c r="BX116" s="486">
        <v>1.1800432641659468</v>
      </c>
    </row>
    <row r="117" spans="1:76" x14ac:dyDescent="0.2">
      <c r="A117" s="461">
        <v>8</v>
      </c>
      <c r="C117" s="461">
        <v>7</v>
      </c>
      <c r="D117" s="461">
        <v>3</v>
      </c>
      <c r="E117" s="461">
        <v>1</v>
      </c>
      <c r="F117" s="461">
        <v>9</v>
      </c>
      <c r="G117" s="461">
        <v>8</v>
      </c>
      <c r="H117" s="461">
        <v>12</v>
      </c>
      <c r="I117" s="461">
        <v>10</v>
      </c>
      <c r="J117" s="461">
        <v>10</v>
      </c>
      <c r="K117" s="461">
        <v>16</v>
      </c>
      <c r="L117" s="461">
        <v>4</v>
      </c>
      <c r="M117" s="461">
        <v>20</v>
      </c>
      <c r="N117" s="461">
        <v>0.4</v>
      </c>
      <c r="O117" s="461">
        <v>0.6</v>
      </c>
      <c r="P117" s="461">
        <v>0.5</v>
      </c>
      <c r="Q117" s="461">
        <v>60</v>
      </c>
      <c r="R117" s="461">
        <v>0.875</v>
      </c>
      <c r="S117" s="461">
        <v>0.25</v>
      </c>
      <c r="T117" s="461">
        <v>0.125</v>
      </c>
      <c r="U117" s="461">
        <v>0.75</v>
      </c>
      <c r="V117" s="461">
        <v>0.7</v>
      </c>
      <c r="W117" s="461">
        <v>0.3</v>
      </c>
      <c r="X117" s="461">
        <v>0.1</v>
      </c>
      <c r="Y117" s="461">
        <v>0.9</v>
      </c>
      <c r="Z117" s="461">
        <v>0.8125</v>
      </c>
      <c r="AA117" s="461">
        <v>0.81009258730098255</v>
      </c>
      <c r="AB117" s="461">
        <v>0.625</v>
      </c>
      <c r="AC117" s="461">
        <v>0.8</v>
      </c>
      <c r="AD117" s="461">
        <v>0.2</v>
      </c>
      <c r="AE117" s="461">
        <v>0.77777777777777768</v>
      </c>
      <c r="AF117" s="488">
        <v>0.6</v>
      </c>
      <c r="AG117" s="461">
        <v>0.61237243569579458</v>
      </c>
      <c r="AH117" s="488">
        <v>0.97095059445466858</v>
      </c>
      <c r="AI117" s="488">
        <v>1</v>
      </c>
      <c r="AJ117" s="461">
        <v>1.6751432464099871</v>
      </c>
      <c r="AK117" s="461">
        <v>0.29580734804468167</v>
      </c>
      <c r="AL117" s="461">
        <v>0.30016718722117636</v>
      </c>
      <c r="AM117" s="461">
        <v>0</v>
      </c>
      <c r="AN117" s="461">
        <v>1</v>
      </c>
      <c r="AO117" s="461">
        <v>0</v>
      </c>
      <c r="AP117" s="461">
        <v>0.5</v>
      </c>
      <c r="AQ117" s="461">
        <v>1</v>
      </c>
      <c r="AR117" s="485" t="s">
        <v>349</v>
      </c>
      <c r="AS117" s="485" t="s">
        <v>349</v>
      </c>
      <c r="AT117" s="699" t="s">
        <v>551</v>
      </c>
      <c r="AU117" s="699" t="s">
        <v>547</v>
      </c>
      <c r="AV117" s="699" t="s">
        <v>552</v>
      </c>
      <c r="AW117" s="486">
        <v>4.0480113744487137E-2</v>
      </c>
      <c r="AX117" s="486">
        <v>0.14780572081008114</v>
      </c>
      <c r="AY117" s="486">
        <v>0.38445509596060906</v>
      </c>
      <c r="AZ117" s="486">
        <v>8.7903560951688844E-2</v>
      </c>
      <c r="BA117" s="617">
        <v>2.9561144162016229</v>
      </c>
      <c r="BB117" s="486">
        <v>0.83888986243667285</v>
      </c>
      <c r="BC117" s="486">
        <v>0.58506431153990446</v>
      </c>
      <c r="BD117" s="486">
        <v>0.61585717004200469</v>
      </c>
      <c r="BE117" s="486">
        <v>0.36951430202520286</v>
      </c>
      <c r="BF117" s="661"/>
      <c r="BG117" s="486">
        <v>0.34239359532958485</v>
      </c>
      <c r="BH117" s="486">
        <v>0.29627260477215916</v>
      </c>
      <c r="BI117" s="486">
        <v>0.70662040080160937</v>
      </c>
      <c r="BJ117" s="486">
        <v>0.29071069977648439</v>
      </c>
      <c r="BK117" s="486">
        <v>0.73018670433017152</v>
      </c>
      <c r="BL117" s="486">
        <v>0.66588513165935881</v>
      </c>
      <c r="BM117" s="486">
        <v>0.61796591514832799</v>
      </c>
      <c r="BN117" s="486">
        <v>14.60373408660343</v>
      </c>
      <c r="BO117" s="486">
        <v>14.227652302326472</v>
      </c>
      <c r="BP117" s="661"/>
      <c r="BQ117" s="661"/>
      <c r="BR117" s="619">
        <v>0.86086198192278673</v>
      </c>
      <c r="BS117" s="661"/>
      <c r="BT117" s="661"/>
      <c r="BU117" s="661"/>
      <c r="BV117" s="486">
        <v>0.69501818723814268</v>
      </c>
      <c r="BW117" s="617">
        <v>1</v>
      </c>
      <c r="BX117" s="486">
        <v>1.4786537682102618</v>
      </c>
    </row>
    <row r="118" spans="1:76" x14ac:dyDescent="0.2">
      <c r="A118" s="461">
        <v>9</v>
      </c>
      <c r="C118" s="461">
        <v>5</v>
      </c>
      <c r="D118" s="461">
        <v>3</v>
      </c>
      <c r="E118" s="461">
        <v>2</v>
      </c>
      <c r="F118" s="461">
        <v>10</v>
      </c>
      <c r="G118" s="461">
        <v>7</v>
      </c>
      <c r="H118" s="461">
        <v>13</v>
      </c>
      <c r="I118" s="461">
        <v>8</v>
      </c>
      <c r="J118" s="461">
        <v>12</v>
      </c>
      <c r="K118" s="461">
        <v>15</v>
      </c>
      <c r="L118" s="461">
        <v>5</v>
      </c>
      <c r="M118" s="461">
        <v>20</v>
      </c>
      <c r="N118" s="461">
        <v>0.35</v>
      </c>
      <c r="O118" s="461">
        <v>0.65</v>
      </c>
      <c r="P118" s="461">
        <v>0.4</v>
      </c>
      <c r="Q118" s="461">
        <v>44</v>
      </c>
      <c r="R118" s="461">
        <v>0.7142857142857143</v>
      </c>
      <c r="S118" s="461">
        <v>0.23076923076923078</v>
      </c>
      <c r="T118" s="461">
        <v>0.2857142857142857</v>
      </c>
      <c r="U118" s="461">
        <v>0.76923076923076927</v>
      </c>
      <c r="V118" s="461">
        <v>0.625</v>
      </c>
      <c r="W118" s="461">
        <v>0.375</v>
      </c>
      <c r="X118" s="461">
        <v>0.16666666666666666</v>
      </c>
      <c r="Y118" s="461">
        <v>0.83333333333333337</v>
      </c>
      <c r="Z118" s="461">
        <v>0.74175824175824179</v>
      </c>
      <c r="AA118" s="461">
        <v>0.74124931666110117</v>
      </c>
      <c r="AB118" s="461">
        <v>0.48351648351648358</v>
      </c>
      <c r="AC118" s="461">
        <v>0.75</v>
      </c>
      <c r="AD118" s="461">
        <v>0.25</v>
      </c>
      <c r="AE118" s="461">
        <v>0.66666666666666663</v>
      </c>
      <c r="AF118" s="488">
        <v>0.46808510638297873</v>
      </c>
      <c r="AG118" s="461">
        <v>0.47075654176200415</v>
      </c>
      <c r="AH118" s="488">
        <v>0.93406805537549098</v>
      </c>
      <c r="AI118" s="488">
        <v>0.97095059445466858</v>
      </c>
      <c r="AJ118" s="461">
        <v>1.7427376486136672</v>
      </c>
      <c r="AK118" s="461">
        <v>0.16228100121649244</v>
      </c>
      <c r="AL118" s="461">
        <v>0.17037208662598707</v>
      </c>
      <c r="AM118" s="461">
        <v>0</v>
      </c>
      <c r="AN118" s="461">
        <v>1</v>
      </c>
      <c r="AO118" s="461">
        <v>0</v>
      </c>
      <c r="AP118" s="461">
        <v>0.5</v>
      </c>
      <c r="AQ118" s="461">
        <v>1</v>
      </c>
      <c r="AR118" s="485" t="s">
        <v>349</v>
      </c>
      <c r="AS118" s="485" t="s">
        <v>349</v>
      </c>
      <c r="AT118" s="699" t="s">
        <v>514</v>
      </c>
      <c r="AU118" s="699" t="s">
        <v>515</v>
      </c>
      <c r="AV118" s="699" t="s">
        <v>553</v>
      </c>
      <c r="AW118" s="486">
        <v>0.12153897423179687</v>
      </c>
      <c r="AX118" s="486">
        <v>0.25374559746014858</v>
      </c>
      <c r="AY118" s="486">
        <v>0.50373167208360903</v>
      </c>
      <c r="AZ118" s="486">
        <v>0.16810692067038135</v>
      </c>
      <c r="BA118" s="617">
        <v>5.0749119492029715</v>
      </c>
      <c r="BB118" s="486">
        <v>1.5374920439944892</v>
      </c>
      <c r="BC118" s="486">
        <v>1.0595970003830379</v>
      </c>
      <c r="BD118" s="486">
        <v>1.1153652635610927</v>
      </c>
      <c r="BE118" s="486">
        <v>0.72498742131471028</v>
      </c>
      <c r="BF118" s="661"/>
      <c r="BG118" s="486">
        <v>0.43667578891190306</v>
      </c>
      <c r="BH118" s="486">
        <v>0.40982362042813753</v>
      </c>
      <c r="BI118" s="486">
        <v>0.94371591556431689</v>
      </c>
      <c r="BJ118" s="486">
        <v>0.35705241561437867</v>
      </c>
      <c r="BK118" s="486">
        <v>1.0398625960031693</v>
      </c>
      <c r="BL118" s="486">
        <v>0.90532920628017877</v>
      </c>
      <c r="BM118" s="486">
        <v>0.82142529415848409</v>
      </c>
      <c r="BN118" s="486">
        <v>20.797251920063388</v>
      </c>
      <c r="BO118" s="486">
        <v>30.148996082097653</v>
      </c>
      <c r="BP118" s="661"/>
      <c r="BQ118" s="661"/>
      <c r="BR118" s="619">
        <v>1.7287316375734996</v>
      </c>
      <c r="BS118" s="661"/>
      <c r="BT118" s="661"/>
      <c r="BU118" s="661"/>
      <c r="BV118" s="486">
        <v>0.76815025430214123</v>
      </c>
      <c r="BW118" s="617">
        <v>0.49430969360802712</v>
      </c>
      <c r="BX118" s="486">
        <v>1.3718104427756428</v>
      </c>
    </row>
    <row r="119" spans="1:76" x14ac:dyDescent="0.2">
      <c r="A119" s="461">
        <v>10</v>
      </c>
      <c r="C119" s="461">
        <v>10</v>
      </c>
      <c r="D119" s="461">
        <v>1</v>
      </c>
      <c r="E119" s="461">
        <v>0</v>
      </c>
      <c r="F119" s="461">
        <v>9</v>
      </c>
      <c r="G119" s="461">
        <v>10</v>
      </c>
      <c r="H119" s="461">
        <v>10</v>
      </c>
      <c r="I119" s="461">
        <v>11</v>
      </c>
      <c r="J119" s="461">
        <v>9</v>
      </c>
      <c r="K119" s="461">
        <v>19</v>
      </c>
      <c r="L119" s="461">
        <v>1</v>
      </c>
      <c r="M119" s="461">
        <v>20</v>
      </c>
      <c r="N119" s="461">
        <v>0.5</v>
      </c>
      <c r="O119" s="461">
        <v>0.5</v>
      </c>
      <c r="P119" s="461">
        <v>0.55000000000000004</v>
      </c>
      <c r="Q119" s="461">
        <v>90</v>
      </c>
      <c r="R119" s="461">
        <v>1</v>
      </c>
      <c r="S119" s="461">
        <v>0.1</v>
      </c>
      <c r="T119" s="461">
        <v>0</v>
      </c>
      <c r="U119" s="461">
        <v>0.9</v>
      </c>
      <c r="V119" s="461">
        <v>0.90909090909090906</v>
      </c>
      <c r="W119" s="461">
        <v>9.0909090909090912E-2</v>
      </c>
      <c r="X119" s="461">
        <v>0</v>
      </c>
      <c r="Y119" s="461">
        <v>1</v>
      </c>
      <c r="Z119" s="461">
        <v>0.95</v>
      </c>
      <c r="AA119" s="461">
        <v>0.94868329805051377</v>
      </c>
      <c r="AB119" s="461">
        <v>0.89999999999999991</v>
      </c>
      <c r="AC119" s="461">
        <v>0.95</v>
      </c>
      <c r="AD119" s="461">
        <v>0.05</v>
      </c>
      <c r="AE119" s="461">
        <v>0.95238095238095233</v>
      </c>
      <c r="AF119" s="488">
        <v>0.9</v>
      </c>
      <c r="AG119" s="461">
        <v>0.90453403373329089</v>
      </c>
      <c r="AH119" s="488">
        <v>1</v>
      </c>
      <c r="AI119" s="488">
        <v>0.99277445398780839</v>
      </c>
      <c r="AJ119" s="461" t="e">
        <v>#NUM!</v>
      </c>
      <c r="AK119" s="461" t="e">
        <v>#NUM!</v>
      </c>
      <c r="AL119" s="461" t="e">
        <v>#NUM!</v>
      </c>
      <c r="AM119" s="461">
        <v>0</v>
      </c>
      <c r="AN119" s="461">
        <v>1</v>
      </c>
      <c r="AO119" s="461">
        <v>0</v>
      </c>
      <c r="AP119" s="461">
        <v>0.5</v>
      </c>
      <c r="AQ119" s="461">
        <v>1</v>
      </c>
      <c r="AR119" s="485" t="s">
        <v>349</v>
      </c>
      <c r="AS119" s="485" t="s">
        <v>349</v>
      </c>
      <c r="AT119" s="699" t="s">
        <v>523</v>
      </c>
      <c r="AU119" s="699" t="s">
        <v>545</v>
      </c>
      <c r="AV119" s="699" t="s">
        <v>554</v>
      </c>
      <c r="AW119" s="486">
        <v>5.2082726867713383E-2</v>
      </c>
      <c r="AX119" s="486">
        <v>0.11326783981545852</v>
      </c>
      <c r="AY119" s="486">
        <v>0.33655287818626439</v>
      </c>
      <c r="AZ119" s="486">
        <v>6.1981964572036335E-2</v>
      </c>
      <c r="BA119" s="617">
        <v>2.2653567963091703</v>
      </c>
      <c r="BB119" s="486">
        <v>0.4103292289475996</v>
      </c>
      <c r="BC119" s="486">
        <v>0.43041779129874236</v>
      </c>
      <c r="BD119" s="486">
        <v>0.45307135926183406</v>
      </c>
      <c r="BE119" s="486">
        <v>0.22653567963091703</v>
      </c>
      <c r="BF119" s="661"/>
      <c r="BG119" s="486">
        <v>0.27732328506287207</v>
      </c>
      <c r="BH119" s="486">
        <v>0.24895791316365842</v>
      </c>
      <c r="BI119" s="486">
        <v>0.89757554563045239</v>
      </c>
      <c r="BJ119" s="486">
        <v>0.20582861657055612</v>
      </c>
      <c r="BK119" s="486">
        <v>0.55464657012574414</v>
      </c>
      <c r="BL119" s="486">
        <v>0.49791582632731685</v>
      </c>
      <c r="BM119" s="486">
        <v>0.41165723314111224</v>
      </c>
      <c r="BN119" s="486">
        <v>11.092931402514884</v>
      </c>
      <c r="BO119" s="486">
        <v>9.0614271852366812</v>
      </c>
      <c r="BP119" s="661"/>
      <c r="BQ119" s="661"/>
      <c r="BR119" s="619">
        <v>0.67064021355117298</v>
      </c>
      <c r="BS119" s="661"/>
      <c r="BT119" s="661"/>
      <c r="BU119" s="661"/>
      <c r="BV119" s="486">
        <v>0.56727103666299994</v>
      </c>
      <c r="BW119" s="617">
        <v>1</v>
      </c>
      <c r="BX119" s="486">
        <v>1.1273675757336987</v>
      </c>
    </row>
    <row r="120" spans="1:76" x14ac:dyDescent="0.2">
      <c r="A120" s="461">
        <v>11</v>
      </c>
      <c r="C120" s="461">
        <v>8</v>
      </c>
      <c r="D120" s="461">
        <v>1</v>
      </c>
      <c r="E120" s="461">
        <v>2</v>
      </c>
      <c r="F120" s="461">
        <v>9</v>
      </c>
      <c r="G120" s="461">
        <v>10</v>
      </c>
      <c r="H120" s="461">
        <v>10</v>
      </c>
      <c r="I120" s="461">
        <v>9</v>
      </c>
      <c r="J120" s="461">
        <v>11</v>
      </c>
      <c r="K120" s="461">
        <v>17</v>
      </c>
      <c r="L120" s="461">
        <v>3</v>
      </c>
      <c r="M120" s="461">
        <v>20</v>
      </c>
      <c r="N120" s="461">
        <v>0.5</v>
      </c>
      <c r="O120" s="461">
        <v>0.5</v>
      </c>
      <c r="P120" s="461">
        <v>0.45</v>
      </c>
      <c r="Q120" s="461">
        <v>70</v>
      </c>
      <c r="R120" s="461">
        <v>0.8</v>
      </c>
      <c r="S120" s="461">
        <v>0.1</v>
      </c>
      <c r="T120" s="461">
        <v>0.2</v>
      </c>
      <c r="U120" s="461">
        <v>0.9</v>
      </c>
      <c r="V120" s="461">
        <v>0.88888888888888884</v>
      </c>
      <c r="W120" s="461">
        <v>0.1111111111111111</v>
      </c>
      <c r="X120" s="461">
        <v>0.18181818181818182</v>
      </c>
      <c r="Y120" s="461">
        <v>0.81818181818181823</v>
      </c>
      <c r="Z120" s="461">
        <v>0.85000000000000009</v>
      </c>
      <c r="AA120" s="461">
        <v>0.84852813742385713</v>
      </c>
      <c r="AB120" s="461">
        <v>0.70000000000000018</v>
      </c>
      <c r="AC120" s="461">
        <v>0.85</v>
      </c>
      <c r="AD120" s="461">
        <v>0.15</v>
      </c>
      <c r="AE120" s="461">
        <v>0.8421052631578948</v>
      </c>
      <c r="AF120" s="488">
        <v>0.7</v>
      </c>
      <c r="AG120" s="461">
        <v>0.70352647068144847</v>
      </c>
      <c r="AH120" s="488">
        <v>1</v>
      </c>
      <c r="AI120" s="488">
        <v>0.99277445398780839</v>
      </c>
      <c r="AJ120" s="461">
        <v>1.5954618442383219</v>
      </c>
      <c r="AK120" s="461">
        <v>0.39731260974948651</v>
      </c>
      <c r="AL120" s="461">
        <v>0.3987532145992847</v>
      </c>
      <c r="AM120" s="461">
        <v>0</v>
      </c>
      <c r="AN120" s="461">
        <v>1</v>
      </c>
      <c r="AO120" s="461">
        <v>0</v>
      </c>
      <c r="AP120" s="461">
        <v>0.5</v>
      </c>
      <c r="AQ120" s="461">
        <v>1</v>
      </c>
      <c r="AR120" s="485" t="s">
        <v>349</v>
      </c>
      <c r="AS120" s="485" t="s">
        <v>349</v>
      </c>
      <c r="AT120" s="699" t="s">
        <v>520</v>
      </c>
      <c r="AU120" s="699" t="s">
        <v>527</v>
      </c>
      <c r="AV120" s="699" t="s">
        <v>516</v>
      </c>
      <c r="AW120" s="486">
        <v>-1.0194624908709557E-2</v>
      </c>
      <c r="AX120" s="486">
        <v>0.18961337970472364</v>
      </c>
      <c r="AY120" s="486">
        <v>0.43544618462529172</v>
      </c>
      <c r="AZ120" s="486">
        <v>0.14080283696098267</v>
      </c>
      <c r="BA120" s="617">
        <v>3.7922675940944726</v>
      </c>
      <c r="BB120" s="486">
        <v>0.77423968517856023</v>
      </c>
      <c r="BC120" s="486">
        <v>0.72053084287794988</v>
      </c>
      <c r="BD120" s="486">
        <v>0.75845351881889456</v>
      </c>
      <c r="BE120" s="486">
        <v>0.37922675940944728</v>
      </c>
      <c r="BF120" s="661"/>
      <c r="BG120" s="486">
        <v>0.37344742268290071</v>
      </c>
      <c r="BH120" s="486">
        <v>0.37516448139465974</v>
      </c>
      <c r="BI120" s="486">
        <v>0.92619743941417898</v>
      </c>
      <c r="BJ120" s="486">
        <v>0.26499395487829414</v>
      </c>
      <c r="BK120" s="486">
        <v>0.74689484536580142</v>
      </c>
      <c r="BL120" s="486">
        <v>0.75032896278931949</v>
      </c>
      <c r="BM120" s="486">
        <v>0.52998790975658827</v>
      </c>
      <c r="BN120" s="486">
        <v>14.937896907316029</v>
      </c>
      <c r="BO120" s="486">
        <v>15.16907037637789</v>
      </c>
      <c r="BP120" s="661"/>
      <c r="BQ120" s="661"/>
      <c r="BR120" s="619">
        <v>0.98486056233218877</v>
      </c>
      <c r="BS120" s="661"/>
      <c r="BT120" s="661"/>
      <c r="BU120" s="661"/>
      <c r="BV120" s="486">
        <v>0.63045148121853978</v>
      </c>
      <c r="BW120" s="617">
        <v>1</v>
      </c>
      <c r="BX120" s="486">
        <v>1.3212486277903881</v>
      </c>
    </row>
    <row r="121" spans="1:76" x14ac:dyDescent="0.2">
      <c r="A121" s="461">
        <v>12</v>
      </c>
      <c r="C121" s="461">
        <v>11</v>
      </c>
      <c r="D121" s="461">
        <v>2</v>
      </c>
      <c r="E121" s="461">
        <v>1</v>
      </c>
      <c r="F121" s="461">
        <v>6</v>
      </c>
      <c r="G121" s="461">
        <v>12</v>
      </c>
      <c r="H121" s="461">
        <v>8</v>
      </c>
      <c r="I121" s="461">
        <v>13</v>
      </c>
      <c r="J121" s="461">
        <v>7</v>
      </c>
      <c r="K121" s="461">
        <v>17</v>
      </c>
      <c r="L121" s="461">
        <v>3</v>
      </c>
      <c r="M121" s="461">
        <v>20</v>
      </c>
      <c r="N121" s="461">
        <v>0.6</v>
      </c>
      <c r="O121" s="461">
        <v>0.4</v>
      </c>
      <c r="P121" s="461">
        <v>0.65</v>
      </c>
      <c r="Q121" s="461">
        <v>64</v>
      </c>
      <c r="R121" s="461">
        <v>0.91666666666666663</v>
      </c>
      <c r="S121" s="461">
        <v>0.25</v>
      </c>
      <c r="T121" s="461">
        <v>8.3333333333333329E-2</v>
      </c>
      <c r="U121" s="461">
        <v>0.75</v>
      </c>
      <c r="V121" s="461">
        <v>0.84615384615384615</v>
      </c>
      <c r="W121" s="461">
        <v>0.15384615384615385</v>
      </c>
      <c r="X121" s="461">
        <v>0.14285714285714285</v>
      </c>
      <c r="Y121" s="461">
        <v>0.8571428571428571</v>
      </c>
      <c r="Z121" s="461">
        <v>0.83333333333333326</v>
      </c>
      <c r="AA121" s="461">
        <v>0.82915619758884995</v>
      </c>
      <c r="AB121" s="461">
        <v>0.66666666666666652</v>
      </c>
      <c r="AC121" s="461">
        <v>0.85</v>
      </c>
      <c r="AD121" s="461">
        <v>0.15</v>
      </c>
      <c r="AE121" s="461">
        <v>0.87999999999999989</v>
      </c>
      <c r="AF121" s="488">
        <v>0.68085106382978722</v>
      </c>
      <c r="AG121" s="461">
        <v>0.68473678801746063</v>
      </c>
      <c r="AH121" s="488">
        <v>0.97095059445466858</v>
      </c>
      <c r="AI121" s="488">
        <v>0.93406805537549098</v>
      </c>
      <c r="AJ121" s="461">
        <v>1.5437519544205021</v>
      </c>
      <c r="AK121" s="461">
        <v>0.36126669540965761</v>
      </c>
      <c r="AL121" s="461">
        <v>0.37927890673602177</v>
      </c>
      <c r="AM121" s="461">
        <v>0</v>
      </c>
      <c r="AN121" s="461">
        <v>1</v>
      </c>
      <c r="AO121" s="461">
        <v>0</v>
      </c>
      <c r="AP121" s="461">
        <v>0.5</v>
      </c>
      <c r="AQ121" s="461">
        <v>1</v>
      </c>
      <c r="AR121" s="485" t="s">
        <v>349</v>
      </c>
      <c r="AS121" s="485" t="s">
        <v>349</v>
      </c>
      <c r="AT121" s="699" t="s">
        <v>508</v>
      </c>
      <c r="AU121" s="699" t="s">
        <v>534</v>
      </c>
      <c r="AV121" s="699" t="s">
        <v>555</v>
      </c>
      <c r="AW121" s="486">
        <v>-3.4757166368487781E-2</v>
      </c>
      <c r="AX121" s="486">
        <v>0.17321744035357883</v>
      </c>
      <c r="AY121" s="486">
        <v>0.41619399365389553</v>
      </c>
      <c r="AZ121" s="486">
        <v>0.13800156937819685</v>
      </c>
      <c r="BA121" s="617">
        <v>3.4643488070715769</v>
      </c>
      <c r="BB121" s="486">
        <v>0.51074638499678027</v>
      </c>
      <c r="BC121" s="486">
        <v>0.68565236806624952</v>
      </c>
      <c r="BD121" s="486">
        <v>0.72173933480657826</v>
      </c>
      <c r="BE121" s="486">
        <v>0.28869573392263143</v>
      </c>
      <c r="BF121" s="661"/>
      <c r="BG121" s="486">
        <v>0.36986127151000031</v>
      </c>
      <c r="BH121" s="486">
        <v>0.3714851705257286</v>
      </c>
      <c r="BI121" s="486">
        <v>0.79741246926541631</v>
      </c>
      <c r="BJ121" s="486">
        <v>0.29766345427968965</v>
      </c>
      <c r="BK121" s="486">
        <v>0.78502646829937073</v>
      </c>
      <c r="BL121" s="486">
        <v>0.7649309894302545</v>
      </c>
      <c r="BM121" s="486">
        <v>0.63274543754870172</v>
      </c>
      <c r="BN121" s="486">
        <v>15.700529365987414</v>
      </c>
      <c r="BO121" s="486">
        <v>15.675712881644481</v>
      </c>
      <c r="BP121" s="661"/>
      <c r="BQ121" s="661"/>
      <c r="BR121" s="619">
        <v>0.7929331906284548</v>
      </c>
      <c r="BS121" s="661"/>
      <c r="BT121" s="661"/>
      <c r="BU121" s="661"/>
      <c r="BV121" s="486">
        <v>0.53028671427703566</v>
      </c>
      <c r="BW121" s="617">
        <v>0.7033524766678696</v>
      </c>
      <c r="BX121" s="486">
        <v>0.96811315892001615</v>
      </c>
    </row>
    <row r="122" spans="1:76" x14ac:dyDescent="0.2">
      <c r="A122" s="461">
        <v>13</v>
      </c>
      <c r="C122" s="461">
        <v>8</v>
      </c>
      <c r="D122" s="461">
        <v>3</v>
      </c>
      <c r="E122" s="461">
        <v>1</v>
      </c>
      <c r="F122" s="461">
        <v>8</v>
      </c>
      <c r="G122" s="461">
        <v>9</v>
      </c>
      <c r="H122" s="461">
        <v>11</v>
      </c>
      <c r="I122" s="461">
        <v>11</v>
      </c>
      <c r="J122" s="461">
        <v>9</v>
      </c>
      <c r="K122" s="461">
        <v>16</v>
      </c>
      <c r="L122" s="461">
        <v>4</v>
      </c>
      <c r="M122" s="461">
        <v>20</v>
      </c>
      <c r="N122" s="461">
        <v>0.45</v>
      </c>
      <c r="O122" s="461">
        <v>0.55000000000000004</v>
      </c>
      <c r="P122" s="461">
        <v>0.55000000000000004</v>
      </c>
      <c r="Q122" s="461">
        <v>61</v>
      </c>
      <c r="R122" s="461">
        <v>0.88888888888888884</v>
      </c>
      <c r="S122" s="461">
        <v>0.27272727272727271</v>
      </c>
      <c r="T122" s="461">
        <v>0.1111111111111111</v>
      </c>
      <c r="U122" s="461">
        <v>0.72727272727272729</v>
      </c>
      <c r="V122" s="461">
        <v>0.72727272727272729</v>
      </c>
      <c r="W122" s="461">
        <v>0.27272727272727271</v>
      </c>
      <c r="X122" s="461">
        <v>0.1111111111111111</v>
      </c>
      <c r="Y122" s="461">
        <v>0.88888888888888884</v>
      </c>
      <c r="Z122" s="461">
        <v>0.80808080808080807</v>
      </c>
      <c r="AA122" s="461">
        <v>0.80403025220736968</v>
      </c>
      <c r="AB122" s="461">
        <v>0.61616161616161613</v>
      </c>
      <c r="AC122" s="461">
        <v>0.8</v>
      </c>
      <c r="AD122" s="461">
        <v>0.2</v>
      </c>
      <c r="AE122" s="461">
        <v>0.79999999999999993</v>
      </c>
      <c r="AF122" s="488">
        <v>0.60396039603960394</v>
      </c>
      <c r="AG122" s="461">
        <v>0.61616161616161613</v>
      </c>
      <c r="AH122" s="488">
        <v>0.99277445398780839</v>
      </c>
      <c r="AI122" s="488">
        <v>0.99277445398780839</v>
      </c>
      <c r="AJ122" s="461">
        <v>1.6841837197791887</v>
      </c>
      <c r="AK122" s="461">
        <v>0.30136518819642777</v>
      </c>
      <c r="AL122" s="461">
        <v>0.30355856457213859</v>
      </c>
      <c r="AM122" s="461">
        <v>0</v>
      </c>
      <c r="AN122" s="461">
        <v>1</v>
      </c>
      <c r="AO122" s="461">
        <v>0</v>
      </c>
      <c r="AP122" s="461">
        <v>0.5</v>
      </c>
      <c r="AQ122" s="461">
        <v>1</v>
      </c>
      <c r="AR122" s="485" t="s">
        <v>349</v>
      </c>
      <c r="AS122" s="485" t="s">
        <v>349</v>
      </c>
      <c r="AT122" s="699" t="s">
        <v>532</v>
      </c>
      <c r="AU122" s="699" t="s">
        <v>509</v>
      </c>
      <c r="AV122" s="699" t="s">
        <v>528</v>
      </c>
      <c r="AW122" s="486">
        <v>0.12156747327507726</v>
      </c>
      <c r="AX122" s="486">
        <v>0.20532498854011502</v>
      </c>
      <c r="AY122" s="486">
        <v>0.45312800458602759</v>
      </c>
      <c r="AZ122" s="486">
        <v>0.13005648267236106</v>
      </c>
      <c r="BA122" s="617">
        <v>4.1064997708023006</v>
      </c>
      <c r="BB122" s="486">
        <v>0.79829201913275205</v>
      </c>
      <c r="BC122" s="486">
        <v>0.78811611762872424</v>
      </c>
      <c r="BD122" s="486">
        <v>0.82959591329339399</v>
      </c>
      <c r="BE122" s="486">
        <v>0.45627775231136669</v>
      </c>
      <c r="BF122" s="661"/>
      <c r="BG122" s="486">
        <v>0.39342449120774192</v>
      </c>
      <c r="BH122" s="486">
        <v>0.3604274459393314</v>
      </c>
      <c r="BI122" s="486">
        <v>0.87682803806410137</v>
      </c>
      <c r="BJ122" s="486">
        <v>0.32207258419219881</v>
      </c>
      <c r="BK122" s="486">
        <v>0.81935603744494867</v>
      </c>
      <c r="BL122" s="486">
        <v>0.76734695665889174</v>
      </c>
      <c r="BM122" s="486">
        <v>0.65391856159446526</v>
      </c>
      <c r="BN122" s="486">
        <v>16.387120748898973</v>
      </c>
      <c r="BO122" s="486">
        <v>18.308586376217779</v>
      </c>
      <c r="BP122" s="661"/>
      <c r="BQ122" s="661"/>
      <c r="BR122" s="619">
        <v>0.82925905932162325</v>
      </c>
      <c r="BS122" s="661"/>
      <c r="BT122" s="661"/>
      <c r="BU122" s="661"/>
      <c r="BV122" s="486">
        <v>0.63869857566085952</v>
      </c>
      <c r="BW122" s="617">
        <v>1</v>
      </c>
      <c r="BX122" s="486">
        <v>0.94269897621177867</v>
      </c>
    </row>
    <row r="123" spans="1:76" x14ac:dyDescent="0.2">
      <c r="A123" s="461">
        <v>14</v>
      </c>
      <c r="C123" s="461">
        <v>9</v>
      </c>
      <c r="D123" s="461">
        <v>4</v>
      </c>
      <c r="E123" s="461">
        <v>0</v>
      </c>
      <c r="F123" s="461">
        <v>7</v>
      </c>
      <c r="G123" s="461">
        <v>9</v>
      </c>
      <c r="H123" s="461">
        <v>11</v>
      </c>
      <c r="I123" s="461">
        <v>13</v>
      </c>
      <c r="J123" s="461">
        <v>7</v>
      </c>
      <c r="K123" s="461">
        <v>16</v>
      </c>
      <c r="L123" s="461">
        <v>4</v>
      </c>
      <c r="M123" s="461">
        <v>20</v>
      </c>
      <c r="N123" s="461">
        <v>0.45</v>
      </c>
      <c r="O123" s="461">
        <v>0.55000000000000004</v>
      </c>
      <c r="P123" s="461">
        <v>0.65</v>
      </c>
      <c r="Q123" s="461">
        <v>63</v>
      </c>
      <c r="R123" s="461">
        <v>1</v>
      </c>
      <c r="S123" s="461">
        <v>0.36363636363636365</v>
      </c>
      <c r="T123" s="461">
        <v>0</v>
      </c>
      <c r="U123" s="461">
        <v>0.63636363636363635</v>
      </c>
      <c r="V123" s="461">
        <v>0.69230769230769229</v>
      </c>
      <c r="W123" s="461">
        <v>0.30769230769230771</v>
      </c>
      <c r="X123" s="461">
        <v>0</v>
      </c>
      <c r="Y123" s="461">
        <v>1</v>
      </c>
      <c r="Z123" s="461">
        <v>0.81818181818181812</v>
      </c>
      <c r="AA123" s="461">
        <v>0.7977240352174656</v>
      </c>
      <c r="AB123" s="461">
        <v>0.63636363636363624</v>
      </c>
      <c r="AC123" s="461">
        <v>0.8</v>
      </c>
      <c r="AD123" s="461">
        <v>0.2</v>
      </c>
      <c r="AE123" s="461">
        <v>0.81818181818181812</v>
      </c>
      <c r="AF123" s="488">
        <v>0.61165048543689315</v>
      </c>
      <c r="AG123" s="461">
        <v>0.66374651830306475</v>
      </c>
      <c r="AH123" s="488">
        <v>0.99277445398780839</v>
      </c>
      <c r="AI123" s="488">
        <v>0.93406805537549098</v>
      </c>
      <c r="AJ123" s="461" t="e">
        <v>#NUM!</v>
      </c>
      <c r="AK123" s="461" t="e">
        <v>#NUM!</v>
      </c>
      <c r="AL123" s="461" t="e">
        <v>#NUM!</v>
      </c>
      <c r="AM123" s="461">
        <v>0</v>
      </c>
      <c r="AN123" s="461">
        <v>1</v>
      </c>
      <c r="AO123" s="461">
        <v>0</v>
      </c>
      <c r="AP123" s="461">
        <v>0.5</v>
      </c>
      <c r="AQ123" s="461">
        <v>1</v>
      </c>
      <c r="AR123" s="485" t="s">
        <v>349</v>
      </c>
      <c r="AS123" s="485" t="s">
        <v>349</v>
      </c>
      <c r="AT123" s="699" t="s">
        <v>532</v>
      </c>
      <c r="AU123" s="699" t="s">
        <v>549</v>
      </c>
      <c r="AV123" s="699" t="s">
        <v>533</v>
      </c>
      <c r="AW123" s="486">
        <v>0.10765386332909339</v>
      </c>
      <c r="AX123" s="486">
        <v>0.15447607832455179</v>
      </c>
      <c r="AY123" s="486">
        <v>0.39303444928473102</v>
      </c>
      <c r="AZ123" s="486">
        <v>0.10130224021817477</v>
      </c>
      <c r="BA123" s="617">
        <v>3.0895215664910358</v>
      </c>
      <c r="BB123" s="486">
        <v>0.61557929860870764</v>
      </c>
      <c r="BC123" s="486">
        <v>0.5929384824578755</v>
      </c>
      <c r="BD123" s="486">
        <v>0.62414577100828994</v>
      </c>
      <c r="BE123" s="486">
        <v>0.34328017405455952</v>
      </c>
      <c r="BF123" s="661"/>
      <c r="BG123" s="486">
        <v>0.32509939356828893</v>
      </c>
      <c r="BH123" s="486">
        <v>0.31797807870631767</v>
      </c>
      <c r="BI123" s="486">
        <v>0.87667484318536604</v>
      </c>
      <c r="BJ123" s="486">
        <v>0.19856495219612522</v>
      </c>
      <c r="BK123" s="486">
        <v>0.67851470687110771</v>
      </c>
      <c r="BL123" s="486">
        <v>0.58486715673220835</v>
      </c>
      <c r="BM123" s="486">
        <v>0.40315541991515169</v>
      </c>
      <c r="BN123" s="486">
        <v>13.570294137422154</v>
      </c>
      <c r="BO123" s="486">
        <v>13.932554239305237</v>
      </c>
      <c r="BP123" s="661"/>
      <c r="BQ123" s="661"/>
      <c r="BR123" s="619">
        <v>0.72807634687937506</v>
      </c>
      <c r="BS123" s="661"/>
      <c r="BT123" s="661"/>
      <c r="BU123" s="661"/>
      <c r="BV123" s="486">
        <v>0.61710625367241811</v>
      </c>
      <c r="BW123" s="617">
        <v>1</v>
      </c>
      <c r="BX123" s="486">
        <v>1.0950427224622679</v>
      </c>
    </row>
    <row r="124" spans="1:76" x14ac:dyDescent="0.2">
      <c r="A124" s="461">
        <v>15</v>
      </c>
      <c r="C124" s="461">
        <v>9</v>
      </c>
      <c r="D124" s="461">
        <v>3</v>
      </c>
      <c r="E124" s="461">
        <v>1</v>
      </c>
      <c r="F124" s="461">
        <v>7</v>
      </c>
      <c r="G124" s="461">
        <v>10</v>
      </c>
      <c r="H124" s="461">
        <v>10</v>
      </c>
      <c r="I124" s="461">
        <v>12</v>
      </c>
      <c r="J124" s="461">
        <v>8</v>
      </c>
      <c r="K124" s="461">
        <v>16</v>
      </c>
      <c r="L124" s="461">
        <v>4</v>
      </c>
      <c r="M124" s="461">
        <v>20</v>
      </c>
      <c r="N124" s="461">
        <v>0.5</v>
      </c>
      <c r="O124" s="461">
        <v>0.5</v>
      </c>
      <c r="P124" s="461">
        <v>0.6</v>
      </c>
      <c r="Q124" s="461">
        <v>60</v>
      </c>
      <c r="R124" s="461">
        <v>0.9</v>
      </c>
      <c r="S124" s="461">
        <v>0.3</v>
      </c>
      <c r="T124" s="461">
        <v>0.1</v>
      </c>
      <c r="U124" s="461">
        <v>0.7</v>
      </c>
      <c r="V124" s="461">
        <v>0.75</v>
      </c>
      <c r="W124" s="461">
        <v>0.25</v>
      </c>
      <c r="X124" s="461">
        <v>0.125</v>
      </c>
      <c r="Y124" s="461">
        <v>0.875</v>
      </c>
      <c r="Z124" s="461">
        <v>0.8</v>
      </c>
      <c r="AA124" s="461">
        <v>0.79372539331937719</v>
      </c>
      <c r="AB124" s="461">
        <v>0.60000000000000009</v>
      </c>
      <c r="AC124" s="461">
        <v>0.8</v>
      </c>
      <c r="AD124" s="461">
        <v>0.2</v>
      </c>
      <c r="AE124" s="461">
        <v>0.81818181818181823</v>
      </c>
      <c r="AF124" s="488">
        <v>0.6</v>
      </c>
      <c r="AG124" s="461">
        <v>0.61237243569579458</v>
      </c>
      <c r="AH124" s="488">
        <v>1</v>
      </c>
      <c r="AI124" s="488">
        <v>0.97095059445466858</v>
      </c>
      <c r="AJ124" s="461">
        <v>1.6751432464099869</v>
      </c>
      <c r="AK124" s="461">
        <v>0.29580734804468167</v>
      </c>
      <c r="AL124" s="461">
        <v>0.30016718722117636</v>
      </c>
      <c r="AM124" s="461">
        <v>0</v>
      </c>
      <c r="AN124" s="461">
        <v>1</v>
      </c>
      <c r="AO124" s="461">
        <v>0</v>
      </c>
      <c r="AP124" s="461">
        <v>0.5</v>
      </c>
      <c r="AQ124" s="461">
        <v>1</v>
      </c>
      <c r="AR124" s="485" t="s">
        <v>349</v>
      </c>
      <c r="AS124" s="485" t="s">
        <v>349</v>
      </c>
      <c r="AT124" s="699" t="s">
        <v>523</v>
      </c>
      <c r="AU124" s="699" t="s">
        <v>556</v>
      </c>
      <c r="AV124" s="699" t="s">
        <v>535</v>
      </c>
      <c r="AW124" s="486">
        <v>0.11122704450823331</v>
      </c>
      <c r="AX124" s="486">
        <v>0.20117846694225922</v>
      </c>
      <c r="AY124" s="486">
        <v>0.44852922640811183</v>
      </c>
      <c r="AZ124" s="486">
        <v>0.17091676979468662</v>
      </c>
      <c r="BA124" s="617">
        <v>4.0235693388451841</v>
      </c>
      <c r="BB124" s="486">
        <v>0.65827737417646059</v>
      </c>
      <c r="BC124" s="486">
        <v>0.76447817438058507</v>
      </c>
      <c r="BD124" s="486">
        <v>0.80471386776903686</v>
      </c>
      <c r="BE124" s="486">
        <v>0.40235693388451843</v>
      </c>
      <c r="BF124" s="661"/>
      <c r="BG124" s="486">
        <v>0.38605621244944555</v>
      </c>
      <c r="BH124" s="486">
        <v>0.41340901867968061</v>
      </c>
      <c r="BI124" s="486">
        <v>0.95015734122691686</v>
      </c>
      <c r="BJ124" s="486">
        <v>0.2813608792956685</v>
      </c>
      <c r="BK124" s="486">
        <v>0.77211242489889109</v>
      </c>
      <c r="BL124" s="486">
        <v>0.82681803735936121</v>
      </c>
      <c r="BM124" s="486">
        <v>0.562721758591337</v>
      </c>
      <c r="BN124" s="486">
        <v>15.442248497977822</v>
      </c>
      <c r="BO124" s="486">
        <v>16.094277355380736</v>
      </c>
      <c r="BP124" s="661"/>
      <c r="BQ124" s="661"/>
      <c r="BR124" s="619">
        <v>0.77680751606929221</v>
      </c>
      <c r="BS124" s="661"/>
      <c r="BT124" s="661"/>
      <c r="BU124" s="661"/>
      <c r="BV124" s="486">
        <v>0.5888439013396457</v>
      </c>
      <c r="BW124" s="617">
        <v>0.3910958235948423</v>
      </c>
      <c r="BX124" s="486">
        <v>0.82215357622744223</v>
      </c>
    </row>
    <row r="125" spans="1:76" x14ac:dyDescent="0.2">
      <c r="A125" s="461">
        <v>16</v>
      </c>
      <c r="C125" s="461">
        <v>8</v>
      </c>
      <c r="D125" s="461">
        <v>2</v>
      </c>
      <c r="E125" s="461">
        <v>0</v>
      </c>
      <c r="F125" s="461">
        <v>10</v>
      </c>
      <c r="G125" s="461">
        <v>8</v>
      </c>
      <c r="H125" s="461">
        <v>12</v>
      </c>
      <c r="I125" s="461">
        <v>10</v>
      </c>
      <c r="J125" s="461">
        <v>10</v>
      </c>
      <c r="K125" s="461">
        <v>18</v>
      </c>
      <c r="L125" s="461">
        <v>2</v>
      </c>
      <c r="M125" s="461">
        <v>20</v>
      </c>
      <c r="N125" s="461">
        <v>0.4</v>
      </c>
      <c r="O125" s="461">
        <v>0.6</v>
      </c>
      <c r="P125" s="461">
        <v>0.5</v>
      </c>
      <c r="Q125" s="461">
        <v>80</v>
      </c>
      <c r="R125" s="461">
        <v>1</v>
      </c>
      <c r="S125" s="461">
        <v>0.16666666666666666</v>
      </c>
      <c r="T125" s="461">
        <v>0</v>
      </c>
      <c r="U125" s="461">
        <v>0.83333333333333337</v>
      </c>
      <c r="V125" s="461">
        <v>0.8</v>
      </c>
      <c r="W125" s="461">
        <v>0.2</v>
      </c>
      <c r="X125" s="461">
        <v>0</v>
      </c>
      <c r="Y125" s="461">
        <v>1</v>
      </c>
      <c r="Z125" s="461">
        <v>0.91666666666666674</v>
      </c>
      <c r="AA125" s="461">
        <v>0.9128709291752769</v>
      </c>
      <c r="AB125" s="461">
        <v>0.83333333333333348</v>
      </c>
      <c r="AC125" s="461">
        <v>0.9</v>
      </c>
      <c r="AD125" s="461">
        <v>0.1</v>
      </c>
      <c r="AE125" s="461">
        <v>0.88888888888888895</v>
      </c>
      <c r="AF125" s="488">
        <v>0.8</v>
      </c>
      <c r="AG125" s="461">
        <v>0.81649658092772603</v>
      </c>
      <c r="AH125" s="488">
        <v>0.97095059445466858</v>
      </c>
      <c r="AI125" s="488">
        <v>1</v>
      </c>
      <c r="AJ125" s="461" t="e">
        <v>#NUM!</v>
      </c>
      <c r="AK125" s="461" t="e">
        <v>#NUM!</v>
      </c>
      <c r="AL125" s="461" t="e">
        <v>#NUM!</v>
      </c>
      <c r="AM125" s="461">
        <v>0</v>
      </c>
      <c r="AN125" s="461">
        <v>1</v>
      </c>
      <c r="AO125" s="461">
        <v>0</v>
      </c>
      <c r="AP125" s="461">
        <v>0.5</v>
      </c>
      <c r="AQ125" s="461">
        <v>1</v>
      </c>
      <c r="AR125" s="485" t="s">
        <v>349</v>
      </c>
      <c r="AS125" s="485" t="s">
        <v>349</v>
      </c>
      <c r="AT125" s="699" t="s">
        <v>526</v>
      </c>
      <c r="AU125" s="699" t="s">
        <v>521</v>
      </c>
      <c r="AV125" s="699" t="s">
        <v>553</v>
      </c>
      <c r="AW125" s="486">
        <v>5.4135576529276822E-2</v>
      </c>
      <c r="AX125" s="486">
        <v>0.1401377064216684</v>
      </c>
      <c r="AY125" s="486">
        <v>0.37434971139519846</v>
      </c>
      <c r="AZ125" s="486">
        <v>3.5031763936028762E-2</v>
      </c>
      <c r="BA125" s="617">
        <v>2.8027541284333681</v>
      </c>
      <c r="BB125" s="486">
        <v>0.77145302892072631</v>
      </c>
      <c r="BC125" s="486">
        <v>0.55471175458577071</v>
      </c>
      <c r="BD125" s="486">
        <v>0.58390711009028484</v>
      </c>
      <c r="BE125" s="486">
        <v>0.35034426605417096</v>
      </c>
      <c r="BF125" s="661"/>
      <c r="BG125" s="486">
        <v>0.28414977989287304</v>
      </c>
      <c r="BH125" s="486">
        <v>0.18704227216721642</v>
      </c>
      <c r="BI125" s="486">
        <v>0.99585878643284698</v>
      </c>
      <c r="BJ125" s="486">
        <v>0.19797743719798555</v>
      </c>
      <c r="BK125" s="486">
        <v>0.61453519833068426</v>
      </c>
      <c r="BL125" s="486">
        <v>0.42014057933240745</v>
      </c>
      <c r="BM125" s="486">
        <v>0.42084212328902437</v>
      </c>
      <c r="BN125" s="486">
        <v>12.290703966613686</v>
      </c>
      <c r="BO125" s="486">
        <v>14.682421083188171</v>
      </c>
      <c r="BP125" s="661"/>
      <c r="BQ125" s="661"/>
      <c r="BR125" s="619">
        <v>0.78278124576114883</v>
      </c>
      <c r="BS125" s="661"/>
      <c r="BT125" s="661"/>
      <c r="BU125" s="661"/>
      <c r="BV125" s="486">
        <v>0.67019428045406149</v>
      </c>
      <c r="BW125" s="617">
        <v>0.83242171453941594</v>
      </c>
      <c r="BX125" s="486">
        <v>1.711807552032425</v>
      </c>
    </row>
    <row r="126" spans="1:76" x14ac:dyDescent="0.2">
      <c r="A126" s="461">
        <v>17</v>
      </c>
      <c r="C126" s="461">
        <v>7</v>
      </c>
      <c r="D126" s="461">
        <v>3</v>
      </c>
      <c r="E126" s="461">
        <v>3</v>
      </c>
      <c r="F126" s="461">
        <v>7</v>
      </c>
      <c r="G126" s="461">
        <v>10</v>
      </c>
      <c r="H126" s="461">
        <v>10</v>
      </c>
      <c r="I126" s="461">
        <v>10</v>
      </c>
      <c r="J126" s="461">
        <v>10</v>
      </c>
      <c r="K126" s="461">
        <v>14</v>
      </c>
      <c r="L126" s="461">
        <v>6</v>
      </c>
      <c r="M126" s="461">
        <v>20</v>
      </c>
      <c r="N126" s="461">
        <v>0.5</v>
      </c>
      <c r="O126" s="461">
        <v>0.5</v>
      </c>
      <c r="P126" s="461">
        <v>0.5</v>
      </c>
      <c r="Q126" s="461">
        <v>40</v>
      </c>
      <c r="R126" s="461">
        <v>0.7</v>
      </c>
      <c r="S126" s="461">
        <v>0.3</v>
      </c>
      <c r="T126" s="461">
        <v>0.3</v>
      </c>
      <c r="U126" s="461">
        <v>0.7</v>
      </c>
      <c r="V126" s="461">
        <v>0.7</v>
      </c>
      <c r="W126" s="461">
        <v>0.3</v>
      </c>
      <c r="X126" s="461">
        <v>0.3</v>
      </c>
      <c r="Y126" s="461">
        <v>0.7</v>
      </c>
      <c r="Z126" s="461">
        <v>0.7</v>
      </c>
      <c r="AA126" s="461">
        <v>0.7</v>
      </c>
      <c r="AB126" s="461">
        <v>0.39999999999999991</v>
      </c>
      <c r="AC126" s="461">
        <v>0.7</v>
      </c>
      <c r="AD126" s="461">
        <v>0.3</v>
      </c>
      <c r="AE126" s="461">
        <v>0.7</v>
      </c>
      <c r="AF126" s="488">
        <v>0.4</v>
      </c>
      <c r="AG126" s="461">
        <v>0.4</v>
      </c>
      <c r="AH126" s="488">
        <v>1</v>
      </c>
      <c r="AI126" s="488">
        <v>1</v>
      </c>
      <c r="AJ126" s="461">
        <v>1.8812908992306929</v>
      </c>
      <c r="AK126" s="461">
        <v>0.1187091007693073</v>
      </c>
      <c r="AL126" s="461">
        <v>0.1187091007693073</v>
      </c>
      <c r="AM126" s="461">
        <v>0</v>
      </c>
      <c r="AN126" s="461">
        <v>1</v>
      </c>
      <c r="AO126" s="461">
        <v>0</v>
      </c>
      <c r="AP126" s="461">
        <v>0.5</v>
      </c>
      <c r="AQ126" s="461">
        <v>1</v>
      </c>
      <c r="AR126" s="485" t="s">
        <v>349</v>
      </c>
      <c r="AS126" s="485" t="s">
        <v>349</v>
      </c>
      <c r="AT126" s="699" t="s">
        <v>520</v>
      </c>
      <c r="AU126" s="699" t="s">
        <v>521</v>
      </c>
      <c r="AV126" s="699" t="s">
        <v>533</v>
      </c>
      <c r="AW126" s="486">
        <v>3.2116624828753153E-2</v>
      </c>
      <c r="AX126" s="486">
        <v>0.21741345475242474</v>
      </c>
      <c r="AY126" s="486">
        <v>0.46627615717772308</v>
      </c>
      <c r="AZ126" s="486">
        <v>0.11347704264468092</v>
      </c>
      <c r="BA126" s="617">
        <v>4.3482690950484946</v>
      </c>
      <c r="BB126" s="486">
        <v>0.81716467634287204</v>
      </c>
      <c r="BC126" s="486">
        <v>0.82617112805921411</v>
      </c>
      <c r="BD126" s="486">
        <v>0.86965381900969896</v>
      </c>
      <c r="BE126" s="486">
        <v>0.43482690950484948</v>
      </c>
      <c r="BF126" s="661"/>
      <c r="BG126" s="486">
        <v>0.38073898088741603</v>
      </c>
      <c r="BH126" s="486">
        <v>0.33686349205815813</v>
      </c>
      <c r="BI126" s="486">
        <v>0.83481179485565993</v>
      </c>
      <c r="BJ126" s="486">
        <v>0.22974887654780349</v>
      </c>
      <c r="BK126" s="486">
        <v>0.76147796177483207</v>
      </c>
      <c r="BL126" s="486">
        <v>0.67372698411631626</v>
      </c>
      <c r="BM126" s="486">
        <v>0.45949775309560698</v>
      </c>
      <c r="BN126" s="486">
        <v>15.229559235496641</v>
      </c>
      <c r="BO126" s="486">
        <v>17.393076380193978</v>
      </c>
      <c r="BP126" s="661"/>
      <c r="BQ126" s="661"/>
      <c r="BR126" s="619">
        <v>0.99218317996336514</v>
      </c>
      <c r="BS126" s="661"/>
      <c r="BT126" s="661"/>
      <c r="BU126" s="661"/>
      <c r="BV126" s="486">
        <v>0.62340912052702635</v>
      </c>
      <c r="BW126" s="617">
        <v>0.89933590217631232</v>
      </c>
      <c r="BX126" s="486">
        <v>1.2244412998499821</v>
      </c>
    </row>
    <row r="127" spans="1:76" x14ac:dyDescent="0.2">
      <c r="A127" s="461">
        <v>18</v>
      </c>
      <c r="C127" s="461">
        <v>7</v>
      </c>
      <c r="D127" s="461">
        <v>4</v>
      </c>
      <c r="E127" s="461">
        <v>0</v>
      </c>
      <c r="F127" s="461">
        <v>9</v>
      </c>
      <c r="G127" s="461">
        <v>7</v>
      </c>
      <c r="H127" s="461">
        <v>13</v>
      </c>
      <c r="I127" s="461">
        <v>11</v>
      </c>
      <c r="J127" s="461">
        <v>9</v>
      </c>
      <c r="K127" s="461">
        <v>16</v>
      </c>
      <c r="L127" s="461">
        <v>4</v>
      </c>
      <c r="M127" s="461">
        <v>20</v>
      </c>
      <c r="N127" s="461">
        <v>0.35</v>
      </c>
      <c r="O127" s="461">
        <v>0.65</v>
      </c>
      <c r="P127" s="461">
        <v>0.55000000000000004</v>
      </c>
      <c r="Q127" s="461">
        <v>63</v>
      </c>
      <c r="R127" s="461">
        <v>1</v>
      </c>
      <c r="S127" s="461">
        <v>0.30769230769230771</v>
      </c>
      <c r="T127" s="461">
        <v>0</v>
      </c>
      <c r="U127" s="461">
        <v>0.69230769230769229</v>
      </c>
      <c r="V127" s="461">
        <v>0.63636363636363635</v>
      </c>
      <c r="W127" s="461">
        <v>0.36363636363636365</v>
      </c>
      <c r="X127" s="461">
        <v>0</v>
      </c>
      <c r="Y127" s="461">
        <v>1</v>
      </c>
      <c r="Z127" s="461">
        <v>0.84615384615384615</v>
      </c>
      <c r="AA127" s="461">
        <v>0.83205029433784372</v>
      </c>
      <c r="AB127" s="461">
        <v>0.69230769230769229</v>
      </c>
      <c r="AC127" s="461">
        <v>0.8</v>
      </c>
      <c r="AD127" s="461">
        <v>0.2</v>
      </c>
      <c r="AE127" s="461">
        <v>0.77777777777777779</v>
      </c>
      <c r="AF127" s="488">
        <v>0.61165048543689315</v>
      </c>
      <c r="AG127" s="461">
        <v>0.66374651830306475</v>
      </c>
      <c r="AH127" s="488">
        <v>0.93406805537549098</v>
      </c>
      <c r="AI127" s="488">
        <v>0.99277445398780839</v>
      </c>
      <c r="AJ127" s="461" t="e">
        <v>#NUM!</v>
      </c>
      <c r="AK127" s="461" t="e">
        <v>#NUM!</v>
      </c>
      <c r="AL127" s="461" t="e">
        <v>#NUM!</v>
      </c>
      <c r="AM127" s="461">
        <v>0</v>
      </c>
      <c r="AN127" s="461">
        <v>1</v>
      </c>
      <c r="AO127" s="461">
        <v>0</v>
      </c>
      <c r="AP127" s="461">
        <v>0.5</v>
      </c>
      <c r="AQ127" s="461">
        <v>1</v>
      </c>
      <c r="AR127" s="485" t="s">
        <v>349</v>
      </c>
      <c r="AS127" s="485" t="s">
        <v>349</v>
      </c>
      <c r="AT127" s="699" t="s">
        <v>557</v>
      </c>
      <c r="AU127" s="699" t="s">
        <v>545</v>
      </c>
      <c r="AV127" s="699" t="s">
        <v>552</v>
      </c>
      <c r="AW127" s="486">
        <v>0.18792963508187149</v>
      </c>
      <c r="AX127" s="486">
        <v>0.18723454033460049</v>
      </c>
      <c r="AY127" s="486">
        <v>0.43270606690292718</v>
      </c>
      <c r="AZ127" s="486">
        <v>5.0735205623248902E-2</v>
      </c>
      <c r="BA127" s="617">
        <v>3.7446908066920099</v>
      </c>
      <c r="BB127" s="486">
        <v>0.99447175734426885</v>
      </c>
      <c r="BC127" s="486">
        <v>0.7818585200785515</v>
      </c>
      <c r="BD127" s="486">
        <v>0.82300896850373828</v>
      </c>
      <c r="BE127" s="486">
        <v>0.53495582952743004</v>
      </c>
      <c r="BF127" s="661"/>
      <c r="BG127" s="486">
        <v>0.33170051986314436</v>
      </c>
      <c r="BH127" s="486">
        <v>0.22524314567444886</v>
      </c>
      <c r="BI127" s="486">
        <v>0.9442921756126359</v>
      </c>
      <c r="BJ127" s="486">
        <v>0.18626905329898857</v>
      </c>
      <c r="BK127" s="486">
        <v>0.85292178107188099</v>
      </c>
      <c r="BL127" s="486">
        <v>0.58524149956862415</v>
      </c>
      <c r="BM127" s="486">
        <v>0.42852563155319101</v>
      </c>
      <c r="BN127" s="486">
        <v>17.058435621437621</v>
      </c>
      <c r="BO127" s="486">
        <v>28.023600139753551</v>
      </c>
      <c r="BP127" s="661"/>
      <c r="BQ127" s="661"/>
      <c r="BR127" s="619">
        <v>0.75711800213148017</v>
      </c>
      <c r="BS127" s="661"/>
      <c r="BT127" s="661"/>
      <c r="BU127" s="661"/>
      <c r="BV127" s="486">
        <v>0.69266665586635112</v>
      </c>
      <c r="BW127" s="617">
        <v>1</v>
      </c>
      <c r="BX127" s="486">
        <v>1.4186330121973023</v>
      </c>
    </row>
    <row r="128" spans="1:76" x14ac:dyDescent="0.2">
      <c r="A128" s="461">
        <v>19</v>
      </c>
      <c r="C128" s="461">
        <v>6</v>
      </c>
      <c r="D128" s="461">
        <v>4</v>
      </c>
      <c r="E128" s="461">
        <v>4</v>
      </c>
      <c r="F128" s="461">
        <v>6</v>
      </c>
      <c r="G128" s="461">
        <v>10</v>
      </c>
      <c r="H128" s="461">
        <v>10</v>
      </c>
      <c r="I128" s="461">
        <v>10</v>
      </c>
      <c r="J128" s="461">
        <v>10</v>
      </c>
      <c r="K128" s="461">
        <v>12</v>
      </c>
      <c r="L128" s="461">
        <v>8</v>
      </c>
      <c r="M128" s="461">
        <v>20</v>
      </c>
      <c r="N128" s="461">
        <v>0.5</v>
      </c>
      <c r="O128" s="461">
        <v>0.5</v>
      </c>
      <c r="P128" s="461">
        <v>0.5</v>
      </c>
      <c r="Q128" s="461">
        <v>20</v>
      </c>
      <c r="R128" s="461">
        <v>0.6</v>
      </c>
      <c r="S128" s="461">
        <v>0.4</v>
      </c>
      <c r="T128" s="461">
        <v>0.4</v>
      </c>
      <c r="U128" s="461">
        <v>0.6</v>
      </c>
      <c r="V128" s="461">
        <v>0.6</v>
      </c>
      <c r="W128" s="461">
        <v>0.4</v>
      </c>
      <c r="X128" s="461">
        <v>0.4</v>
      </c>
      <c r="Y128" s="461">
        <v>0.6</v>
      </c>
      <c r="Z128" s="461">
        <v>0.6</v>
      </c>
      <c r="AA128" s="461">
        <v>0.6</v>
      </c>
      <c r="AB128" s="461">
        <v>0.19999999999999996</v>
      </c>
      <c r="AC128" s="461">
        <v>0.6</v>
      </c>
      <c r="AD128" s="461">
        <v>0.4</v>
      </c>
      <c r="AE128" s="461">
        <v>0.6</v>
      </c>
      <c r="AF128" s="488">
        <v>0.2</v>
      </c>
      <c r="AG128" s="461">
        <v>0.2</v>
      </c>
      <c r="AH128" s="488">
        <v>1</v>
      </c>
      <c r="AI128" s="488">
        <v>1</v>
      </c>
      <c r="AJ128" s="461">
        <v>1.9709505944546688</v>
      </c>
      <c r="AK128" s="461">
        <v>2.9049405545331364E-2</v>
      </c>
      <c r="AL128" s="461">
        <v>2.9049405545331364E-2</v>
      </c>
      <c r="AM128" s="461">
        <v>0</v>
      </c>
      <c r="AN128" s="461">
        <v>1</v>
      </c>
      <c r="AO128" s="461">
        <v>0</v>
      </c>
      <c r="AP128" s="461">
        <v>0.5</v>
      </c>
      <c r="AQ128" s="461">
        <v>1</v>
      </c>
      <c r="AR128" s="485" t="s">
        <v>349</v>
      </c>
      <c r="AS128" s="485" t="s">
        <v>349</v>
      </c>
      <c r="AT128" s="699" t="s">
        <v>520</v>
      </c>
      <c r="AU128" s="699" t="s">
        <v>547</v>
      </c>
      <c r="AV128" s="699" t="s">
        <v>558</v>
      </c>
      <c r="AW128" s="486">
        <v>3.1688264110538142E-2</v>
      </c>
      <c r="AX128" s="486">
        <v>0.22155495295715011</v>
      </c>
      <c r="AY128" s="486">
        <v>0.47069624276931521</v>
      </c>
      <c r="AZ128" s="486">
        <v>9.2770939642956879E-2</v>
      </c>
      <c r="BA128" s="617">
        <v>4.4310990591430022</v>
      </c>
      <c r="BB128" s="486">
        <v>0.83340170514310508</v>
      </c>
      <c r="BC128" s="486">
        <v>0.84190882123717048</v>
      </c>
      <c r="BD128" s="486">
        <v>0.88621981182860043</v>
      </c>
      <c r="BE128" s="486">
        <v>0.44310990591430022</v>
      </c>
      <c r="BF128" s="661"/>
      <c r="BG128" s="486">
        <v>0.37890830407355719</v>
      </c>
      <c r="BH128" s="486">
        <v>0.30439795652877877</v>
      </c>
      <c r="BI128" s="486">
        <v>0.95296819105130237</v>
      </c>
      <c r="BJ128" s="486">
        <v>0.24394915673424691</v>
      </c>
      <c r="BK128" s="486">
        <v>0.75781660814711438</v>
      </c>
      <c r="BL128" s="486">
        <v>0.60879591305755754</v>
      </c>
      <c r="BM128" s="486">
        <v>0.48789831346849383</v>
      </c>
      <c r="BN128" s="486">
        <v>15.156332162942288</v>
      </c>
      <c r="BO128" s="486">
        <v>17.724396236572009</v>
      </c>
      <c r="BP128" s="661"/>
      <c r="BQ128" s="661"/>
      <c r="BR128" s="619">
        <v>1.0240099854438742</v>
      </c>
      <c r="BS128" s="661"/>
      <c r="BT128" s="661"/>
      <c r="BU128" s="661"/>
      <c r="BV128" s="486">
        <v>0.62342181197010116</v>
      </c>
      <c r="BW128" s="617">
        <v>1</v>
      </c>
      <c r="BX128" s="486">
        <v>1.2406603425893539</v>
      </c>
    </row>
    <row r="129" spans="1:76" x14ac:dyDescent="0.2">
      <c r="A129" s="461">
        <v>20</v>
      </c>
      <c r="C129" s="461">
        <v>7</v>
      </c>
      <c r="D129" s="461">
        <v>2</v>
      </c>
      <c r="E129" s="461">
        <v>1</v>
      </c>
      <c r="F129" s="461">
        <v>10</v>
      </c>
      <c r="G129" s="461">
        <v>8</v>
      </c>
      <c r="H129" s="461">
        <v>12</v>
      </c>
      <c r="I129" s="461">
        <v>9</v>
      </c>
      <c r="J129" s="461">
        <v>11</v>
      </c>
      <c r="K129" s="461">
        <v>17</v>
      </c>
      <c r="L129" s="461">
        <v>3</v>
      </c>
      <c r="M129" s="461">
        <v>20</v>
      </c>
      <c r="N129" s="461">
        <v>0.4</v>
      </c>
      <c r="O129" s="461">
        <v>0.6</v>
      </c>
      <c r="P129" s="461">
        <v>0.45</v>
      </c>
      <c r="Q129" s="461">
        <v>68</v>
      </c>
      <c r="R129" s="461">
        <v>0.875</v>
      </c>
      <c r="S129" s="461">
        <v>0.16666666666666666</v>
      </c>
      <c r="T129" s="461">
        <v>0.125</v>
      </c>
      <c r="U129" s="461">
        <v>0.83333333333333337</v>
      </c>
      <c r="V129" s="461">
        <v>0.77777777777777779</v>
      </c>
      <c r="W129" s="461">
        <v>0.22222222222222221</v>
      </c>
      <c r="X129" s="461">
        <v>9.0909090909090912E-2</v>
      </c>
      <c r="Y129" s="461">
        <v>0.90909090909090906</v>
      </c>
      <c r="Z129" s="461">
        <v>0.85416666666666674</v>
      </c>
      <c r="AA129" s="461">
        <v>0.85391256382996661</v>
      </c>
      <c r="AB129" s="461">
        <v>0.70833333333333348</v>
      </c>
      <c r="AC129" s="461">
        <v>0.85</v>
      </c>
      <c r="AD129" s="461">
        <v>0.15</v>
      </c>
      <c r="AE129" s="461">
        <v>0.82352941176470595</v>
      </c>
      <c r="AF129" s="488">
        <v>0.69387755102040816</v>
      </c>
      <c r="AG129" s="461">
        <v>0.6975184488828855</v>
      </c>
      <c r="AH129" s="488">
        <v>0.97095059445466858</v>
      </c>
      <c r="AI129" s="488">
        <v>0.99277445398780839</v>
      </c>
      <c r="AJ129" s="461">
        <v>1.5783898247235197</v>
      </c>
      <c r="AK129" s="461">
        <v>0.38533522371895712</v>
      </c>
      <c r="AL129" s="461">
        <v>0.39245333660594156</v>
      </c>
      <c r="AM129" s="461">
        <v>0</v>
      </c>
      <c r="AN129" s="461">
        <v>1</v>
      </c>
      <c r="AO129" s="461">
        <v>0</v>
      </c>
      <c r="AP129" s="461">
        <v>0.5</v>
      </c>
      <c r="AQ129" s="461">
        <v>1</v>
      </c>
      <c r="AR129" s="485" t="s">
        <v>349</v>
      </c>
      <c r="AS129" s="485" t="s">
        <v>349</v>
      </c>
      <c r="AT129" s="699" t="s">
        <v>551</v>
      </c>
      <c r="AU129" s="699" t="s">
        <v>518</v>
      </c>
      <c r="AV129" s="699" t="s">
        <v>552</v>
      </c>
      <c r="AW129" s="486">
        <v>6.9394539422923354E-2</v>
      </c>
      <c r="AX129" s="486">
        <v>0.17040323291831036</v>
      </c>
      <c r="AY129" s="486">
        <v>0.41279926467753109</v>
      </c>
      <c r="AZ129" s="486">
        <v>0.10313068358773923</v>
      </c>
      <c r="BA129" s="617">
        <v>3.4080646583662073</v>
      </c>
      <c r="BB129" s="486">
        <v>0.90756931859393364</v>
      </c>
      <c r="BC129" s="486">
        <v>0.67451279696831179</v>
      </c>
      <c r="BD129" s="486">
        <v>0.7100134704929596</v>
      </c>
      <c r="BE129" s="486">
        <v>0.42600808229577586</v>
      </c>
      <c r="BF129" s="661"/>
      <c r="BG129" s="486">
        <v>0.35916635081703163</v>
      </c>
      <c r="BH129" s="486">
        <v>0.32058817655045141</v>
      </c>
      <c r="BI129" s="486">
        <v>0.83939935493211881</v>
      </c>
      <c r="BJ129" s="486">
        <v>0.29199210378104457</v>
      </c>
      <c r="BK129" s="486">
        <v>0.77717762229503395</v>
      </c>
      <c r="BL129" s="486">
        <v>0.68060167165072349</v>
      </c>
      <c r="BM129" s="486">
        <v>0.62068980525268802</v>
      </c>
      <c r="BN129" s="486">
        <v>15.543552445900678</v>
      </c>
      <c r="BO129" s="486">
        <v>17.06711166722058</v>
      </c>
      <c r="BP129" s="661"/>
      <c r="BQ129" s="661"/>
      <c r="BR129" s="619">
        <v>0.87068426894105233</v>
      </c>
      <c r="BS129" s="661"/>
      <c r="BT129" s="661"/>
      <c r="BU129" s="661"/>
      <c r="BV129" s="486">
        <v>0.69261981029690767</v>
      </c>
      <c r="BW129" s="617">
        <v>0.472473509209558</v>
      </c>
      <c r="BX129" s="486">
        <v>1.4215628456119336</v>
      </c>
    </row>
    <row r="130" spans="1:76" s="605" customFormat="1" ht="49" thickBot="1" x14ac:dyDescent="0.25">
      <c r="A130" s="765"/>
      <c r="B130" s="634" t="s">
        <v>830</v>
      </c>
      <c r="C130" s="633">
        <f>AVERAGE(C110:C129)</f>
        <v>7.95</v>
      </c>
      <c r="D130" s="633">
        <f t="shared" ref="D130:BO130" si="16">AVERAGE(D110:D129)</f>
        <v>2.25</v>
      </c>
      <c r="E130" s="633">
        <f t="shared" si="16"/>
        <v>1.75</v>
      </c>
      <c r="F130" s="633">
        <f t="shared" si="16"/>
        <v>8.0500000000000007</v>
      </c>
      <c r="G130" s="633">
        <f t="shared" si="16"/>
        <v>9.6999999999999993</v>
      </c>
      <c r="H130" s="633">
        <f t="shared" si="16"/>
        <v>10.3</v>
      </c>
      <c r="I130" s="633">
        <f t="shared" si="16"/>
        <v>10.199999999999999</v>
      </c>
      <c r="J130" s="633">
        <f t="shared" si="16"/>
        <v>9.8000000000000007</v>
      </c>
      <c r="K130" s="633">
        <f t="shared" si="16"/>
        <v>16</v>
      </c>
      <c r="L130" s="633">
        <f t="shared" si="16"/>
        <v>4</v>
      </c>
      <c r="M130" s="633">
        <f t="shared" si="16"/>
        <v>20</v>
      </c>
      <c r="N130" s="633">
        <f t="shared" si="16"/>
        <v>0.48499999999999999</v>
      </c>
      <c r="O130" s="633">
        <f t="shared" si="16"/>
        <v>0.51500000000000001</v>
      </c>
      <c r="P130" s="633">
        <f t="shared" si="16"/>
        <v>0.51</v>
      </c>
      <c r="Q130" s="633">
        <f t="shared" si="16"/>
        <v>59.25</v>
      </c>
      <c r="R130" s="633">
        <f t="shared" si="16"/>
        <v>0.82630480630480618</v>
      </c>
      <c r="S130" s="633">
        <f t="shared" si="16"/>
        <v>0.21785020535020538</v>
      </c>
      <c r="T130" s="633">
        <f t="shared" si="16"/>
        <v>0.17369519369519368</v>
      </c>
      <c r="U130" s="633">
        <f t="shared" si="16"/>
        <v>0.78214979464979462</v>
      </c>
      <c r="V130" s="633">
        <f t="shared" si="16"/>
        <v>0.78101828726828726</v>
      </c>
      <c r="W130" s="633">
        <f t="shared" si="16"/>
        <v>0.21898171273171271</v>
      </c>
      <c r="X130" s="633">
        <f t="shared" si="16"/>
        <v>0.1704757742257742</v>
      </c>
      <c r="Y130" s="633">
        <f t="shared" si="16"/>
        <v>0.8295242257742258</v>
      </c>
      <c r="Z130" s="633">
        <f t="shared" si="16"/>
        <v>0.80422730047730051</v>
      </c>
      <c r="AA130" s="633">
        <f t="shared" si="16"/>
        <v>0.79916976903664938</v>
      </c>
      <c r="AB130" s="633">
        <f t="shared" si="16"/>
        <v>0.60845460095460102</v>
      </c>
      <c r="AC130" s="633">
        <f t="shared" si="16"/>
        <v>0.8</v>
      </c>
      <c r="AD130" s="633">
        <f t="shared" si="16"/>
        <v>0.20000000000000004</v>
      </c>
      <c r="AE130" s="633">
        <f t="shared" si="16"/>
        <v>0.79460003635855037</v>
      </c>
      <c r="AF130" s="659">
        <f t="shared" si="16"/>
        <v>0.59680522639812061</v>
      </c>
      <c r="AG130" s="633">
        <f t="shared" si="16"/>
        <v>0.60934138011633032</v>
      </c>
      <c r="AH130" s="659">
        <f t="shared" si="16"/>
        <v>0.98104147041694278</v>
      </c>
      <c r="AI130" s="659">
        <f t="shared" si="16"/>
        <v>0.9780831321850727</v>
      </c>
      <c r="AJ130" s="633" t="e">
        <f t="shared" si="16"/>
        <v>#NUM!</v>
      </c>
      <c r="AK130" s="633" t="e">
        <f t="shared" si="16"/>
        <v>#NUM!</v>
      </c>
      <c r="AL130" s="633" t="e">
        <f t="shared" si="16"/>
        <v>#NUM!</v>
      </c>
      <c r="AM130" s="633">
        <f t="shared" si="16"/>
        <v>0</v>
      </c>
      <c r="AN130" s="633">
        <f t="shared" si="16"/>
        <v>1</v>
      </c>
      <c r="AO130" s="633">
        <f t="shared" si="16"/>
        <v>0</v>
      </c>
      <c r="AP130" s="633">
        <f t="shared" si="16"/>
        <v>0.5</v>
      </c>
      <c r="AQ130" s="633">
        <f t="shared" si="16"/>
        <v>1</v>
      </c>
      <c r="AR130" s="640" t="s">
        <v>559</v>
      </c>
      <c r="AS130" s="640" t="s">
        <v>559</v>
      </c>
      <c r="AT130" s="738"/>
      <c r="AU130" s="738"/>
      <c r="AV130" s="738"/>
      <c r="AW130" s="654">
        <f>AVERAGE(AW110:AW129)</f>
        <v>2.2087931835333145E-2</v>
      </c>
      <c r="AX130" s="654">
        <f t="shared" si="16"/>
        <v>0.18719898930246454</v>
      </c>
      <c r="AY130" s="654">
        <f t="shared" si="16"/>
        <v>0.42998391271671127</v>
      </c>
      <c r="AZ130" s="654">
        <f t="shared" ref="AZ130:BD130" si="17">AVERAGE(AZ110:AZ129)</f>
        <v>0.11497135777126903</v>
      </c>
      <c r="BA130" s="670">
        <f t="shared" si="17"/>
        <v>3.7439797860492918</v>
      </c>
      <c r="BB130" s="654">
        <f>AVERAGE(BB110:BB129)</f>
        <v>0.78851687780344393</v>
      </c>
      <c r="BC130" s="654">
        <f t="shared" si="17"/>
        <v>0.73199263241699497</v>
      </c>
      <c r="BD130" s="654">
        <f t="shared" si="17"/>
        <v>0.77051856043894207</v>
      </c>
      <c r="BE130" s="654">
        <f>AVERAGE(BE110:BE129)</f>
        <v>0.39519744003182544</v>
      </c>
      <c r="BF130" s="691" t="s">
        <v>504</v>
      </c>
      <c r="BG130" s="654">
        <f t="shared" si="16"/>
        <v>0.36210868688511944</v>
      </c>
      <c r="BH130" s="654">
        <f t="shared" si="16"/>
        <v>0.33270658759103339</v>
      </c>
      <c r="BI130" s="654">
        <f t="shared" si="16"/>
        <v>0.88364090541256668</v>
      </c>
      <c r="BJ130" s="654">
        <f>AVERAGE(BJ110:BJ129)</f>
        <v>0.26827053479553953</v>
      </c>
      <c r="BK130" s="654">
        <f t="shared" si="16"/>
        <v>0.76888282937314534</v>
      </c>
      <c r="BL130" s="654">
        <f t="shared" si="16"/>
        <v>0.68479494108861005</v>
      </c>
      <c r="BM130" s="654">
        <f t="shared" si="16"/>
        <v>0.55969480680714956</v>
      </c>
      <c r="BN130" s="654">
        <f t="shared" si="16"/>
        <v>15.377656587462912</v>
      </c>
      <c r="BO130" s="654">
        <f t="shared" si="16"/>
        <v>17.672560481210457</v>
      </c>
      <c r="BP130" s="691" t="s">
        <v>504</v>
      </c>
      <c r="BQ130" s="691" t="s">
        <v>504</v>
      </c>
      <c r="BR130" s="655">
        <f>AVERAGE(BR110:BR129)</f>
        <v>1.1372893759263911</v>
      </c>
      <c r="BS130" s="691" t="s">
        <v>504</v>
      </c>
      <c r="BT130" s="691" t="s">
        <v>504</v>
      </c>
      <c r="BU130" s="691" t="s">
        <v>504</v>
      </c>
      <c r="BV130" s="654">
        <f>AVERAGE(BV110:BV129)</f>
        <v>0.63121759711770198</v>
      </c>
      <c r="BW130" s="654">
        <f>AVERAGE(BW110:BW129)</f>
        <v>0.76860697006070677</v>
      </c>
      <c r="BX130" s="654">
        <f t="shared" ref="BX130" si="18">AVERAGE(BX110:BX129)</f>
        <v>1.3093653749481335</v>
      </c>
    </row>
    <row r="131" spans="1:76" ht="17" x14ac:dyDescent="0.25">
      <c r="A131" s="461">
        <v>1</v>
      </c>
      <c r="B131" s="483" t="s">
        <v>598</v>
      </c>
      <c r="C131" s="461">
        <v>0</v>
      </c>
      <c r="D131" s="461">
        <v>10</v>
      </c>
      <c r="E131" s="461">
        <v>10</v>
      </c>
      <c r="F131" s="461">
        <v>0</v>
      </c>
      <c r="G131" s="461">
        <v>10</v>
      </c>
      <c r="H131" s="461">
        <v>10</v>
      </c>
      <c r="I131" s="461">
        <v>10</v>
      </c>
      <c r="J131" s="461">
        <v>10</v>
      </c>
      <c r="K131" s="461">
        <v>0</v>
      </c>
      <c r="L131" s="461">
        <v>20</v>
      </c>
      <c r="M131" s="461">
        <v>20</v>
      </c>
      <c r="N131" s="461">
        <v>0.5</v>
      </c>
      <c r="O131" s="461">
        <v>0.5</v>
      </c>
      <c r="P131" s="461">
        <v>0.5</v>
      </c>
      <c r="Q131" s="461">
        <v>-100</v>
      </c>
      <c r="R131" s="461">
        <v>0</v>
      </c>
      <c r="S131" s="461">
        <v>1</v>
      </c>
      <c r="T131" s="461">
        <v>1</v>
      </c>
      <c r="U131" s="461">
        <v>0</v>
      </c>
      <c r="V131" s="461">
        <v>0</v>
      </c>
      <c r="W131" s="461">
        <v>1</v>
      </c>
      <c r="X131" s="461">
        <v>1</v>
      </c>
      <c r="Y131" s="461">
        <v>0</v>
      </c>
      <c r="Z131" s="461">
        <v>0</v>
      </c>
      <c r="AA131" s="461">
        <v>0</v>
      </c>
      <c r="AB131" s="461">
        <v>-1</v>
      </c>
      <c r="AC131" s="461">
        <v>0</v>
      </c>
      <c r="AD131" s="461">
        <v>1</v>
      </c>
      <c r="AE131" s="461" t="e">
        <v>#DIV/0!</v>
      </c>
      <c r="AF131" s="488">
        <v>-1</v>
      </c>
      <c r="AG131" s="461">
        <v>-1</v>
      </c>
      <c r="AH131" s="488">
        <v>1</v>
      </c>
      <c r="AI131" s="488">
        <v>1</v>
      </c>
      <c r="AJ131" s="461" t="e">
        <v>#NUM!</v>
      </c>
      <c r="AK131" s="461" t="e">
        <v>#NUM!</v>
      </c>
      <c r="AL131" s="461" t="e">
        <v>#NUM!</v>
      </c>
      <c r="AM131" s="461">
        <v>0</v>
      </c>
      <c r="AN131" s="461">
        <v>1</v>
      </c>
      <c r="AO131" s="461">
        <v>0</v>
      </c>
      <c r="AP131" s="461">
        <v>0.5</v>
      </c>
      <c r="AQ131" s="461">
        <v>1</v>
      </c>
      <c r="AR131" s="485" t="s">
        <v>347</v>
      </c>
      <c r="AS131" s="485" t="s">
        <v>347</v>
      </c>
      <c r="AT131" s="699" t="s">
        <v>520</v>
      </c>
      <c r="AU131" s="699" t="s">
        <v>547</v>
      </c>
      <c r="AV131" s="699" t="s">
        <v>603</v>
      </c>
      <c r="AW131" s="461">
        <v>0</v>
      </c>
      <c r="AX131" s="461">
        <v>1</v>
      </c>
      <c r="AY131" s="461">
        <v>1</v>
      </c>
      <c r="AZ131" s="461">
        <v>1</v>
      </c>
      <c r="BA131" s="461">
        <v>20</v>
      </c>
      <c r="BB131" s="461">
        <v>4</v>
      </c>
      <c r="BC131" s="461">
        <v>3.8000000000000003</v>
      </c>
      <c r="BD131" s="461">
        <v>4</v>
      </c>
      <c r="BE131" s="461">
        <v>2</v>
      </c>
      <c r="BF131" s="665"/>
      <c r="BG131" s="461">
        <v>1</v>
      </c>
      <c r="BH131" s="461">
        <v>1</v>
      </c>
      <c r="BI131" s="461">
        <v>1</v>
      </c>
      <c r="BJ131" s="461">
        <v>1</v>
      </c>
      <c r="BK131" s="461">
        <v>2</v>
      </c>
      <c r="BL131" s="461">
        <v>2</v>
      </c>
      <c r="BM131" s="461">
        <v>2</v>
      </c>
      <c r="BN131" s="461">
        <v>40</v>
      </c>
      <c r="BO131" s="461">
        <v>80</v>
      </c>
      <c r="BP131" s="665"/>
      <c r="BQ131" s="665"/>
      <c r="BR131" s="665"/>
      <c r="BS131" s="665"/>
      <c r="BT131" s="665"/>
      <c r="BU131" s="665"/>
      <c r="BV131" s="461">
        <v>1</v>
      </c>
      <c r="BW131" s="461">
        <v>1</v>
      </c>
      <c r="BX131" s="665"/>
    </row>
    <row r="132" spans="1:76" ht="17" x14ac:dyDescent="0.25">
      <c r="A132" s="461">
        <v>2</v>
      </c>
      <c r="B132" s="483" t="s">
        <v>599</v>
      </c>
      <c r="C132" s="461">
        <v>1</v>
      </c>
      <c r="D132" s="461">
        <v>9</v>
      </c>
      <c r="E132" s="461">
        <v>9</v>
      </c>
      <c r="F132" s="461">
        <v>1</v>
      </c>
      <c r="G132" s="461">
        <v>10</v>
      </c>
      <c r="H132" s="461">
        <v>10</v>
      </c>
      <c r="I132" s="461">
        <v>10</v>
      </c>
      <c r="J132" s="461">
        <v>10</v>
      </c>
      <c r="K132" s="461">
        <v>2</v>
      </c>
      <c r="L132" s="461">
        <v>18</v>
      </c>
      <c r="M132" s="461">
        <v>20</v>
      </c>
      <c r="N132" s="461">
        <v>0.5</v>
      </c>
      <c r="O132" s="461">
        <v>0.5</v>
      </c>
      <c r="P132" s="461">
        <v>0.5</v>
      </c>
      <c r="Q132" s="461">
        <v>-80</v>
      </c>
      <c r="R132" s="461">
        <v>0.1</v>
      </c>
      <c r="S132" s="461">
        <v>0.9</v>
      </c>
      <c r="T132" s="461">
        <v>0.9</v>
      </c>
      <c r="U132" s="461">
        <v>0.1</v>
      </c>
      <c r="V132" s="461">
        <v>0.1</v>
      </c>
      <c r="W132" s="461">
        <v>0.9</v>
      </c>
      <c r="X132" s="461">
        <v>0.9</v>
      </c>
      <c r="Y132" s="461">
        <v>0.1</v>
      </c>
      <c r="Z132" s="461">
        <v>0.1</v>
      </c>
      <c r="AA132" s="461">
        <v>0.1</v>
      </c>
      <c r="AB132" s="461">
        <v>-0.8</v>
      </c>
      <c r="AC132" s="461">
        <v>0.1</v>
      </c>
      <c r="AD132" s="461">
        <v>0.9</v>
      </c>
      <c r="AE132" s="461">
        <v>0.10000000000000002</v>
      </c>
      <c r="AF132" s="488">
        <v>-0.8</v>
      </c>
      <c r="AG132" s="461">
        <v>-0.8</v>
      </c>
      <c r="AH132" s="488">
        <v>1</v>
      </c>
      <c r="AI132" s="488">
        <v>1</v>
      </c>
      <c r="AJ132" s="461">
        <v>1.4689955935892813</v>
      </c>
      <c r="AK132" s="461">
        <v>0.53100440641071889</v>
      </c>
      <c r="AL132" s="461">
        <v>0.53100440641071889</v>
      </c>
      <c r="AM132" s="461">
        <v>0</v>
      </c>
      <c r="AN132" s="461">
        <v>1</v>
      </c>
      <c r="AO132" s="461">
        <v>0</v>
      </c>
      <c r="AP132" s="461">
        <v>0.5</v>
      </c>
      <c r="AQ132" s="461">
        <v>1</v>
      </c>
      <c r="AR132" s="485" t="s">
        <v>347</v>
      </c>
      <c r="AS132" s="485" t="s">
        <v>347</v>
      </c>
      <c r="AT132" s="699" t="s">
        <v>520</v>
      </c>
      <c r="AU132" s="699" t="s">
        <v>521</v>
      </c>
      <c r="AV132" s="699" t="s">
        <v>604</v>
      </c>
      <c r="AW132" s="461">
        <v>0</v>
      </c>
      <c r="AX132" s="461">
        <v>0.9</v>
      </c>
      <c r="AY132" s="486">
        <v>0.94868329805051377</v>
      </c>
      <c r="AZ132" s="461">
        <v>1</v>
      </c>
      <c r="BA132" s="461">
        <v>18</v>
      </c>
      <c r="BB132" s="461">
        <v>3.6</v>
      </c>
      <c r="BC132" s="461">
        <v>3.4200000000000004</v>
      </c>
      <c r="BD132" s="461">
        <v>3.6</v>
      </c>
      <c r="BE132" s="461">
        <v>1.8</v>
      </c>
      <c r="BF132" s="665"/>
      <c r="BG132" s="461">
        <v>0.9</v>
      </c>
      <c r="BH132" s="461">
        <v>1</v>
      </c>
      <c r="BI132" s="461">
        <v>1</v>
      </c>
      <c r="BJ132" s="665"/>
      <c r="BK132" s="461">
        <v>1.8</v>
      </c>
      <c r="BL132" s="461">
        <v>2</v>
      </c>
      <c r="BM132" s="665"/>
      <c r="BN132" s="461">
        <v>36</v>
      </c>
      <c r="BO132" s="461">
        <v>72</v>
      </c>
      <c r="BP132" s="665"/>
      <c r="BQ132" s="665"/>
      <c r="BR132" s="665"/>
      <c r="BS132" s="665"/>
      <c r="BT132" s="665"/>
      <c r="BU132" s="665"/>
      <c r="BV132" s="665"/>
      <c r="BW132" s="665"/>
      <c r="BX132" s="665"/>
    </row>
    <row r="133" spans="1:76" ht="17" x14ac:dyDescent="0.25">
      <c r="A133" s="461">
        <v>3</v>
      </c>
      <c r="B133" s="483" t="s">
        <v>600</v>
      </c>
      <c r="C133" s="461">
        <v>2</v>
      </c>
      <c r="D133" s="461">
        <v>8</v>
      </c>
      <c r="E133" s="461">
        <v>8</v>
      </c>
      <c r="F133" s="461">
        <v>2</v>
      </c>
      <c r="G133" s="461">
        <v>10</v>
      </c>
      <c r="H133" s="461">
        <v>10</v>
      </c>
      <c r="I133" s="461">
        <v>10</v>
      </c>
      <c r="J133" s="461">
        <v>10</v>
      </c>
      <c r="K133" s="461">
        <v>4</v>
      </c>
      <c r="L133" s="461">
        <v>16</v>
      </c>
      <c r="M133" s="461">
        <v>20</v>
      </c>
      <c r="N133" s="461">
        <v>0.5</v>
      </c>
      <c r="O133" s="461">
        <v>0.5</v>
      </c>
      <c r="P133" s="461">
        <v>0.5</v>
      </c>
      <c r="Q133" s="461">
        <v>-60</v>
      </c>
      <c r="R133" s="461">
        <v>0.2</v>
      </c>
      <c r="S133" s="461">
        <v>0.8</v>
      </c>
      <c r="T133" s="461">
        <v>0.8</v>
      </c>
      <c r="U133" s="461">
        <v>0.2</v>
      </c>
      <c r="V133" s="461">
        <v>0.2</v>
      </c>
      <c r="W133" s="461">
        <v>0.8</v>
      </c>
      <c r="X133" s="461">
        <v>0.8</v>
      </c>
      <c r="Y133" s="461">
        <v>0.2</v>
      </c>
      <c r="Z133" s="461">
        <v>0.2</v>
      </c>
      <c r="AA133" s="461">
        <v>0.2</v>
      </c>
      <c r="AB133" s="461">
        <v>-0.6</v>
      </c>
      <c r="AC133" s="461">
        <v>0.2</v>
      </c>
      <c r="AD133" s="461">
        <v>0.8</v>
      </c>
      <c r="AE133" s="461">
        <v>0.20000000000000004</v>
      </c>
      <c r="AF133" s="488">
        <v>-0.6</v>
      </c>
      <c r="AG133" s="461">
        <v>-0.6</v>
      </c>
      <c r="AH133" s="488">
        <v>1</v>
      </c>
      <c r="AI133" s="488">
        <v>1</v>
      </c>
      <c r="AJ133" s="461">
        <v>1.7219280948873623</v>
      </c>
      <c r="AK133" s="461">
        <v>0.2780719051126378</v>
      </c>
      <c r="AL133" s="461">
        <v>0.2780719051126378</v>
      </c>
      <c r="AM133" s="461">
        <v>0</v>
      </c>
      <c r="AN133" s="461">
        <v>1</v>
      </c>
      <c r="AO133" s="461">
        <v>0</v>
      </c>
      <c r="AP133" s="461">
        <v>0.5</v>
      </c>
      <c r="AQ133" s="461">
        <v>1</v>
      </c>
      <c r="AR133" s="485" t="s">
        <v>347</v>
      </c>
      <c r="AS133" s="485" t="s">
        <v>347</v>
      </c>
      <c r="AT133" s="699" t="s">
        <v>520</v>
      </c>
      <c r="AU133" s="699" t="s">
        <v>521</v>
      </c>
      <c r="AV133" s="699" t="s">
        <v>605</v>
      </c>
      <c r="AW133" s="461">
        <v>0</v>
      </c>
      <c r="AX133" s="461">
        <v>0.8</v>
      </c>
      <c r="AY133" s="486">
        <v>0.89442719099991586</v>
      </c>
      <c r="AZ133" s="461">
        <v>1</v>
      </c>
      <c r="BA133" s="461">
        <v>16</v>
      </c>
      <c r="BB133" s="461">
        <v>3.2</v>
      </c>
      <c r="BC133" s="461">
        <v>3.0400000000000005</v>
      </c>
      <c r="BD133" s="461">
        <v>3.2</v>
      </c>
      <c r="BE133" s="461">
        <v>1.6</v>
      </c>
      <c r="BF133" s="665"/>
      <c r="BG133" s="461">
        <v>0.8</v>
      </c>
      <c r="BH133" s="461">
        <v>1</v>
      </c>
      <c r="BI133" s="461">
        <v>1</v>
      </c>
      <c r="BJ133" s="665"/>
      <c r="BK133" s="461">
        <v>1.6</v>
      </c>
      <c r="BL133" s="461">
        <v>2</v>
      </c>
      <c r="BM133" s="665"/>
      <c r="BN133" s="461">
        <v>32</v>
      </c>
      <c r="BO133" s="461">
        <v>64</v>
      </c>
      <c r="BP133" s="665"/>
      <c r="BQ133" s="665"/>
      <c r="BR133" s="665"/>
      <c r="BS133" s="665"/>
      <c r="BT133" s="665"/>
      <c r="BU133" s="665"/>
      <c r="BV133" s="665"/>
      <c r="BW133" s="665"/>
      <c r="BX133" s="665"/>
    </row>
    <row r="134" spans="1:76" ht="17" x14ac:dyDescent="0.25">
      <c r="A134" s="461">
        <v>4</v>
      </c>
      <c r="B134" s="483" t="s">
        <v>601</v>
      </c>
      <c r="C134" s="461">
        <v>3</v>
      </c>
      <c r="D134" s="461">
        <v>7</v>
      </c>
      <c r="E134" s="461">
        <v>7</v>
      </c>
      <c r="F134" s="461">
        <v>3</v>
      </c>
      <c r="G134" s="461">
        <v>10</v>
      </c>
      <c r="H134" s="461">
        <v>10</v>
      </c>
      <c r="I134" s="461">
        <v>10</v>
      </c>
      <c r="J134" s="461">
        <v>10</v>
      </c>
      <c r="K134" s="461">
        <v>6</v>
      </c>
      <c r="L134" s="461">
        <v>14</v>
      </c>
      <c r="M134" s="461">
        <v>20</v>
      </c>
      <c r="N134" s="461">
        <v>0.5</v>
      </c>
      <c r="O134" s="461">
        <v>0.5</v>
      </c>
      <c r="P134" s="461">
        <v>0.5</v>
      </c>
      <c r="Q134" s="461">
        <v>-40</v>
      </c>
      <c r="R134" s="461">
        <v>0.3</v>
      </c>
      <c r="S134" s="461">
        <v>0.7</v>
      </c>
      <c r="T134" s="461">
        <v>0.7</v>
      </c>
      <c r="U134" s="461">
        <v>0.3</v>
      </c>
      <c r="V134" s="461">
        <v>0.3</v>
      </c>
      <c r="W134" s="461">
        <v>0.7</v>
      </c>
      <c r="X134" s="461">
        <v>0.7</v>
      </c>
      <c r="Y134" s="461">
        <v>0.3</v>
      </c>
      <c r="Z134" s="461">
        <v>0.3</v>
      </c>
      <c r="AA134" s="461">
        <v>0.3</v>
      </c>
      <c r="AB134" s="461">
        <v>-0.4</v>
      </c>
      <c r="AC134" s="461">
        <v>0.3</v>
      </c>
      <c r="AD134" s="461">
        <v>0.7</v>
      </c>
      <c r="AE134" s="461">
        <v>0.3</v>
      </c>
      <c r="AF134" s="488">
        <v>-0.4</v>
      </c>
      <c r="AG134" s="461">
        <v>-0.4</v>
      </c>
      <c r="AH134" s="488">
        <v>1</v>
      </c>
      <c r="AI134" s="488">
        <v>1</v>
      </c>
      <c r="AJ134" s="461">
        <v>1.8812908992306927</v>
      </c>
      <c r="AK134" s="461">
        <v>0.1187091007693073</v>
      </c>
      <c r="AL134" s="461">
        <v>0.1187091007693073</v>
      </c>
      <c r="AM134" s="461">
        <v>0</v>
      </c>
      <c r="AN134" s="461">
        <v>1</v>
      </c>
      <c r="AO134" s="461">
        <v>0</v>
      </c>
      <c r="AP134" s="461">
        <v>0.5</v>
      </c>
      <c r="AQ134" s="461">
        <v>1</v>
      </c>
      <c r="AR134" s="485" t="s">
        <v>347</v>
      </c>
      <c r="AS134" s="485" t="s">
        <v>347</v>
      </c>
      <c r="AT134" s="699" t="s">
        <v>520</v>
      </c>
      <c r="AU134" s="699" t="s">
        <v>521</v>
      </c>
      <c r="AV134" s="699" t="s">
        <v>539</v>
      </c>
      <c r="AW134" s="461">
        <v>0</v>
      </c>
      <c r="AX134" s="461">
        <v>0.7</v>
      </c>
      <c r="AY134" s="486">
        <v>0.83666002653407556</v>
      </c>
      <c r="AZ134" s="461">
        <v>1</v>
      </c>
      <c r="BA134" s="461">
        <v>14</v>
      </c>
      <c r="BB134" s="461">
        <v>2.8</v>
      </c>
      <c r="BC134" s="461">
        <v>2.66</v>
      </c>
      <c r="BD134" s="461">
        <v>2.8</v>
      </c>
      <c r="BE134" s="461">
        <v>1.4</v>
      </c>
      <c r="BF134" s="665"/>
      <c r="BG134" s="461">
        <v>0.7</v>
      </c>
      <c r="BH134" s="461">
        <v>1</v>
      </c>
      <c r="BI134" s="461">
        <v>1</v>
      </c>
      <c r="BJ134" s="665"/>
      <c r="BK134" s="461">
        <v>1.4</v>
      </c>
      <c r="BL134" s="461">
        <v>2</v>
      </c>
      <c r="BM134" s="665"/>
      <c r="BN134" s="461">
        <v>28</v>
      </c>
      <c r="BO134" s="461">
        <v>56</v>
      </c>
      <c r="BP134" s="665"/>
      <c r="BQ134" s="665"/>
      <c r="BR134" s="665"/>
      <c r="BS134" s="665"/>
      <c r="BT134" s="665"/>
      <c r="BU134" s="665"/>
      <c r="BV134" s="665"/>
      <c r="BW134" s="665"/>
      <c r="BX134" s="665"/>
    </row>
    <row r="135" spans="1:76" ht="17" x14ac:dyDescent="0.25">
      <c r="A135" s="461">
        <v>5</v>
      </c>
      <c r="B135" s="483" t="s">
        <v>602</v>
      </c>
      <c r="C135" s="461">
        <v>4</v>
      </c>
      <c r="D135" s="461">
        <v>6</v>
      </c>
      <c r="E135" s="461">
        <v>6</v>
      </c>
      <c r="F135" s="461">
        <v>4</v>
      </c>
      <c r="G135" s="461">
        <v>10</v>
      </c>
      <c r="H135" s="461">
        <v>10</v>
      </c>
      <c r="I135" s="461">
        <v>10</v>
      </c>
      <c r="J135" s="461">
        <v>10</v>
      </c>
      <c r="K135" s="461">
        <v>8</v>
      </c>
      <c r="L135" s="461">
        <v>12</v>
      </c>
      <c r="M135" s="461">
        <v>20</v>
      </c>
      <c r="N135" s="461">
        <v>0.5</v>
      </c>
      <c r="O135" s="461">
        <v>0.5</v>
      </c>
      <c r="P135" s="461">
        <v>0.5</v>
      </c>
      <c r="Q135" s="461">
        <v>-20</v>
      </c>
      <c r="R135" s="461">
        <v>0.4</v>
      </c>
      <c r="S135" s="461">
        <v>0.6</v>
      </c>
      <c r="T135" s="461">
        <v>0.6</v>
      </c>
      <c r="U135" s="461">
        <v>0.4</v>
      </c>
      <c r="V135" s="461">
        <v>0.4</v>
      </c>
      <c r="W135" s="461">
        <v>0.6</v>
      </c>
      <c r="X135" s="461">
        <v>0.6</v>
      </c>
      <c r="Y135" s="461">
        <v>0.4</v>
      </c>
      <c r="Z135" s="461">
        <v>0.4</v>
      </c>
      <c r="AA135" s="461">
        <v>0.4</v>
      </c>
      <c r="AB135" s="461">
        <v>-0.19999999999999996</v>
      </c>
      <c r="AC135" s="461">
        <v>0.4</v>
      </c>
      <c r="AD135" s="461">
        <v>0.6</v>
      </c>
      <c r="AE135" s="461">
        <v>0.40000000000000008</v>
      </c>
      <c r="AF135" s="488">
        <v>-0.2</v>
      </c>
      <c r="AG135" s="461">
        <v>-0.2</v>
      </c>
      <c r="AH135" s="488">
        <v>1</v>
      </c>
      <c r="AI135" s="488">
        <v>1</v>
      </c>
      <c r="AJ135" s="461">
        <v>1.9709505944546686</v>
      </c>
      <c r="AK135" s="461">
        <v>2.9049405545331364E-2</v>
      </c>
      <c r="AL135" s="461">
        <v>2.9049405545331364E-2</v>
      </c>
      <c r="AM135" s="461">
        <v>0</v>
      </c>
      <c r="AN135" s="461">
        <v>1</v>
      </c>
      <c r="AO135" s="461">
        <v>0</v>
      </c>
      <c r="AP135" s="461">
        <v>0.5</v>
      </c>
      <c r="AQ135" s="461">
        <v>1</v>
      </c>
      <c r="AR135" s="485" t="s">
        <v>347</v>
      </c>
      <c r="AS135" s="485" t="s">
        <v>347</v>
      </c>
      <c r="AT135" s="699" t="s">
        <v>520</v>
      </c>
      <c r="AU135" s="699" t="s">
        <v>521</v>
      </c>
      <c r="AV135" s="699" t="s">
        <v>522</v>
      </c>
      <c r="AW135" s="461">
        <v>0</v>
      </c>
      <c r="AX135" s="461">
        <v>0.6</v>
      </c>
      <c r="AY135" s="486">
        <v>0.7745966692414834</v>
      </c>
      <c r="AZ135" s="461">
        <v>1</v>
      </c>
      <c r="BA135" s="461">
        <v>12</v>
      </c>
      <c r="BB135" s="461">
        <v>2.4</v>
      </c>
      <c r="BC135" s="461">
        <v>2.2800000000000002</v>
      </c>
      <c r="BD135" s="461">
        <v>2.4</v>
      </c>
      <c r="BE135" s="461">
        <v>1.2</v>
      </c>
      <c r="BF135" s="665"/>
      <c r="BG135" s="461">
        <v>0.6</v>
      </c>
      <c r="BH135" s="461">
        <v>1</v>
      </c>
      <c r="BI135" s="461">
        <v>1</v>
      </c>
      <c r="BJ135" s="665"/>
      <c r="BK135" s="461">
        <v>1.2</v>
      </c>
      <c r="BL135" s="461">
        <v>2</v>
      </c>
      <c r="BM135" s="665"/>
      <c r="BN135" s="461">
        <v>24</v>
      </c>
      <c r="BO135" s="461">
        <v>48</v>
      </c>
      <c r="BP135" s="665"/>
      <c r="BQ135" s="665"/>
      <c r="BR135" s="665"/>
      <c r="BS135" s="665"/>
      <c r="BT135" s="665"/>
      <c r="BU135" s="665"/>
      <c r="BV135" s="665"/>
      <c r="BW135" s="665"/>
      <c r="BX135" s="665"/>
    </row>
    <row r="136" spans="1:76" ht="17" x14ac:dyDescent="0.25">
      <c r="A136" s="461">
        <v>6</v>
      </c>
      <c r="B136" s="483" t="s">
        <v>592</v>
      </c>
      <c r="C136" s="461">
        <v>5</v>
      </c>
      <c r="D136" s="461">
        <v>5</v>
      </c>
      <c r="E136" s="461">
        <v>5</v>
      </c>
      <c r="F136" s="461">
        <v>5</v>
      </c>
      <c r="G136" s="461">
        <v>10</v>
      </c>
      <c r="H136" s="461">
        <v>10</v>
      </c>
      <c r="I136" s="461">
        <v>10</v>
      </c>
      <c r="J136" s="461">
        <v>10</v>
      </c>
      <c r="K136" s="461">
        <v>10</v>
      </c>
      <c r="L136" s="461">
        <v>10</v>
      </c>
      <c r="M136" s="461">
        <v>20</v>
      </c>
      <c r="N136" s="461">
        <v>0.5</v>
      </c>
      <c r="O136" s="461">
        <v>0.5</v>
      </c>
      <c r="P136" s="461">
        <v>0.5</v>
      </c>
      <c r="Q136" s="461">
        <v>0</v>
      </c>
      <c r="R136" s="461">
        <v>0.5</v>
      </c>
      <c r="S136" s="461">
        <v>0.5</v>
      </c>
      <c r="T136" s="461">
        <v>0.5</v>
      </c>
      <c r="U136" s="461">
        <v>0.5</v>
      </c>
      <c r="V136" s="461">
        <v>0.5</v>
      </c>
      <c r="W136" s="461">
        <v>0.5</v>
      </c>
      <c r="X136" s="461">
        <v>0.5</v>
      </c>
      <c r="Y136" s="461">
        <v>0.5</v>
      </c>
      <c r="Z136" s="461">
        <v>0.5</v>
      </c>
      <c r="AA136" s="461">
        <v>0.5</v>
      </c>
      <c r="AB136" s="461">
        <v>0</v>
      </c>
      <c r="AC136" s="461">
        <v>0.5</v>
      </c>
      <c r="AD136" s="461">
        <v>0.5</v>
      </c>
      <c r="AE136" s="461">
        <v>0.5</v>
      </c>
      <c r="AF136" s="488">
        <v>0</v>
      </c>
      <c r="AG136" s="461">
        <v>0</v>
      </c>
      <c r="AH136" s="488">
        <v>1</v>
      </c>
      <c r="AI136" s="488">
        <v>1</v>
      </c>
      <c r="AJ136" s="461">
        <v>2</v>
      </c>
      <c r="AK136" s="461">
        <v>0</v>
      </c>
      <c r="AL136" s="461">
        <v>0</v>
      </c>
      <c r="AM136" s="461">
        <v>0</v>
      </c>
      <c r="AN136" s="461">
        <v>1</v>
      </c>
      <c r="AO136" s="461">
        <v>0</v>
      </c>
      <c r="AP136" s="461">
        <v>0.5</v>
      </c>
      <c r="AQ136" s="461">
        <v>1</v>
      </c>
      <c r="AR136" s="485" t="s">
        <v>347</v>
      </c>
      <c r="AS136" s="485" t="s">
        <v>347</v>
      </c>
      <c r="AT136" s="699" t="s">
        <v>520</v>
      </c>
      <c r="AU136" s="699" t="s">
        <v>521</v>
      </c>
      <c r="AV136" s="699" t="s">
        <v>550</v>
      </c>
      <c r="AW136" s="461">
        <v>0</v>
      </c>
      <c r="AX136" s="656">
        <v>0.5</v>
      </c>
      <c r="AY136" s="486">
        <v>0.70710678118654757</v>
      </c>
      <c r="AZ136" s="461">
        <v>0.5</v>
      </c>
      <c r="BA136" s="461">
        <v>10</v>
      </c>
      <c r="BB136" s="461">
        <v>2</v>
      </c>
      <c r="BC136" s="461">
        <v>1.9000000000000001</v>
      </c>
      <c r="BD136" s="461">
        <v>2</v>
      </c>
      <c r="BE136" s="461">
        <v>1</v>
      </c>
      <c r="BF136" s="665"/>
      <c r="BG136" s="461">
        <v>0.5</v>
      </c>
      <c r="BH136" s="461">
        <v>0.5</v>
      </c>
      <c r="BI136" s="461">
        <v>1</v>
      </c>
      <c r="BJ136" s="665"/>
      <c r="BK136" s="461">
        <v>1</v>
      </c>
      <c r="BL136" s="461">
        <v>1</v>
      </c>
      <c r="BM136" s="665"/>
      <c r="BN136" s="461">
        <v>20</v>
      </c>
      <c r="BO136" s="461">
        <v>40</v>
      </c>
      <c r="BP136" s="665"/>
      <c r="BQ136" s="665"/>
      <c r="BR136" s="665"/>
      <c r="BS136" s="665"/>
      <c r="BT136" s="665"/>
      <c r="BU136" s="665"/>
      <c r="BV136" s="665"/>
      <c r="BW136" s="665"/>
      <c r="BX136" s="665"/>
    </row>
    <row r="137" spans="1:76" ht="17" x14ac:dyDescent="0.25">
      <c r="A137" s="461">
        <v>7</v>
      </c>
      <c r="B137" s="483" t="s">
        <v>593</v>
      </c>
      <c r="C137" s="461">
        <v>6</v>
      </c>
      <c r="D137" s="461">
        <v>4</v>
      </c>
      <c r="E137" s="461">
        <v>4</v>
      </c>
      <c r="F137" s="461">
        <v>6</v>
      </c>
      <c r="G137" s="461">
        <v>10</v>
      </c>
      <c r="H137" s="461">
        <v>10</v>
      </c>
      <c r="I137" s="461">
        <v>10</v>
      </c>
      <c r="J137" s="461">
        <v>10</v>
      </c>
      <c r="K137" s="461">
        <v>12</v>
      </c>
      <c r="L137" s="461">
        <v>8</v>
      </c>
      <c r="M137" s="461">
        <v>20</v>
      </c>
      <c r="N137" s="461">
        <v>0.5</v>
      </c>
      <c r="O137" s="461">
        <v>0.5</v>
      </c>
      <c r="P137" s="461">
        <v>0.5</v>
      </c>
      <c r="Q137" s="461">
        <v>20</v>
      </c>
      <c r="R137" s="461">
        <v>0.6</v>
      </c>
      <c r="S137" s="461">
        <v>0.4</v>
      </c>
      <c r="T137" s="461">
        <v>0.4</v>
      </c>
      <c r="U137" s="461">
        <v>0.6</v>
      </c>
      <c r="V137" s="461">
        <v>0.6</v>
      </c>
      <c r="W137" s="461">
        <v>0.4</v>
      </c>
      <c r="X137" s="461">
        <v>0.4</v>
      </c>
      <c r="Y137" s="461">
        <v>0.6</v>
      </c>
      <c r="Z137" s="461">
        <v>0.6</v>
      </c>
      <c r="AA137" s="461">
        <v>0.6</v>
      </c>
      <c r="AB137" s="461">
        <v>0.19999999999999996</v>
      </c>
      <c r="AC137" s="461">
        <v>0.6</v>
      </c>
      <c r="AD137" s="461">
        <v>0.4</v>
      </c>
      <c r="AE137" s="461">
        <v>0.6</v>
      </c>
      <c r="AF137" s="488">
        <v>0.2</v>
      </c>
      <c r="AG137" s="461">
        <v>0.2</v>
      </c>
      <c r="AH137" s="488">
        <v>1</v>
      </c>
      <c r="AI137" s="488">
        <v>1</v>
      </c>
      <c r="AJ137" s="461">
        <v>1.9709505944546688</v>
      </c>
      <c r="AK137" s="461">
        <v>2.9049405545331364E-2</v>
      </c>
      <c r="AL137" s="461">
        <v>2.9049405545331364E-2</v>
      </c>
      <c r="AM137" s="461">
        <v>0</v>
      </c>
      <c r="AN137" s="461">
        <v>1</v>
      </c>
      <c r="AO137" s="461">
        <v>0</v>
      </c>
      <c r="AP137" s="461">
        <v>0.5</v>
      </c>
      <c r="AQ137" s="461">
        <v>1</v>
      </c>
      <c r="AR137" s="485" t="s">
        <v>347</v>
      </c>
      <c r="AS137" s="485" t="s">
        <v>347</v>
      </c>
      <c r="AT137" s="699" t="s">
        <v>520</v>
      </c>
      <c r="AU137" s="699" t="s">
        <v>521</v>
      </c>
      <c r="AV137" s="699" t="s">
        <v>510</v>
      </c>
      <c r="AW137" s="461">
        <v>0</v>
      </c>
      <c r="AX137" s="656">
        <v>0.4</v>
      </c>
      <c r="AY137" s="486">
        <v>0.63245553203367588</v>
      </c>
      <c r="AZ137" s="461">
        <v>0</v>
      </c>
      <c r="BA137" s="461">
        <v>8</v>
      </c>
      <c r="BB137" s="461">
        <v>1.6</v>
      </c>
      <c r="BC137" s="461">
        <v>1.5200000000000002</v>
      </c>
      <c r="BD137" s="461">
        <v>1.6</v>
      </c>
      <c r="BE137" s="461">
        <v>0.8</v>
      </c>
      <c r="BF137" s="665"/>
      <c r="BG137" s="461">
        <v>0.4</v>
      </c>
      <c r="BH137" s="461">
        <v>0</v>
      </c>
      <c r="BI137" s="461">
        <v>1</v>
      </c>
      <c r="BJ137" s="665"/>
      <c r="BK137" s="461">
        <v>0.8</v>
      </c>
      <c r="BL137" s="461">
        <v>0</v>
      </c>
      <c r="BM137" s="665"/>
      <c r="BN137" s="461">
        <v>16</v>
      </c>
      <c r="BO137" s="461">
        <v>32</v>
      </c>
      <c r="BP137" s="665"/>
      <c r="BQ137" s="665"/>
      <c r="BR137" s="665"/>
      <c r="BS137" s="665"/>
      <c r="BT137" s="665"/>
      <c r="BU137" s="665"/>
      <c r="BV137" s="665"/>
      <c r="BW137" s="665"/>
      <c r="BX137" s="665"/>
    </row>
    <row r="138" spans="1:76" ht="17" x14ac:dyDescent="0.25">
      <c r="A138" s="461">
        <v>8</v>
      </c>
      <c r="B138" s="483" t="s">
        <v>594</v>
      </c>
      <c r="C138" s="461">
        <v>7</v>
      </c>
      <c r="D138" s="461">
        <v>3</v>
      </c>
      <c r="E138" s="461">
        <v>3</v>
      </c>
      <c r="F138" s="461">
        <v>7</v>
      </c>
      <c r="G138" s="461">
        <v>10</v>
      </c>
      <c r="H138" s="461">
        <v>10</v>
      </c>
      <c r="I138" s="461">
        <v>10</v>
      </c>
      <c r="J138" s="461">
        <v>10</v>
      </c>
      <c r="K138" s="461">
        <v>14</v>
      </c>
      <c r="L138" s="461">
        <v>6</v>
      </c>
      <c r="M138" s="461">
        <v>20</v>
      </c>
      <c r="N138" s="461">
        <v>0.5</v>
      </c>
      <c r="O138" s="461">
        <v>0.5</v>
      </c>
      <c r="P138" s="461">
        <v>0.5</v>
      </c>
      <c r="Q138" s="461">
        <v>40</v>
      </c>
      <c r="R138" s="461">
        <v>0.7</v>
      </c>
      <c r="S138" s="461">
        <v>0.3</v>
      </c>
      <c r="T138" s="461">
        <v>0.3</v>
      </c>
      <c r="U138" s="461">
        <v>0.7</v>
      </c>
      <c r="V138" s="461">
        <v>0.7</v>
      </c>
      <c r="W138" s="461">
        <v>0.3</v>
      </c>
      <c r="X138" s="461">
        <v>0.3</v>
      </c>
      <c r="Y138" s="461">
        <v>0.7</v>
      </c>
      <c r="Z138" s="461">
        <v>0.7</v>
      </c>
      <c r="AA138" s="461">
        <v>0.7</v>
      </c>
      <c r="AB138" s="461">
        <v>0.39999999999999991</v>
      </c>
      <c r="AC138" s="461">
        <v>0.7</v>
      </c>
      <c r="AD138" s="461">
        <v>0.3</v>
      </c>
      <c r="AE138" s="461">
        <v>0.7</v>
      </c>
      <c r="AF138" s="488">
        <v>0.4</v>
      </c>
      <c r="AG138" s="461">
        <v>0.4</v>
      </c>
      <c r="AH138" s="488">
        <v>1</v>
      </c>
      <c r="AI138" s="488">
        <v>1</v>
      </c>
      <c r="AJ138" s="461">
        <v>1.8812908992306929</v>
      </c>
      <c r="AK138" s="461">
        <v>0.1187091007693073</v>
      </c>
      <c r="AL138" s="461">
        <v>0.1187091007693073</v>
      </c>
      <c r="AM138" s="461">
        <v>0</v>
      </c>
      <c r="AN138" s="461">
        <v>1</v>
      </c>
      <c r="AO138" s="461">
        <v>0</v>
      </c>
      <c r="AP138" s="461">
        <v>0.5</v>
      </c>
      <c r="AQ138" s="461">
        <v>1</v>
      </c>
      <c r="AR138" s="485" t="s">
        <v>347</v>
      </c>
      <c r="AS138" s="485" t="s">
        <v>347</v>
      </c>
      <c r="AT138" s="699" t="s">
        <v>520</v>
      </c>
      <c r="AU138" s="699" t="s">
        <v>521</v>
      </c>
      <c r="AV138" s="699" t="s">
        <v>533</v>
      </c>
      <c r="AW138" s="461">
        <v>0</v>
      </c>
      <c r="AX138" s="656">
        <v>0.3</v>
      </c>
      <c r="AY138" s="486">
        <v>0.54772255750516607</v>
      </c>
      <c r="AZ138" s="461">
        <v>0</v>
      </c>
      <c r="BA138" s="461">
        <v>6</v>
      </c>
      <c r="BB138" s="461">
        <v>1.2</v>
      </c>
      <c r="BC138" s="461">
        <v>1.1400000000000001</v>
      </c>
      <c r="BD138" s="461">
        <v>1.2</v>
      </c>
      <c r="BE138" s="461">
        <v>0.6</v>
      </c>
      <c r="BF138" s="665"/>
      <c r="BG138" s="461">
        <v>0.3</v>
      </c>
      <c r="BH138" s="461">
        <v>0</v>
      </c>
      <c r="BI138" s="461">
        <v>1</v>
      </c>
      <c r="BJ138" s="665"/>
      <c r="BK138" s="461">
        <v>0.6</v>
      </c>
      <c r="BL138" s="461">
        <v>0</v>
      </c>
      <c r="BM138" s="665"/>
      <c r="BN138" s="461">
        <v>12</v>
      </c>
      <c r="BO138" s="461">
        <v>24</v>
      </c>
      <c r="BP138" s="665"/>
      <c r="BQ138" s="665"/>
      <c r="BR138" s="665"/>
      <c r="BS138" s="665"/>
      <c r="BT138" s="665"/>
      <c r="BU138" s="665"/>
      <c r="BV138" s="665"/>
      <c r="BW138" s="665"/>
      <c r="BX138" s="665"/>
    </row>
    <row r="139" spans="1:76" ht="17" x14ac:dyDescent="0.25">
      <c r="A139" s="461">
        <v>9</v>
      </c>
      <c r="B139" s="483" t="s">
        <v>595</v>
      </c>
      <c r="C139" s="461">
        <v>8</v>
      </c>
      <c r="D139" s="461">
        <v>2</v>
      </c>
      <c r="E139" s="461">
        <v>2</v>
      </c>
      <c r="F139" s="461">
        <v>8</v>
      </c>
      <c r="G139" s="461">
        <v>10</v>
      </c>
      <c r="H139" s="461">
        <v>10</v>
      </c>
      <c r="I139" s="461">
        <v>10</v>
      </c>
      <c r="J139" s="461">
        <v>10</v>
      </c>
      <c r="K139" s="461">
        <v>16</v>
      </c>
      <c r="L139" s="461">
        <v>4</v>
      </c>
      <c r="M139" s="461">
        <v>20</v>
      </c>
      <c r="N139" s="461">
        <v>0.5</v>
      </c>
      <c r="O139" s="461">
        <v>0.5</v>
      </c>
      <c r="P139" s="461">
        <v>0.5</v>
      </c>
      <c r="Q139" s="461">
        <v>60</v>
      </c>
      <c r="R139" s="461">
        <v>0.8</v>
      </c>
      <c r="S139" s="461">
        <v>0.2</v>
      </c>
      <c r="T139" s="461">
        <v>0.2</v>
      </c>
      <c r="U139" s="461">
        <v>0.8</v>
      </c>
      <c r="V139" s="461">
        <v>0.8</v>
      </c>
      <c r="W139" s="461">
        <v>0.2</v>
      </c>
      <c r="X139" s="461">
        <v>0.2</v>
      </c>
      <c r="Y139" s="461">
        <v>0.8</v>
      </c>
      <c r="Z139" s="461">
        <v>0.8</v>
      </c>
      <c r="AA139" s="461">
        <v>0.8</v>
      </c>
      <c r="AB139" s="461">
        <v>0.60000000000000009</v>
      </c>
      <c r="AC139" s="461">
        <v>0.8</v>
      </c>
      <c r="AD139" s="461">
        <v>0.2</v>
      </c>
      <c r="AE139" s="461">
        <v>0.80000000000000016</v>
      </c>
      <c r="AF139" s="488">
        <v>0.6</v>
      </c>
      <c r="AG139" s="461">
        <v>0.6</v>
      </c>
      <c r="AH139" s="488">
        <v>1</v>
      </c>
      <c r="AI139" s="488">
        <v>1</v>
      </c>
      <c r="AJ139" s="461">
        <v>1.7219280948873621</v>
      </c>
      <c r="AK139" s="461">
        <v>0.27807190511263785</v>
      </c>
      <c r="AL139" s="461">
        <v>0.27807190511263785</v>
      </c>
      <c r="AM139" s="461">
        <v>0</v>
      </c>
      <c r="AN139" s="461">
        <v>1</v>
      </c>
      <c r="AO139" s="461">
        <v>0</v>
      </c>
      <c r="AP139" s="461">
        <v>0.5</v>
      </c>
      <c r="AQ139" s="461">
        <v>1</v>
      </c>
      <c r="AR139" s="485" t="s">
        <v>347</v>
      </c>
      <c r="AS139" s="485" t="s">
        <v>347</v>
      </c>
      <c r="AT139" s="699" t="s">
        <v>520</v>
      </c>
      <c r="AU139" s="699" t="s">
        <v>521</v>
      </c>
      <c r="AV139" s="699" t="s">
        <v>528</v>
      </c>
      <c r="AW139" s="461">
        <v>0</v>
      </c>
      <c r="AX139" s="656">
        <v>0.2</v>
      </c>
      <c r="AY139" s="486">
        <v>0.44721359549995793</v>
      </c>
      <c r="AZ139" s="461">
        <v>0</v>
      </c>
      <c r="BA139" s="461">
        <v>4</v>
      </c>
      <c r="BB139" s="461">
        <v>0.8</v>
      </c>
      <c r="BC139" s="461">
        <v>0.76000000000000012</v>
      </c>
      <c r="BD139" s="461">
        <v>0.8</v>
      </c>
      <c r="BE139" s="461">
        <v>0.4</v>
      </c>
      <c r="BF139" s="665"/>
      <c r="BG139" s="461">
        <v>0.2</v>
      </c>
      <c r="BH139" s="461">
        <v>0</v>
      </c>
      <c r="BI139" s="461">
        <v>1</v>
      </c>
      <c r="BJ139" s="665"/>
      <c r="BK139" s="461">
        <v>0.4</v>
      </c>
      <c r="BL139" s="461">
        <v>0</v>
      </c>
      <c r="BM139" s="665"/>
      <c r="BN139" s="461">
        <v>8</v>
      </c>
      <c r="BO139" s="461">
        <v>16</v>
      </c>
      <c r="BP139" s="665"/>
      <c r="BQ139" s="665"/>
      <c r="BR139" s="665"/>
      <c r="BS139" s="665"/>
      <c r="BT139" s="665"/>
      <c r="BU139" s="665"/>
      <c r="BV139" s="665"/>
      <c r="BW139" s="665"/>
      <c r="BX139" s="665"/>
    </row>
    <row r="140" spans="1:76" ht="17" x14ac:dyDescent="0.25">
      <c r="A140" s="461">
        <v>10</v>
      </c>
      <c r="B140" s="483" t="s">
        <v>596</v>
      </c>
      <c r="C140" s="461">
        <v>9</v>
      </c>
      <c r="D140" s="461">
        <v>1</v>
      </c>
      <c r="E140" s="461">
        <v>1</v>
      </c>
      <c r="F140" s="461">
        <v>9</v>
      </c>
      <c r="G140" s="461">
        <v>10</v>
      </c>
      <c r="H140" s="461">
        <v>10</v>
      </c>
      <c r="I140" s="461">
        <v>10</v>
      </c>
      <c r="J140" s="461">
        <v>10</v>
      </c>
      <c r="K140" s="461">
        <v>18</v>
      </c>
      <c r="L140" s="461">
        <v>2</v>
      </c>
      <c r="M140" s="461">
        <v>20</v>
      </c>
      <c r="N140" s="461">
        <v>0.5</v>
      </c>
      <c r="O140" s="461">
        <v>0.5</v>
      </c>
      <c r="P140" s="461">
        <v>0.5</v>
      </c>
      <c r="Q140" s="461">
        <v>80</v>
      </c>
      <c r="R140" s="461">
        <v>0.9</v>
      </c>
      <c r="S140" s="461">
        <v>0.1</v>
      </c>
      <c r="T140" s="461">
        <v>0.1</v>
      </c>
      <c r="U140" s="461">
        <v>0.9</v>
      </c>
      <c r="V140" s="461">
        <v>0.9</v>
      </c>
      <c r="W140" s="461">
        <v>0.1</v>
      </c>
      <c r="X140" s="461">
        <v>0.1</v>
      </c>
      <c r="Y140" s="461">
        <v>0.9</v>
      </c>
      <c r="Z140" s="461">
        <v>0.9</v>
      </c>
      <c r="AA140" s="461">
        <v>0.9</v>
      </c>
      <c r="AB140" s="461">
        <v>0.8</v>
      </c>
      <c r="AC140" s="461">
        <v>0.9</v>
      </c>
      <c r="AD140" s="461">
        <v>0.1</v>
      </c>
      <c r="AE140" s="461">
        <v>0.9</v>
      </c>
      <c r="AF140" s="488">
        <v>0.8</v>
      </c>
      <c r="AG140" s="461">
        <v>0.8</v>
      </c>
      <c r="AH140" s="488">
        <v>1</v>
      </c>
      <c r="AI140" s="488">
        <v>1</v>
      </c>
      <c r="AJ140" s="461">
        <v>1.4689955935892813</v>
      </c>
      <c r="AK140" s="461">
        <v>0.53100440641071889</v>
      </c>
      <c r="AL140" s="461">
        <v>0.53100440641071889</v>
      </c>
      <c r="AM140" s="461">
        <v>0</v>
      </c>
      <c r="AN140" s="461">
        <v>1</v>
      </c>
      <c r="AO140" s="461">
        <v>0</v>
      </c>
      <c r="AP140" s="461">
        <v>0.5</v>
      </c>
      <c r="AQ140" s="461">
        <v>1</v>
      </c>
      <c r="AR140" s="485" t="s">
        <v>347</v>
      </c>
      <c r="AS140" s="485" t="s">
        <v>347</v>
      </c>
      <c r="AT140" s="699" t="s">
        <v>520</v>
      </c>
      <c r="AU140" s="699" t="s">
        <v>521</v>
      </c>
      <c r="AV140" s="699" t="s">
        <v>516</v>
      </c>
      <c r="AW140" s="461">
        <v>0</v>
      </c>
      <c r="AX140" s="656">
        <v>0.1</v>
      </c>
      <c r="AY140" s="486">
        <v>0.31622776601683794</v>
      </c>
      <c r="AZ140" s="461">
        <v>0</v>
      </c>
      <c r="BA140" s="461">
        <v>2</v>
      </c>
      <c r="BB140" s="461">
        <v>0.4</v>
      </c>
      <c r="BC140" s="461">
        <v>0.38000000000000006</v>
      </c>
      <c r="BD140" s="461">
        <v>0.4</v>
      </c>
      <c r="BE140" s="461">
        <v>0.2</v>
      </c>
      <c r="BF140" s="665"/>
      <c r="BG140" s="461">
        <v>0.1</v>
      </c>
      <c r="BH140" s="461">
        <v>0</v>
      </c>
      <c r="BI140" s="461">
        <v>1</v>
      </c>
      <c r="BJ140" s="665"/>
      <c r="BK140" s="461">
        <v>0.2</v>
      </c>
      <c r="BL140" s="461">
        <v>0</v>
      </c>
      <c r="BM140" s="665"/>
      <c r="BN140" s="461">
        <v>4</v>
      </c>
      <c r="BO140" s="461">
        <v>8</v>
      </c>
      <c r="BP140" s="665"/>
      <c r="BQ140" s="665"/>
      <c r="BR140" s="665"/>
      <c r="BS140" s="665"/>
      <c r="BT140" s="665"/>
      <c r="BU140" s="665"/>
      <c r="BV140" s="665"/>
      <c r="BW140" s="665"/>
      <c r="BX140" s="665"/>
    </row>
    <row r="141" spans="1:76" ht="17" x14ac:dyDescent="0.25">
      <c r="A141" s="461">
        <v>11</v>
      </c>
      <c r="B141" s="483" t="s">
        <v>597</v>
      </c>
      <c r="C141" s="461">
        <v>10</v>
      </c>
      <c r="D141" s="461">
        <v>0</v>
      </c>
      <c r="E141" s="461">
        <v>0</v>
      </c>
      <c r="F141" s="461">
        <v>10</v>
      </c>
      <c r="G141" s="461">
        <v>10</v>
      </c>
      <c r="H141" s="461">
        <v>10</v>
      </c>
      <c r="I141" s="461">
        <v>10</v>
      </c>
      <c r="J141" s="461">
        <v>10</v>
      </c>
      <c r="K141" s="461">
        <v>20</v>
      </c>
      <c r="L141" s="461">
        <v>0</v>
      </c>
      <c r="M141" s="461">
        <v>20</v>
      </c>
      <c r="N141" s="461">
        <v>0.5</v>
      </c>
      <c r="O141" s="461">
        <v>0.5</v>
      </c>
      <c r="P141" s="461">
        <v>0.5</v>
      </c>
      <c r="Q141" s="461">
        <v>100</v>
      </c>
      <c r="R141" s="461">
        <v>1</v>
      </c>
      <c r="S141" s="461">
        <v>0</v>
      </c>
      <c r="T141" s="461">
        <v>0</v>
      </c>
      <c r="U141" s="461">
        <v>1</v>
      </c>
      <c r="V141" s="461">
        <v>1</v>
      </c>
      <c r="W141" s="461">
        <v>0</v>
      </c>
      <c r="X141" s="461">
        <v>0</v>
      </c>
      <c r="Y141" s="461">
        <v>1</v>
      </c>
      <c r="Z141" s="461">
        <v>1</v>
      </c>
      <c r="AA141" s="461">
        <v>1</v>
      </c>
      <c r="AB141" s="461">
        <v>1</v>
      </c>
      <c r="AC141" s="461">
        <v>1</v>
      </c>
      <c r="AD141" s="461">
        <v>0</v>
      </c>
      <c r="AE141" s="461">
        <v>1</v>
      </c>
      <c r="AF141" s="488">
        <v>1</v>
      </c>
      <c r="AG141" s="461">
        <v>1</v>
      </c>
      <c r="AH141" s="488">
        <v>1</v>
      </c>
      <c r="AI141" s="488">
        <v>1</v>
      </c>
      <c r="AJ141" s="461" t="e">
        <v>#NUM!</v>
      </c>
      <c r="AK141" s="461" t="e">
        <v>#NUM!</v>
      </c>
      <c r="AL141" s="461" t="e">
        <v>#NUM!</v>
      </c>
      <c r="AM141" s="461">
        <v>0</v>
      </c>
      <c r="AN141" s="461">
        <v>1</v>
      </c>
      <c r="AO141" s="461">
        <v>0</v>
      </c>
      <c r="AP141" s="461">
        <v>0.5</v>
      </c>
      <c r="AQ141" s="461">
        <v>1</v>
      </c>
      <c r="AR141" s="485" t="s">
        <v>347</v>
      </c>
      <c r="AS141" s="485" t="s">
        <v>347</v>
      </c>
      <c r="AT141" s="699" t="s">
        <v>520</v>
      </c>
      <c r="AU141" s="699" t="s">
        <v>521</v>
      </c>
      <c r="AV141" s="699" t="s">
        <v>553</v>
      </c>
      <c r="AW141" s="461">
        <v>0</v>
      </c>
      <c r="AX141" s="461">
        <v>0</v>
      </c>
      <c r="AY141" s="461">
        <v>0</v>
      </c>
      <c r="AZ141" s="461">
        <v>0</v>
      </c>
      <c r="BA141" s="461">
        <v>0</v>
      </c>
      <c r="BB141" s="461">
        <v>0</v>
      </c>
      <c r="BC141" s="461">
        <v>0</v>
      </c>
      <c r="BD141" s="461">
        <v>0</v>
      </c>
      <c r="BE141" s="461">
        <v>0</v>
      </c>
      <c r="BF141" s="665"/>
      <c r="BG141" s="461">
        <v>0</v>
      </c>
      <c r="BH141" s="461">
        <v>0</v>
      </c>
      <c r="BI141" s="461">
        <v>0</v>
      </c>
      <c r="BJ141" s="665"/>
      <c r="BK141" s="461">
        <v>0</v>
      </c>
      <c r="BL141" s="461">
        <v>0</v>
      </c>
      <c r="BM141" s="665"/>
      <c r="BN141" s="461">
        <v>0</v>
      </c>
      <c r="BO141" s="461">
        <v>0</v>
      </c>
      <c r="BP141" s="665"/>
      <c r="BQ141" s="665"/>
      <c r="BR141" s="665"/>
      <c r="BS141" s="665"/>
      <c r="BT141" s="665"/>
      <c r="BU141" s="665"/>
      <c r="BV141" s="665"/>
      <c r="BW141" s="665"/>
      <c r="BX141" s="665"/>
    </row>
    <row r="142" spans="1:76" ht="97" thickBot="1" x14ac:dyDescent="0.25">
      <c r="A142" s="765"/>
      <c r="B142" s="634" t="s">
        <v>837</v>
      </c>
      <c r="C142" s="633">
        <f>AVERAGE(C131:C141)</f>
        <v>5</v>
      </c>
      <c r="D142" s="633">
        <f t="shared" ref="D142:AQ142" si="19">AVERAGE(D131:D141)</f>
        <v>5</v>
      </c>
      <c r="E142" s="633">
        <f t="shared" si="19"/>
        <v>5</v>
      </c>
      <c r="F142" s="633">
        <f t="shared" si="19"/>
        <v>5</v>
      </c>
      <c r="G142" s="633">
        <f t="shared" si="19"/>
        <v>10</v>
      </c>
      <c r="H142" s="633">
        <f t="shared" si="19"/>
        <v>10</v>
      </c>
      <c r="I142" s="633">
        <f t="shared" si="19"/>
        <v>10</v>
      </c>
      <c r="J142" s="633">
        <f t="shared" si="19"/>
        <v>10</v>
      </c>
      <c r="K142" s="633">
        <f t="shared" si="19"/>
        <v>10</v>
      </c>
      <c r="L142" s="633">
        <f t="shared" si="19"/>
        <v>10</v>
      </c>
      <c r="M142" s="633">
        <f t="shared" si="19"/>
        <v>20</v>
      </c>
      <c r="N142" s="633">
        <f t="shared" si="19"/>
        <v>0.5</v>
      </c>
      <c r="O142" s="633">
        <f t="shared" si="19"/>
        <v>0.5</v>
      </c>
      <c r="P142" s="633">
        <f t="shared" si="19"/>
        <v>0.5</v>
      </c>
      <c r="Q142" s="633">
        <f t="shared" si="19"/>
        <v>0</v>
      </c>
      <c r="R142" s="633">
        <f t="shared" si="19"/>
        <v>0.5</v>
      </c>
      <c r="S142" s="633">
        <f t="shared" si="19"/>
        <v>0.5</v>
      </c>
      <c r="T142" s="633">
        <f t="shared" si="19"/>
        <v>0.5</v>
      </c>
      <c r="U142" s="633">
        <f t="shared" si="19"/>
        <v>0.5</v>
      </c>
      <c r="V142" s="633">
        <f t="shared" si="19"/>
        <v>0.5</v>
      </c>
      <c r="W142" s="633">
        <f t="shared" si="19"/>
        <v>0.5</v>
      </c>
      <c r="X142" s="633">
        <f t="shared" si="19"/>
        <v>0.5</v>
      </c>
      <c r="Y142" s="633">
        <f t="shared" si="19"/>
        <v>0.5</v>
      </c>
      <c r="Z142" s="633">
        <f t="shared" si="19"/>
        <v>0.5</v>
      </c>
      <c r="AA142" s="633">
        <f t="shared" si="19"/>
        <v>0.5</v>
      </c>
      <c r="AB142" s="633">
        <f t="shared" si="19"/>
        <v>0</v>
      </c>
      <c r="AC142" s="633">
        <f t="shared" si="19"/>
        <v>0.5</v>
      </c>
      <c r="AD142" s="633">
        <f t="shared" si="19"/>
        <v>0.5</v>
      </c>
      <c r="AE142" s="633" t="e">
        <f t="shared" si="19"/>
        <v>#DIV/0!</v>
      </c>
      <c r="AF142" s="659">
        <f t="shared" si="19"/>
        <v>0</v>
      </c>
      <c r="AG142" s="633">
        <f t="shared" si="19"/>
        <v>0</v>
      </c>
      <c r="AH142" s="659">
        <f t="shared" si="19"/>
        <v>1</v>
      </c>
      <c r="AI142" s="659">
        <f t="shared" si="19"/>
        <v>1</v>
      </c>
      <c r="AJ142" s="633" t="e">
        <f t="shared" si="19"/>
        <v>#NUM!</v>
      </c>
      <c r="AK142" s="633" t="e">
        <f t="shared" si="19"/>
        <v>#NUM!</v>
      </c>
      <c r="AL142" s="633" t="e">
        <f t="shared" si="19"/>
        <v>#NUM!</v>
      </c>
      <c r="AM142" s="633">
        <f t="shared" si="19"/>
        <v>0</v>
      </c>
      <c r="AN142" s="633">
        <f t="shared" si="19"/>
        <v>1</v>
      </c>
      <c r="AO142" s="633">
        <f t="shared" si="19"/>
        <v>0</v>
      </c>
      <c r="AP142" s="633">
        <f t="shared" si="19"/>
        <v>0.5</v>
      </c>
      <c r="AQ142" s="633">
        <f t="shared" si="19"/>
        <v>1</v>
      </c>
      <c r="AR142" s="633" t="s">
        <v>347</v>
      </c>
      <c r="AS142" s="633" t="s">
        <v>347</v>
      </c>
      <c r="AT142" s="738"/>
      <c r="AU142" s="738"/>
      <c r="AV142" s="738"/>
      <c r="AW142" s="833" t="s">
        <v>836</v>
      </c>
      <c r="AX142" s="660" t="str">
        <f>"From "&amp;AX131&amp;" to "&amp;AX141&amp; " in 10 unique values"</f>
        <v>From 1 to 0 in 10 unique values</v>
      </c>
      <c r="AY142" s="660" t="str">
        <f>"From "&amp;AY131&amp;" to "&amp;AY141&amp; " in 10 unique values"</f>
        <v>From 1 to 0 in 10 unique values</v>
      </c>
      <c r="AZ142" s="834" t="str">
        <f>"From "&amp;AZ131&amp;" to "&amp;AZ141&amp; " in three unique values (five 1s, one 0.5, and five 0s)"</f>
        <v>From 1 to 0 in three unique values (five 1s, one 0.5, and five 0s)</v>
      </c>
      <c r="BA142" s="660" t="str">
        <f>"From "&amp;BA131&amp;" to "&amp;BA141&amp; " in 10 unique values"</f>
        <v>From 20 to 0 in 10 unique values</v>
      </c>
      <c r="BB142" s="660" t="str">
        <f>"From "&amp;BB131&amp;" to "&amp;BB141&amp; " in 10 unique values"</f>
        <v>From 4 to 0 in 10 unique values</v>
      </c>
      <c r="BC142" s="660" t="str">
        <f>"From "&amp;BC131&amp;" to "&amp;BC141&amp; " in 10 unique values"</f>
        <v>From 3.8 to 0 in 10 unique values</v>
      </c>
      <c r="BD142" s="660" t="str">
        <f>"From "&amp;BD131&amp;" to "&amp;BD141&amp; " in 10 unique values"</f>
        <v>From 4 to 0 in 10 unique values</v>
      </c>
      <c r="BE142" s="660" t="str">
        <f>"From "&amp;BE131&amp;" to "&amp;BE141&amp; " in 10 unique values"</f>
        <v>From 2 to 0 in 10 unique values</v>
      </c>
      <c r="BF142" s="835" t="s">
        <v>504</v>
      </c>
      <c r="BG142" s="660" t="str">
        <f>"From "&amp;BG131&amp;" to "&amp;BG141&amp; " in 10 unique values"</f>
        <v>From 1 to 0 in 10 unique values</v>
      </c>
      <c r="BH142" s="834" t="str">
        <f>"From "&amp;BH131&amp;" to "&amp;BH141&amp; " in three unique values (five 1s, one 0.5, and five 0s)"</f>
        <v>From 1 to 0 in three unique values (five 1s, one 0.5, and five 0s)</v>
      </c>
      <c r="BI142" s="834" t="str">
        <f>"From "&amp;BI131&amp;" to "&amp;BI141&amp; " in two unique values (ten 1s and one 0)"</f>
        <v>From 1 to 0 in two unique values (ten 1s and one 0)</v>
      </c>
      <c r="BJ142" s="835" t="s">
        <v>504</v>
      </c>
      <c r="BK142" s="660" t="str">
        <f>"From "&amp;BK131&amp;" to "&amp;BK141&amp; " in 10 unique values"</f>
        <v>From 2 to 0 in 10 unique values</v>
      </c>
      <c r="BL142" s="834" t="str">
        <f>"From "&amp;BL131&amp;" to "&amp;BL141&amp; " in three unique values (five 2s, one 1, and five 0s)"</f>
        <v>From 2 to 0 in three unique values (five 2s, one 1, and five 0s)</v>
      </c>
      <c r="BM142" s="835" t="s">
        <v>504</v>
      </c>
      <c r="BN142" s="660" t="str">
        <f>"From "&amp;BN131&amp;" to "&amp;BN141&amp; " in 10 unique values"</f>
        <v>From 40 to 0 in 10 unique values</v>
      </c>
      <c r="BO142" s="660" t="str">
        <f>"From "&amp;BO131&amp;" to "&amp;BO141&amp; " in 10 unique values"</f>
        <v>From 80 to 0 in 10 unique values</v>
      </c>
      <c r="BP142" s="835" t="s">
        <v>504</v>
      </c>
      <c r="BQ142" s="835" t="s">
        <v>504</v>
      </c>
      <c r="BR142" s="835" t="s">
        <v>504</v>
      </c>
      <c r="BS142" s="835" t="s">
        <v>504</v>
      </c>
      <c r="BT142" s="835" t="s">
        <v>504</v>
      </c>
      <c r="BU142" s="835" t="s">
        <v>504</v>
      </c>
      <c r="BV142" s="835" t="s">
        <v>504</v>
      </c>
      <c r="BW142" s="835" t="s">
        <v>504</v>
      </c>
      <c r="BX142" s="835" t="s">
        <v>504</v>
      </c>
    </row>
    <row r="143" spans="1:76" ht="17" x14ac:dyDescent="0.25">
      <c r="A143" s="461">
        <v>1</v>
      </c>
      <c r="B143" s="483" t="s">
        <v>839</v>
      </c>
      <c r="C143" s="461">
        <v>0</v>
      </c>
      <c r="D143" s="461">
        <v>10</v>
      </c>
      <c r="E143" s="461">
        <v>10</v>
      </c>
      <c r="F143" s="461">
        <v>0</v>
      </c>
      <c r="G143" s="461">
        <v>10</v>
      </c>
      <c r="H143" s="461">
        <v>10</v>
      </c>
      <c r="I143" s="461">
        <v>10</v>
      </c>
      <c r="J143" s="461">
        <v>10</v>
      </c>
      <c r="K143" s="461">
        <v>0</v>
      </c>
      <c r="L143" s="461">
        <v>20</v>
      </c>
      <c r="M143" s="461">
        <v>20</v>
      </c>
      <c r="N143" s="461">
        <v>0.5</v>
      </c>
      <c r="O143" s="461">
        <v>0.5</v>
      </c>
      <c r="P143" s="488">
        <v>0.5</v>
      </c>
      <c r="Q143" s="461">
        <v>-100</v>
      </c>
      <c r="R143" s="461">
        <v>0</v>
      </c>
      <c r="S143" s="461">
        <v>1</v>
      </c>
      <c r="T143" s="461">
        <v>1</v>
      </c>
      <c r="U143" s="461">
        <v>0</v>
      </c>
      <c r="V143" s="461">
        <v>0</v>
      </c>
      <c r="W143" s="461">
        <v>1</v>
      </c>
      <c r="X143" s="461">
        <v>1</v>
      </c>
      <c r="Y143" s="461">
        <v>0</v>
      </c>
      <c r="Z143" s="461">
        <v>0</v>
      </c>
      <c r="AA143" s="461">
        <v>0</v>
      </c>
      <c r="AB143" s="461">
        <v>-1</v>
      </c>
      <c r="AC143" s="461">
        <v>0</v>
      </c>
      <c r="AD143" s="461">
        <v>1</v>
      </c>
      <c r="AE143" s="461" t="e">
        <v>#DIV/0!</v>
      </c>
      <c r="AF143" s="488">
        <v>-1</v>
      </c>
      <c r="AG143" s="461">
        <v>-1</v>
      </c>
      <c r="AH143" s="488">
        <v>1</v>
      </c>
      <c r="AI143" s="488">
        <v>1</v>
      </c>
      <c r="AJ143" s="461" t="e">
        <v>#NUM!</v>
      </c>
      <c r="AK143" s="461" t="e">
        <v>#NUM!</v>
      </c>
      <c r="AL143" s="461" t="e">
        <v>#NUM!</v>
      </c>
      <c r="AM143" s="461">
        <v>0</v>
      </c>
      <c r="AN143" s="461">
        <v>1</v>
      </c>
      <c r="AO143" s="461">
        <v>0</v>
      </c>
      <c r="AP143" s="461">
        <v>0.5</v>
      </c>
      <c r="AQ143" s="461">
        <v>1</v>
      </c>
      <c r="AR143" s="485" t="s">
        <v>347</v>
      </c>
      <c r="AS143" s="485" t="s">
        <v>347</v>
      </c>
      <c r="AT143" s="836" t="e">
        <v>#REF!</v>
      </c>
      <c r="AU143" s="836" t="e">
        <v>#REF!</v>
      </c>
      <c r="AV143" s="836" t="e">
        <v>#REF!</v>
      </c>
      <c r="AW143" s="486">
        <v>-5.5511151231257827E-17</v>
      </c>
      <c r="AX143" s="486">
        <v>0.98009999999999997</v>
      </c>
      <c r="AY143" s="486">
        <v>0.99</v>
      </c>
      <c r="AZ143" s="486">
        <v>0.98009999999999997</v>
      </c>
      <c r="BA143" s="486">
        <v>19.602</v>
      </c>
      <c r="BB143" s="486">
        <v>3.9204000000000008</v>
      </c>
      <c r="BC143" s="486">
        <v>3.72438</v>
      </c>
      <c r="BD143" s="486">
        <v>3.9203999999999999</v>
      </c>
      <c r="BE143" s="486">
        <v>1.9601999999999999</v>
      </c>
      <c r="BF143" s="661" t="e">
        <v>#DIV/0!</v>
      </c>
      <c r="BG143" s="486">
        <v>0.98999999999999988</v>
      </c>
      <c r="BH143" s="486">
        <v>0.99</v>
      </c>
      <c r="BI143" s="486">
        <v>0.99</v>
      </c>
      <c r="BJ143" s="486">
        <v>0.99</v>
      </c>
      <c r="BK143" s="486">
        <v>1.9799999999999998</v>
      </c>
      <c r="BL143" s="486">
        <v>1.98</v>
      </c>
      <c r="BM143" s="486">
        <v>1.98</v>
      </c>
      <c r="BN143" s="486">
        <v>39.599999999999994</v>
      </c>
      <c r="BO143" s="486">
        <v>78.408000000000001</v>
      </c>
      <c r="BP143" s="661" t="e">
        <v>#DIV/0!</v>
      </c>
      <c r="BQ143" s="661" t="e">
        <v>#DIV/0!</v>
      </c>
      <c r="BR143" s="661">
        <v>50</v>
      </c>
      <c r="BS143" s="661" t="e">
        <v>#DIV/0!</v>
      </c>
      <c r="BT143" s="661" t="e">
        <v>#DIV/0!</v>
      </c>
      <c r="BU143" s="661" t="e">
        <v>#DIV/0!</v>
      </c>
      <c r="BV143" s="486">
        <v>0.99009900990099031</v>
      </c>
      <c r="BW143" s="486">
        <v>0.99009900990099009</v>
      </c>
      <c r="BX143" s="661">
        <v>3.3291778797349201</v>
      </c>
    </row>
    <row r="144" spans="1:76" ht="17" x14ac:dyDescent="0.25">
      <c r="A144" s="461">
        <v>2</v>
      </c>
      <c r="B144" s="483" t="s">
        <v>840</v>
      </c>
      <c r="C144" s="461">
        <v>1</v>
      </c>
      <c r="D144" s="461">
        <v>9</v>
      </c>
      <c r="E144" s="461">
        <v>9</v>
      </c>
      <c r="F144" s="461">
        <v>1</v>
      </c>
      <c r="G144" s="461">
        <v>10</v>
      </c>
      <c r="H144" s="461">
        <v>10</v>
      </c>
      <c r="I144" s="461">
        <v>10</v>
      </c>
      <c r="J144" s="461">
        <v>10</v>
      </c>
      <c r="K144" s="461">
        <v>2</v>
      </c>
      <c r="L144" s="461">
        <v>18</v>
      </c>
      <c r="M144" s="461">
        <v>20</v>
      </c>
      <c r="N144" s="461">
        <v>0.5</v>
      </c>
      <c r="O144" s="461">
        <v>0.5</v>
      </c>
      <c r="P144" s="488">
        <v>0.5</v>
      </c>
      <c r="Q144" s="461">
        <v>-80</v>
      </c>
      <c r="R144" s="461">
        <v>0.1</v>
      </c>
      <c r="S144" s="461">
        <v>0.9</v>
      </c>
      <c r="T144" s="461">
        <v>0.9</v>
      </c>
      <c r="U144" s="461">
        <v>0.1</v>
      </c>
      <c r="V144" s="461">
        <v>0.1</v>
      </c>
      <c r="W144" s="461">
        <v>0.9</v>
      </c>
      <c r="X144" s="461">
        <v>0.9</v>
      </c>
      <c r="Y144" s="461">
        <v>0.1</v>
      </c>
      <c r="Z144" s="461">
        <v>0.1</v>
      </c>
      <c r="AA144" s="461">
        <v>0.1</v>
      </c>
      <c r="AB144" s="461">
        <v>-0.8</v>
      </c>
      <c r="AC144" s="461">
        <v>0.1</v>
      </c>
      <c r="AD144" s="461">
        <v>0.9</v>
      </c>
      <c r="AE144" s="461">
        <v>0.10000000000000002</v>
      </c>
      <c r="AF144" s="488">
        <v>-0.8</v>
      </c>
      <c r="AG144" s="461">
        <v>-0.8</v>
      </c>
      <c r="AH144" s="488">
        <v>1</v>
      </c>
      <c r="AI144" s="488">
        <v>1</v>
      </c>
      <c r="AJ144" s="461">
        <v>1.4689955935892813</v>
      </c>
      <c r="AK144" s="461">
        <v>0.53100440641071889</v>
      </c>
      <c r="AL144" s="461">
        <v>0.53100440641071889</v>
      </c>
      <c r="AM144" s="461">
        <v>0</v>
      </c>
      <c r="AN144" s="461">
        <v>1</v>
      </c>
      <c r="AO144" s="461">
        <v>0</v>
      </c>
      <c r="AP144" s="461">
        <v>0.5</v>
      </c>
      <c r="AQ144" s="461">
        <v>1</v>
      </c>
      <c r="AR144" s="485" t="s">
        <v>347</v>
      </c>
      <c r="AS144" s="485" t="s">
        <v>347</v>
      </c>
      <c r="AT144" s="836" t="e">
        <v>#REF!</v>
      </c>
      <c r="AU144" s="836" t="e">
        <v>#REF!</v>
      </c>
      <c r="AV144" s="836" t="e">
        <v>#REF!</v>
      </c>
      <c r="AW144" s="486">
        <v>-5.5511151231257827E-17</v>
      </c>
      <c r="AX144" s="486">
        <v>0.8821</v>
      </c>
      <c r="AY144" s="486">
        <v>0.93920178875468507</v>
      </c>
      <c r="AZ144" s="486">
        <v>0.98009999999999997</v>
      </c>
      <c r="BA144" s="486">
        <v>17.641999999999999</v>
      </c>
      <c r="BB144" s="486">
        <v>3.5284000000000009</v>
      </c>
      <c r="BC144" s="486">
        <v>3.3519800000000002</v>
      </c>
      <c r="BD144" s="486">
        <v>3.5284</v>
      </c>
      <c r="BE144" s="486">
        <v>1.7642</v>
      </c>
      <c r="BF144" s="661" t="e">
        <v>#DIV/0!</v>
      </c>
      <c r="BG144" s="486">
        <v>0.89200000000000002</v>
      </c>
      <c r="BH144" s="486">
        <v>0.99</v>
      </c>
      <c r="BI144" s="486">
        <v>0.99</v>
      </c>
      <c r="BJ144" s="661">
        <v>0.62527587860602729</v>
      </c>
      <c r="BK144" s="486">
        <v>1.784</v>
      </c>
      <c r="BL144" s="486">
        <v>1.98</v>
      </c>
      <c r="BM144" s="661">
        <v>1.2505517572120546</v>
      </c>
      <c r="BN144" s="486">
        <v>35.68</v>
      </c>
      <c r="BO144" s="486">
        <v>70.567999999999998</v>
      </c>
      <c r="BP144" s="661" t="e">
        <v>#DIV/0!</v>
      </c>
      <c r="BQ144" s="661" t="e">
        <v>#DIV/0!</v>
      </c>
      <c r="BR144" s="661">
        <v>45.050505050505052</v>
      </c>
      <c r="BS144" s="661" t="e">
        <v>#DIV/0!</v>
      </c>
      <c r="BT144" s="661" t="e">
        <v>#DIV/0!</v>
      </c>
      <c r="BU144" s="661" t="e">
        <v>#DIV/0!</v>
      </c>
      <c r="BV144" s="661">
        <v>0.94134036519229836</v>
      </c>
      <c r="BW144" s="661">
        <v>0.99009900990099009</v>
      </c>
      <c r="BX144" s="661">
        <v>3.3291778797349196</v>
      </c>
    </row>
    <row r="145" spans="1:76" ht="17" x14ac:dyDescent="0.25">
      <c r="A145" s="461">
        <v>3</v>
      </c>
      <c r="B145" s="483" t="s">
        <v>841</v>
      </c>
      <c r="C145" s="461">
        <v>2</v>
      </c>
      <c r="D145" s="461">
        <v>8</v>
      </c>
      <c r="E145" s="461">
        <v>8</v>
      </c>
      <c r="F145" s="461">
        <v>2</v>
      </c>
      <c r="G145" s="461">
        <v>10</v>
      </c>
      <c r="H145" s="461">
        <v>10</v>
      </c>
      <c r="I145" s="461">
        <v>10</v>
      </c>
      <c r="J145" s="461">
        <v>10</v>
      </c>
      <c r="K145" s="461">
        <v>4</v>
      </c>
      <c r="L145" s="461">
        <v>16</v>
      </c>
      <c r="M145" s="461">
        <v>20</v>
      </c>
      <c r="N145" s="461">
        <v>0.5</v>
      </c>
      <c r="O145" s="461">
        <v>0.5</v>
      </c>
      <c r="P145" s="488">
        <v>0.5</v>
      </c>
      <c r="Q145" s="461">
        <v>-60</v>
      </c>
      <c r="R145" s="461">
        <v>0.2</v>
      </c>
      <c r="S145" s="461">
        <v>0.8</v>
      </c>
      <c r="T145" s="461">
        <v>0.8</v>
      </c>
      <c r="U145" s="461">
        <v>0.2</v>
      </c>
      <c r="V145" s="461">
        <v>0.2</v>
      </c>
      <c r="W145" s="461">
        <v>0.8</v>
      </c>
      <c r="X145" s="461">
        <v>0.8</v>
      </c>
      <c r="Y145" s="461">
        <v>0.2</v>
      </c>
      <c r="Z145" s="461">
        <v>0.2</v>
      </c>
      <c r="AA145" s="461">
        <v>0.2</v>
      </c>
      <c r="AB145" s="461">
        <v>-0.6</v>
      </c>
      <c r="AC145" s="461">
        <v>0.2</v>
      </c>
      <c r="AD145" s="461">
        <v>0.8</v>
      </c>
      <c r="AE145" s="461">
        <v>0.20000000000000004</v>
      </c>
      <c r="AF145" s="488">
        <v>-0.6</v>
      </c>
      <c r="AG145" s="461">
        <v>-0.6</v>
      </c>
      <c r="AH145" s="488">
        <v>1</v>
      </c>
      <c r="AI145" s="488">
        <v>1</v>
      </c>
      <c r="AJ145" s="461">
        <v>1.7219280948873623</v>
      </c>
      <c r="AK145" s="461">
        <v>0.2780719051126378</v>
      </c>
      <c r="AL145" s="461">
        <v>0.2780719051126378</v>
      </c>
      <c r="AM145" s="461">
        <v>0</v>
      </c>
      <c r="AN145" s="461">
        <v>1</v>
      </c>
      <c r="AO145" s="461">
        <v>0</v>
      </c>
      <c r="AP145" s="461">
        <v>0.5</v>
      </c>
      <c r="AQ145" s="461">
        <v>1</v>
      </c>
      <c r="AR145" s="485" t="s">
        <v>347</v>
      </c>
      <c r="AS145" s="485" t="s">
        <v>347</v>
      </c>
      <c r="AT145" s="836" t="e">
        <v>#REF!</v>
      </c>
      <c r="AU145" s="836" t="e">
        <v>#REF!</v>
      </c>
      <c r="AV145" s="836" t="e">
        <v>#REF!</v>
      </c>
      <c r="AW145" s="486">
        <v>0</v>
      </c>
      <c r="AX145" s="486">
        <v>0.78410000000000002</v>
      </c>
      <c r="AY145" s="486">
        <v>0.88549421229051517</v>
      </c>
      <c r="AZ145" s="486">
        <v>0.98009999999999997</v>
      </c>
      <c r="BA145" s="486">
        <v>15.682</v>
      </c>
      <c r="BB145" s="486">
        <v>3.136400000000001</v>
      </c>
      <c r="BC145" s="486">
        <v>2.9795800000000003</v>
      </c>
      <c r="BD145" s="486">
        <v>3.1364000000000001</v>
      </c>
      <c r="BE145" s="486">
        <v>1.5682</v>
      </c>
      <c r="BF145" s="661" t="e">
        <v>#DIV/0!</v>
      </c>
      <c r="BG145" s="486">
        <v>0.79400000000000004</v>
      </c>
      <c r="BH145" s="486">
        <v>0.99</v>
      </c>
      <c r="BI145" s="486">
        <v>0.99</v>
      </c>
      <c r="BJ145" s="661">
        <v>0.39491911552175696</v>
      </c>
      <c r="BK145" s="486">
        <v>1.5880000000000001</v>
      </c>
      <c r="BL145" s="486">
        <v>1.98</v>
      </c>
      <c r="BM145" s="661">
        <v>0.78983823104351392</v>
      </c>
      <c r="BN145" s="486">
        <v>31.76</v>
      </c>
      <c r="BO145" s="486">
        <v>62.728000000000002</v>
      </c>
      <c r="BP145" s="661" t="e">
        <v>#DIV/0!</v>
      </c>
      <c r="BQ145" s="661" t="e">
        <v>#DIV/0!</v>
      </c>
      <c r="BR145" s="661">
        <v>40.101010101010104</v>
      </c>
      <c r="BS145" s="661" t="e">
        <v>#DIV/0!</v>
      </c>
      <c r="BT145" s="661" t="e">
        <v>#DIV/0!</v>
      </c>
      <c r="BU145" s="661" t="e">
        <v>#DIV/0!</v>
      </c>
      <c r="BV145" s="661">
        <v>0.89258172048360618</v>
      </c>
      <c r="BW145" s="661">
        <v>0.99009900990099009</v>
      </c>
      <c r="BX145" s="661">
        <v>3.3291778797349196</v>
      </c>
    </row>
    <row r="146" spans="1:76" ht="17" x14ac:dyDescent="0.25">
      <c r="A146" s="461">
        <v>4</v>
      </c>
      <c r="B146" s="483" t="s">
        <v>842</v>
      </c>
      <c r="C146" s="461">
        <v>3</v>
      </c>
      <c r="D146" s="461">
        <v>7</v>
      </c>
      <c r="E146" s="461">
        <v>7</v>
      </c>
      <c r="F146" s="461">
        <v>3</v>
      </c>
      <c r="G146" s="461">
        <v>10</v>
      </c>
      <c r="H146" s="461">
        <v>10</v>
      </c>
      <c r="I146" s="461">
        <v>10</v>
      </c>
      <c r="J146" s="461">
        <v>10</v>
      </c>
      <c r="K146" s="461">
        <v>6</v>
      </c>
      <c r="L146" s="461">
        <v>14</v>
      </c>
      <c r="M146" s="461">
        <v>20</v>
      </c>
      <c r="N146" s="461">
        <v>0.5</v>
      </c>
      <c r="O146" s="461">
        <v>0.5</v>
      </c>
      <c r="P146" s="488">
        <v>0.5</v>
      </c>
      <c r="Q146" s="461">
        <v>-40</v>
      </c>
      <c r="R146" s="461">
        <v>0.3</v>
      </c>
      <c r="S146" s="461">
        <v>0.7</v>
      </c>
      <c r="T146" s="461">
        <v>0.7</v>
      </c>
      <c r="U146" s="461">
        <v>0.3</v>
      </c>
      <c r="V146" s="461">
        <v>0.3</v>
      </c>
      <c r="W146" s="461">
        <v>0.7</v>
      </c>
      <c r="X146" s="461">
        <v>0.7</v>
      </c>
      <c r="Y146" s="461">
        <v>0.3</v>
      </c>
      <c r="Z146" s="461">
        <v>0.3</v>
      </c>
      <c r="AA146" s="461">
        <v>0.3</v>
      </c>
      <c r="AB146" s="461">
        <v>-0.4</v>
      </c>
      <c r="AC146" s="461">
        <v>0.3</v>
      </c>
      <c r="AD146" s="461">
        <v>0.7</v>
      </c>
      <c r="AE146" s="461">
        <v>0.3</v>
      </c>
      <c r="AF146" s="488">
        <v>-0.4</v>
      </c>
      <c r="AG146" s="461">
        <v>-0.4</v>
      </c>
      <c r="AH146" s="488">
        <v>1</v>
      </c>
      <c r="AI146" s="488">
        <v>1</v>
      </c>
      <c r="AJ146" s="461">
        <v>1.8812908992306927</v>
      </c>
      <c r="AK146" s="461">
        <v>0.1187091007693073</v>
      </c>
      <c r="AL146" s="461">
        <v>0.1187091007693073</v>
      </c>
      <c r="AM146" s="461">
        <v>0</v>
      </c>
      <c r="AN146" s="461">
        <v>1</v>
      </c>
      <c r="AO146" s="461">
        <v>0</v>
      </c>
      <c r="AP146" s="461">
        <v>0.5</v>
      </c>
      <c r="AQ146" s="461">
        <v>1</v>
      </c>
      <c r="AR146" s="485" t="s">
        <v>347</v>
      </c>
      <c r="AS146" s="485" t="s">
        <v>347</v>
      </c>
      <c r="AT146" s="836" t="e">
        <v>#REF!</v>
      </c>
      <c r="AU146" s="836" t="e">
        <v>#REF!</v>
      </c>
      <c r="AV146" s="836" t="e">
        <v>#REF!</v>
      </c>
      <c r="AW146" s="486">
        <v>0</v>
      </c>
      <c r="AX146" s="486">
        <v>0.68609999999999993</v>
      </c>
      <c r="AY146" s="486">
        <v>0.82831153559515269</v>
      </c>
      <c r="AZ146" s="486">
        <v>0.98009999999999997</v>
      </c>
      <c r="BA146" s="486">
        <v>13.722</v>
      </c>
      <c r="BB146" s="486">
        <v>2.7444000000000002</v>
      </c>
      <c r="BC146" s="486">
        <v>2.6071800000000001</v>
      </c>
      <c r="BD146" s="486">
        <v>2.7443999999999997</v>
      </c>
      <c r="BE146" s="486">
        <v>1.3721999999999999</v>
      </c>
      <c r="BF146" s="661" t="e">
        <v>#DIV/0!</v>
      </c>
      <c r="BG146" s="486">
        <v>0.69599999999999995</v>
      </c>
      <c r="BH146" s="486">
        <v>0.99</v>
      </c>
      <c r="BI146" s="486">
        <v>0.99</v>
      </c>
      <c r="BJ146" s="661">
        <v>0.24942767367291091</v>
      </c>
      <c r="BK146" s="486">
        <v>1.3919999999999999</v>
      </c>
      <c r="BL146" s="486">
        <v>1.98</v>
      </c>
      <c r="BM146" s="661">
        <v>0.49885534734582182</v>
      </c>
      <c r="BN146" s="486">
        <v>27.84</v>
      </c>
      <c r="BO146" s="486">
        <v>54.887999999999998</v>
      </c>
      <c r="BP146" s="661" t="e">
        <v>#DIV/0!</v>
      </c>
      <c r="BQ146" s="661" t="e">
        <v>#DIV/0!</v>
      </c>
      <c r="BR146" s="661">
        <v>35.151515151515149</v>
      </c>
      <c r="BS146" s="661" t="e">
        <v>#DIV/0!</v>
      </c>
      <c r="BT146" s="661" t="e">
        <v>#DIV/0!</v>
      </c>
      <c r="BU146" s="661" t="e">
        <v>#DIV/0!</v>
      </c>
      <c r="BV146" s="661">
        <v>0.84382307577491422</v>
      </c>
      <c r="BW146" s="661">
        <v>0.99009900990099009</v>
      </c>
      <c r="BX146" s="661">
        <v>3.3291778797349196</v>
      </c>
    </row>
    <row r="147" spans="1:76" ht="17" x14ac:dyDescent="0.25">
      <c r="A147" s="461">
        <v>5</v>
      </c>
      <c r="B147" s="483" t="s">
        <v>843</v>
      </c>
      <c r="C147" s="461">
        <v>4</v>
      </c>
      <c r="D147" s="461">
        <v>6</v>
      </c>
      <c r="E147" s="461">
        <v>6</v>
      </c>
      <c r="F147" s="461">
        <v>4</v>
      </c>
      <c r="G147" s="461">
        <v>10</v>
      </c>
      <c r="H147" s="461">
        <v>10</v>
      </c>
      <c r="I147" s="461">
        <v>10</v>
      </c>
      <c r="J147" s="461">
        <v>10</v>
      </c>
      <c r="K147" s="461">
        <v>8</v>
      </c>
      <c r="L147" s="461">
        <v>12</v>
      </c>
      <c r="M147" s="461">
        <v>20</v>
      </c>
      <c r="N147" s="461">
        <v>0.5</v>
      </c>
      <c r="O147" s="461">
        <v>0.5</v>
      </c>
      <c r="P147" s="488">
        <v>0.5</v>
      </c>
      <c r="Q147" s="461">
        <v>-20</v>
      </c>
      <c r="R147" s="461">
        <v>0.4</v>
      </c>
      <c r="S147" s="461">
        <v>0.6</v>
      </c>
      <c r="T147" s="461">
        <v>0.6</v>
      </c>
      <c r="U147" s="461">
        <v>0.4</v>
      </c>
      <c r="V147" s="461">
        <v>0.4</v>
      </c>
      <c r="W147" s="461">
        <v>0.6</v>
      </c>
      <c r="X147" s="461">
        <v>0.6</v>
      </c>
      <c r="Y147" s="461">
        <v>0.4</v>
      </c>
      <c r="Z147" s="461">
        <v>0.4</v>
      </c>
      <c r="AA147" s="461">
        <v>0.4</v>
      </c>
      <c r="AB147" s="461">
        <v>-0.19999999999999996</v>
      </c>
      <c r="AC147" s="461">
        <v>0.4</v>
      </c>
      <c r="AD147" s="461">
        <v>0.6</v>
      </c>
      <c r="AE147" s="461">
        <v>0.40000000000000008</v>
      </c>
      <c r="AF147" s="488">
        <v>-0.2</v>
      </c>
      <c r="AG147" s="461">
        <v>-0.2</v>
      </c>
      <c r="AH147" s="488">
        <v>1</v>
      </c>
      <c r="AI147" s="488">
        <v>1</v>
      </c>
      <c r="AJ147" s="461">
        <v>1.9709505944546686</v>
      </c>
      <c r="AK147" s="461">
        <v>2.9049405545331364E-2</v>
      </c>
      <c r="AL147" s="461">
        <v>2.9049405545331364E-2</v>
      </c>
      <c r="AM147" s="461">
        <v>0</v>
      </c>
      <c r="AN147" s="461">
        <v>1</v>
      </c>
      <c r="AO147" s="461">
        <v>0</v>
      </c>
      <c r="AP147" s="461">
        <v>0.5</v>
      </c>
      <c r="AQ147" s="461">
        <v>1</v>
      </c>
      <c r="AR147" s="485" t="s">
        <v>347</v>
      </c>
      <c r="AS147" s="485" t="s">
        <v>347</v>
      </c>
      <c r="AT147" s="836" t="e">
        <v>#REF!</v>
      </c>
      <c r="AU147" s="836" t="e">
        <v>#REF!</v>
      </c>
      <c r="AV147" s="836" t="e">
        <v>#REF!</v>
      </c>
      <c r="AW147" s="486">
        <v>0</v>
      </c>
      <c r="AX147" s="486">
        <v>0.58809999999999996</v>
      </c>
      <c r="AY147" s="486">
        <v>0.76687678280151361</v>
      </c>
      <c r="AZ147" s="486">
        <v>0.98009999999999997</v>
      </c>
      <c r="BA147" s="486">
        <v>11.761999999999999</v>
      </c>
      <c r="BB147" s="486">
        <v>2.3524000000000003</v>
      </c>
      <c r="BC147" s="486">
        <v>2.2347799999999998</v>
      </c>
      <c r="BD147" s="486">
        <v>2.3523999999999998</v>
      </c>
      <c r="BE147" s="486">
        <v>1.1761999999999999</v>
      </c>
      <c r="BF147" s="661" t="e">
        <v>#DIV/0!</v>
      </c>
      <c r="BG147" s="486">
        <v>0.59799999999999998</v>
      </c>
      <c r="BH147" s="486">
        <v>0.99</v>
      </c>
      <c r="BI147" s="486">
        <v>0.99</v>
      </c>
      <c r="BJ147" s="661">
        <v>0.15753647252978467</v>
      </c>
      <c r="BK147" s="486">
        <v>1.196</v>
      </c>
      <c r="BL147" s="486">
        <v>1.98</v>
      </c>
      <c r="BM147" s="661">
        <v>0.31507294505956934</v>
      </c>
      <c r="BN147" s="486">
        <v>23.919999999999998</v>
      </c>
      <c r="BO147" s="486">
        <v>47.047999999999995</v>
      </c>
      <c r="BP147" s="661" t="e">
        <v>#DIV/0!</v>
      </c>
      <c r="BQ147" s="661" t="e">
        <v>#DIV/0!</v>
      </c>
      <c r="BR147" s="661">
        <v>30.202020202020201</v>
      </c>
      <c r="BS147" s="661" t="e">
        <v>#DIV/0!</v>
      </c>
      <c r="BT147" s="661" t="e">
        <v>#DIV/0!</v>
      </c>
      <c r="BU147" s="661" t="e">
        <v>#DIV/0!</v>
      </c>
      <c r="BV147" s="661">
        <v>0.79506443106622215</v>
      </c>
      <c r="BW147" s="661">
        <v>0.99009900990099009</v>
      </c>
      <c r="BX147" s="661">
        <v>3.3291778797349196</v>
      </c>
    </row>
    <row r="148" spans="1:76" ht="17" x14ac:dyDescent="0.25">
      <c r="A148" s="461">
        <v>6</v>
      </c>
      <c r="B148" s="483" t="s">
        <v>844</v>
      </c>
      <c r="C148" s="461">
        <v>5</v>
      </c>
      <c r="D148" s="461">
        <v>5</v>
      </c>
      <c r="E148" s="461">
        <v>5</v>
      </c>
      <c r="F148" s="461">
        <v>5</v>
      </c>
      <c r="G148" s="461">
        <v>10</v>
      </c>
      <c r="H148" s="461">
        <v>10</v>
      </c>
      <c r="I148" s="461">
        <v>10</v>
      </c>
      <c r="J148" s="461">
        <v>10</v>
      </c>
      <c r="K148" s="461">
        <v>10</v>
      </c>
      <c r="L148" s="461">
        <v>10</v>
      </c>
      <c r="M148" s="461">
        <v>20</v>
      </c>
      <c r="N148" s="461">
        <v>0.5</v>
      </c>
      <c r="O148" s="461">
        <v>0.5</v>
      </c>
      <c r="P148" s="488">
        <v>0.5</v>
      </c>
      <c r="Q148" s="461">
        <v>0</v>
      </c>
      <c r="R148" s="461">
        <v>0.5</v>
      </c>
      <c r="S148" s="461">
        <v>0.5</v>
      </c>
      <c r="T148" s="461">
        <v>0.5</v>
      </c>
      <c r="U148" s="461">
        <v>0.5</v>
      </c>
      <c r="V148" s="461">
        <v>0.5</v>
      </c>
      <c r="W148" s="461">
        <v>0.5</v>
      </c>
      <c r="X148" s="461">
        <v>0.5</v>
      </c>
      <c r="Y148" s="461">
        <v>0.5</v>
      </c>
      <c r="Z148" s="461">
        <v>0.5</v>
      </c>
      <c r="AA148" s="461">
        <v>0.5</v>
      </c>
      <c r="AB148" s="461">
        <v>0</v>
      </c>
      <c r="AC148" s="461">
        <v>0.5</v>
      </c>
      <c r="AD148" s="461">
        <v>0.5</v>
      </c>
      <c r="AE148" s="461">
        <v>0.5</v>
      </c>
      <c r="AF148" s="488">
        <v>0</v>
      </c>
      <c r="AG148" s="461">
        <v>0</v>
      </c>
      <c r="AH148" s="488">
        <v>1</v>
      </c>
      <c r="AI148" s="488">
        <v>1</v>
      </c>
      <c r="AJ148" s="461">
        <v>2</v>
      </c>
      <c r="AK148" s="461">
        <v>0</v>
      </c>
      <c r="AL148" s="461">
        <v>0</v>
      </c>
      <c r="AM148" s="461">
        <v>0</v>
      </c>
      <c r="AN148" s="461">
        <v>1</v>
      </c>
      <c r="AO148" s="461">
        <v>0</v>
      </c>
      <c r="AP148" s="461">
        <v>0.5</v>
      </c>
      <c r="AQ148" s="461">
        <v>1</v>
      </c>
      <c r="AR148" s="485" t="s">
        <v>347</v>
      </c>
      <c r="AS148" s="485" t="s">
        <v>347</v>
      </c>
      <c r="AT148" s="836" t="e">
        <v>#REF!</v>
      </c>
      <c r="AU148" s="836" t="e">
        <v>#REF!</v>
      </c>
      <c r="AV148" s="836" t="e">
        <v>#REF!</v>
      </c>
      <c r="AW148" s="486">
        <v>0</v>
      </c>
      <c r="AX148" s="486">
        <v>0.49009999999999987</v>
      </c>
      <c r="AY148" s="486">
        <v>0.70007142492748542</v>
      </c>
      <c r="AZ148" s="486">
        <v>0.49009999999999998</v>
      </c>
      <c r="BA148" s="486">
        <v>9.8019999999999978</v>
      </c>
      <c r="BB148" s="486">
        <v>1.9603999999999999</v>
      </c>
      <c r="BC148" s="486">
        <v>1.8623799999999997</v>
      </c>
      <c r="BD148" s="486">
        <v>1.9603999999999995</v>
      </c>
      <c r="BE148" s="486">
        <v>0.98019999999999974</v>
      </c>
      <c r="BF148" s="661" t="e">
        <v>#DIV/0!</v>
      </c>
      <c r="BG148" s="486">
        <v>0.49999999999999989</v>
      </c>
      <c r="BH148" s="486">
        <v>0.5</v>
      </c>
      <c r="BI148" s="486">
        <v>0.99</v>
      </c>
      <c r="BJ148" s="661">
        <v>9.9498743710662016E-2</v>
      </c>
      <c r="BK148" s="486">
        <v>0.99999999999999978</v>
      </c>
      <c r="BL148" s="486">
        <v>1</v>
      </c>
      <c r="BM148" s="661">
        <v>0.19899748742132403</v>
      </c>
      <c r="BN148" s="486">
        <v>19.999999999999996</v>
      </c>
      <c r="BO148" s="486">
        <v>39.207999999999991</v>
      </c>
      <c r="BP148" s="661" t="e">
        <v>#DIV/0!</v>
      </c>
      <c r="BQ148" s="661" t="e">
        <v>#DIV/0!</v>
      </c>
      <c r="BR148" s="661">
        <v>25.252525252525253</v>
      </c>
      <c r="BS148" s="661" t="e">
        <v>#DIV/0!</v>
      </c>
      <c r="BT148" s="661" t="e">
        <v>#DIV/0!</v>
      </c>
      <c r="BU148" s="661" t="e">
        <v>#DIV/0!</v>
      </c>
      <c r="BV148" s="661">
        <v>0.7463057863575302</v>
      </c>
      <c r="BW148" s="661">
        <v>0.99009900990099009</v>
      </c>
      <c r="BX148" s="661">
        <v>3.3291778797349196</v>
      </c>
    </row>
    <row r="149" spans="1:76" ht="17" x14ac:dyDescent="0.25">
      <c r="A149" s="461">
        <v>7</v>
      </c>
      <c r="B149" s="483" t="s">
        <v>845</v>
      </c>
      <c r="C149" s="461">
        <v>6</v>
      </c>
      <c r="D149" s="461">
        <v>4</v>
      </c>
      <c r="E149" s="461">
        <v>4</v>
      </c>
      <c r="F149" s="461">
        <v>6</v>
      </c>
      <c r="G149" s="461">
        <v>10</v>
      </c>
      <c r="H149" s="461">
        <v>10</v>
      </c>
      <c r="I149" s="461">
        <v>10</v>
      </c>
      <c r="J149" s="461">
        <v>10</v>
      </c>
      <c r="K149" s="461">
        <v>12</v>
      </c>
      <c r="L149" s="461">
        <v>8</v>
      </c>
      <c r="M149" s="461">
        <v>20</v>
      </c>
      <c r="N149" s="461">
        <v>0.5</v>
      </c>
      <c r="O149" s="461">
        <v>0.5</v>
      </c>
      <c r="P149" s="488">
        <v>0.5</v>
      </c>
      <c r="Q149" s="461">
        <v>20</v>
      </c>
      <c r="R149" s="461">
        <v>0.6</v>
      </c>
      <c r="S149" s="461">
        <v>0.4</v>
      </c>
      <c r="T149" s="461">
        <v>0.4</v>
      </c>
      <c r="U149" s="461">
        <v>0.6</v>
      </c>
      <c r="V149" s="461">
        <v>0.6</v>
      </c>
      <c r="W149" s="461">
        <v>0.4</v>
      </c>
      <c r="X149" s="461">
        <v>0.4</v>
      </c>
      <c r="Y149" s="461">
        <v>0.6</v>
      </c>
      <c r="Z149" s="461">
        <v>0.6</v>
      </c>
      <c r="AA149" s="461">
        <v>0.6</v>
      </c>
      <c r="AB149" s="461">
        <v>0.19999999999999996</v>
      </c>
      <c r="AC149" s="461">
        <v>0.6</v>
      </c>
      <c r="AD149" s="461">
        <v>0.4</v>
      </c>
      <c r="AE149" s="461">
        <v>0.6</v>
      </c>
      <c r="AF149" s="488">
        <v>0.2</v>
      </c>
      <c r="AG149" s="461">
        <v>0.2</v>
      </c>
      <c r="AH149" s="488">
        <v>1</v>
      </c>
      <c r="AI149" s="488">
        <v>1</v>
      </c>
      <c r="AJ149" s="461">
        <v>1.9709505944546688</v>
      </c>
      <c r="AK149" s="461">
        <v>2.9049405545331364E-2</v>
      </c>
      <c r="AL149" s="461">
        <v>2.9049405545331364E-2</v>
      </c>
      <c r="AM149" s="461">
        <v>0</v>
      </c>
      <c r="AN149" s="461">
        <v>1</v>
      </c>
      <c r="AO149" s="461">
        <v>0</v>
      </c>
      <c r="AP149" s="461">
        <v>0.5</v>
      </c>
      <c r="AQ149" s="461">
        <v>1</v>
      </c>
      <c r="AR149" s="485" t="s">
        <v>347</v>
      </c>
      <c r="AS149" s="485" t="s">
        <v>347</v>
      </c>
      <c r="AT149" s="836" t="e">
        <v>#REF!</v>
      </c>
      <c r="AU149" s="836" t="e">
        <v>#REF!</v>
      </c>
      <c r="AV149" s="836" t="e">
        <v>#REF!</v>
      </c>
      <c r="AW149" s="486">
        <v>0</v>
      </c>
      <c r="AX149" s="486">
        <v>0.39210000000000017</v>
      </c>
      <c r="AY149" s="486">
        <v>0.62617888817813094</v>
      </c>
      <c r="AZ149" s="486">
        <v>1.0000000000000018E-4</v>
      </c>
      <c r="BA149" s="486">
        <v>7.8420000000000032</v>
      </c>
      <c r="BB149" s="486">
        <v>1.5684000000000011</v>
      </c>
      <c r="BC149" s="486">
        <v>1.4899800000000007</v>
      </c>
      <c r="BD149" s="486">
        <v>1.5684000000000007</v>
      </c>
      <c r="BE149" s="486">
        <v>0.78420000000000034</v>
      </c>
      <c r="BF149" s="661" t="e">
        <v>#DIV/0!</v>
      </c>
      <c r="BG149" s="486">
        <v>0.40199999999999986</v>
      </c>
      <c r="BH149" s="486">
        <v>1.0000000000000009E-2</v>
      </c>
      <c r="BI149" s="486">
        <v>0.99</v>
      </c>
      <c r="BJ149" s="661">
        <v>6.2842590296848619E-2</v>
      </c>
      <c r="BK149" s="486">
        <v>0.80399999999999971</v>
      </c>
      <c r="BL149" s="486">
        <v>2.0000000000000018E-2</v>
      </c>
      <c r="BM149" s="661">
        <v>0.12568518059369724</v>
      </c>
      <c r="BN149" s="486">
        <v>16.079999999999995</v>
      </c>
      <c r="BO149" s="486">
        <v>31.368000000000013</v>
      </c>
      <c r="BP149" s="661" t="e">
        <v>#DIV/0!</v>
      </c>
      <c r="BQ149" s="661" t="e">
        <v>#DIV/0!</v>
      </c>
      <c r="BR149" s="661">
        <v>20.303030303030305</v>
      </c>
      <c r="BS149" s="661" t="e">
        <v>#DIV/0!</v>
      </c>
      <c r="BT149" s="661" t="e">
        <v>#DIV/0!</v>
      </c>
      <c r="BU149" s="661" t="e">
        <v>#DIV/0!</v>
      </c>
      <c r="BV149" s="661">
        <v>0.69754714164883824</v>
      </c>
      <c r="BW149" s="661">
        <v>0.99009900990099009</v>
      </c>
      <c r="BX149" s="661">
        <v>3.3291778797349196</v>
      </c>
    </row>
    <row r="150" spans="1:76" ht="17" x14ac:dyDescent="0.25">
      <c r="A150" s="461">
        <v>8</v>
      </c>
      <c r="B150" s="483" t="s">
        <v>846</v>
      </c>
      <c r="C150" s="461">
        <v>7</v>
      </c>
      <c r="D150" s="461">
        <v>3</v>
      </c>
      <c r="E150" s="461">
        <v>3</v>
      </c>
      <c r="F150" s="461">
        <v>7</v>
      </c>
      <c r="G150" s="461">
        <v>10</v>
      </c>
      <c r="H150" s="461">
        <v>10</v>
      </c>
      <c r="I150" s="461">
        <v>10</v>
      </c>
      <c r="J150" s="461">
        <v>10</v>
      </c>
      <c r="K150" s="461">
        <v>14</v>
      </c>
      <c r="L150" s="461">
        <v>6</v>
      </c>
      <c r="M150" s="461">
        <v>20</v>
      </c>
      <c r="N150" s="461">
        <v>0.5</v>
      </c>
      <c r="O150" s="461">
        <v>0.5</v>
      </c>
      <c r="P150" s="488">
        <v>0.5</v>
      </c>
      <c r="Q150" s="461">
        <v>40</v>
      </c>
      <c r="R150" s="461">
        <v>0.7</v>
      </c>
      <c r="S150" s="461">
        <v>0.3</v>
      </c>
      <c r="T150" s="461">
        <v>0.3</v>
      </c>
      <c r="U150" s="461">
        <v>0.7</v>
      </c>
      <c r="V150" s="461">
        <v>0.7</v>
      </c>
      <c r="W150" s="461">
        <v>0.3</v>
      </c>
      <c r="X150" s="461">
        <v>0.3</v>
      </c>
      <c r="Y150" s="461">
        <v>0.7</v>
      </c>
      <c r="Z150" s="461">
        <v>0.7</v>
      </c>
      <c r="AA150" s="461">
        <v>0.7</v>
      </c>
      <c r="AB150" s="461">
        <v>0.39999999999999991</v>
      </c>
      <c r="AC150" s="461">
        <v>0.7</v>
      </c>
      <c r="AD150" s="461">
        <v>0.3</v>
      </c>
      <c r="AE150" s="461">
        <v>0.7</v>
      </c>
      <c r="AF150" s="488">
        <v>0.4</v>
      </c>
      <c r="AG150" s="461">
        <v>0.4</v>
      </c>
      <c r="AH150" s="488">
        <v>1</v>
      </c>
      <c r="AI150" s="488">
        <v>1</v>
      </c>
      <c r="AJ150" s="461">
        <v>1.8812908992306929</v>
      </c>
      <c r="AK150" s="461">
        <v>0.1187091007693073</v>
      </c>
      <c r="AL150" s="461">
        <v>0.1187091007693073</v>
      </c>
      <c r="AM150" s="461">
        <v>0</v>
      </c>
      <c r="AN150" s="461">
        <v>1</v>
      </c>
      <c r="AO150" s="461">
        <v>0</v>
      </c>
      <c r="AP150" s="461">
        <v>0.5</v>
      </c>
      <c r="AQ150" s="461">
        <v>1</v>
      </c>
      <c r="AR150" s="485" t="s">
        <v>347</v>
      </c>
      <c r="AS150" s="485" t="s">
        <v>347</v>
      </c>
      <c r="AT150" s="836" t="e">
        <v>#REF!</v>
      </c>
      <c r="AU150" s="836" t="e">
        <v>#REF!</v>
      </c>
      <c r="AV150" s="836" t="e">
        <v>#REF!</v>
      </c>
      <c r="AW150" s="486">
        <v>0</v>
      </c>
      <c r="AX150" s="486">
        <v>0.29410000000000014</v>
      </c>
      <c r="AY150" s="486">
        <v>0.54230987451825008</v>
      </c>
      <c r="AZ150" s="486">
        <v>1.0000000000000018E-4</v>
      </c>
      <c r="BA150" s="486">
        <v>5.8820000000000032</v>
      </c>
      <c r="BB150" s="486">
        <v>1.1764000000000008</v>
      </c>
      <c r="BC150" s="486">
        <v>1.1175800000000007</v>
      </c>
      <c r="BD150" s="486">
        <v>1.1764000000000006</v>
      </c>
      <c r="BE150" s="486">
        <v>0.58820000000000028</v>
      </c>
      <c r="BF150" s="661" t="e">
        <v>#DIV/0!</v>
      </c>
      <c r="BG150" s="486">
        <v>0.30399999999999988</v>
      </c>
      <c r="BH150" s="486">
        <v>1.0000000000000009E-2</v>
      </c>
      <c r="BI150" s="486">
        <v>0.99</v>
      </c>
      <c r="BJ150" s="661">
        <v>3.9690864506808712E-2</v>
      </c>
      <c r="BK150" s="486">
        <v>0.60799999999999976</v>
      </c>
      <c r="BL150" s="486">
        <v>2.0000000000000018E-2</v>
      </c>
      <c r="BM150" s="661">
        <v>7.9381729013617425E-2</v>
      </c>
      <c r="BN150" s="486">
        <v>12.159999999999995</v>
      </c>
      <c r="BO150" s="486">
        <v>23.528000000000013</v>
      </c>
      <c r="BP150" s="661" t="e">
        <v>#DIV/0!</v>
      </c>
      <c r="BQ150" s="661" t="e">
        <v>#DIV/0!</v>
      </c>
      <c r="BR150" s="661">
        <v>15.353535353535353</v>
      </c>
      <c r="BS150" s="661" t="e">
        <v>#DIV/0!</v>
      </c>
      <c r="BT150" s="661" t="e">
        <v>#DIV/0!</v>
      </c>
      <c r="BU150" s="661" t="e">
        <v>#DIV/0!</v>
      </c>
      <c r="BV150" s="661">
        <v>0.64878849694014629</v>
      </c>
      <c r="BW150" s="661">
        <v>0.99009900990099009</v>
      </c>
      <c r="BX150" s="661">
        <v>3.3291778797349196</v>
      </c>
    </row>
    <row r="151" spans="1:76" ht="17" x14ac:dyDescent="0.25">
      <c r="A151" s="461">
        <v>9</v>
      </c>
      <c r="B151" s="483" t="s">
        <v>847</v>
      </c>
      <c r="C151" s="461">
        <v>8</v>
      </c>
      <c r="D151" s="461">
        <v>2</v>
      </c>
      <c r="E151" s="461">
        <v>2</v>
      </c>
      <c r="F151" s="461">
        <v>8</v>
      </c>
      <c r="G151" s="461">
        <v>10</v>
      </c>
      <c r="H151" s="461">
        <v>10</v>
      </c>
      <c r="I151" s="461">
        <v>10</v>
      </c>
      <c r="J151" s="461">
        <v>10</v>
      </c>
      <c r="K151" s="461">
        <v>16</v>
      </c>
      <c r="L151" s="461">
        <v>4</v>
      </c>
      <c r="M151" s="461">
        <v>20</v>
      </c>
      <c r="N151" s="461">
        <v>0.5</v>
      </c>
      <c r="O151" s="461">
        <v>0.5</v>
      </c>
      <c r="P151" s="488">
        <v>0.5</v>
      </c>
      <c r="Q151" s="461">
        <v>60</v>
      </c>
      <c r="R151" s="461">
        <v>0.8</v>
      </c>
      <c r="S151" s="461">
        <v>0.2</v>
      </c>
      <c r="T151" s="461">
        <v>0.2</v>
      </c>
      <c r="U151" s="461">
        <v>0.8</v>
      </c>
      <c r="V151" s="461">
        <v>0.8</v>
      </c>
      <c r="W151" s="461">
        <v>0.2</v>
      </c>
      <c r="X151" s="461">
        <v>0.2</v>
      </c>
      <c r="Y151" s="461">
        <v>0.8</v>
      </c>
      <c r="Z151" s="461">
        <v>0.8</v>
      </c>
      <c r="AA151" s="461">
        <v>0.8</v>
      </c>
      <c r="AB151" s="461">
        <v>0.60000000000000009</v>
      </c>
      <c r="AC151" s="461">
        <v>0.8</v>
      </c>
      <c r="AD151" s="461">
        <v>0.2</v>
      </c>
      <c r="AE151" s="461">
        <v>0.80000000000000016</v>
      </c>
      <c r="AF151" s="488">
        <v>0.6</v>
      </c>
      <c r="AG151" s="461">
        <v>0.6</v>
      </c>
      <c r="AH151" s="488">
        <v>1</v>
      </c>
      <c r="AI151" s="488">
        <v>1</v>
      </c>
      <c r="AJ151" s="461">
        <v>1.7219280948873621</v>
      </c>
      <c r="AK151" s="461">
        <v>0.27807190511263785</v>
      </c>
      <c r="AL151" s="461">
        <v>0.27807190511263785</v>
      </c>
      <c r="AM151" s="461">
        <v>0</v>
      </c>
      <c r="AN151" s="461">
        <v>1</v>
      </c>
      <c r="AO151" s="461">
        <v>0</v>
      </c>
      <c r="AP151" s="461">
        <v>0.5</v>
      </c>
      <c r="AQ151" s="461">
        <v>1</v>
      </c>
      <c r="AR151" s="485" t="s">
        <v>347</v>
      </c>
      <c r="AS151" s="485" t="s">
        <v>347</v>
      </c>
      <c r="AT151" s="836" t="e">
        <v>#REF!</v>
      </c>
      <c r="AU151" s="836" t="e">
        <v>#REF!</v>
      </c>
      <c r="AV151" s="836" t="e">
        <v>#REF!</v>
      </c>
      <c r="AW151" s="486">
        <v>0</v>
      </c>
      <c r="AX151" s="486">
        <v>0.1961</v>
      </c>
      <c r="AY151" s="486">
        <v>0.44283179650969057</v>
      </c>
      <c r="AZ151" s="486">
        <v>1.0000000000000018E-4</v>
      </c>
      <c r="BA151" s="486">
        <v>3.9219999999999997</v>
      </c>
      <c r="BB151" s="486">
        <v>0.78439999999999999</v>
      </c>
      <c r="BC151" s="486">
        <v>0.74518000000000006</v>
      </c>
      <c r="BD151" s="486">
        <v>0.78439999999999999</v>
      </c>
      <c r="BE151" s="486">
        <v>0.39219999999999999</v>
      </c>
      <c r="BF151" s="661" t="e">
        <v>#DIV/0!</v>
      </c>
      <c r="BG151" s="486">
        <v>0.20599999999999988</v>
      </c>
      <c r="BH151" s="486">
        <v>1.0000000000000009E-2</v>
      </c>
      <c r="BI151" s="486">
        <v>0.99</v>
      </c>
      <c r="BJ151" s="661">
        <v>2.5068424421341013E-2</v>
      </c>
      <c r="BK151" s="486">
        <v>0.41199999999999976</v>
      </c>
      <c r="BL151" s="486">
        <v>2.0000000000000018E-2</v>
      </c>
      <c r="BM151" s="661">
        <v>5.0136848842682026E-2</v>
      </c>
      <c r="BN151" s="486">
        <v>8.2399999999999949</v>
      </c>
      <c r="BO151" s="486">
        <v>15.687999999999999</v>
      </c>
      <c r="BP151" s="661" t="e">
        <v>#DIV/0!</v>
      </c>
      <c r="BQ151" s="661" t="e">
        <v>#DIV/0!</v>
      </c>
      <c r="BR151" s="661">
        <v>10.404040404040405</v>
      </c>
      <c r="BS151" s="661" t="e">
        <v>#DIV/0!</v>
      </c>
      <c r="BT151" s="661" t="e">
        <v>#DIV/0!</v>
      </c>
      <c r="BU151" s="661" t="e">
        <v>#DIV/0!</v>
      </c>
      <c r="BV151" s="661">
        <v>0.60002985223145422</v>
      </c>
      <c r="BW151" s="661">
        <v>0.99009900990099009</v>
      </c>
      <c r="BX151" s="661">
        <v>3.3291778797349196</v>
      </c>
    </row>
    <row r="152" spans="1:76" ht="17" x14ac:dyDescent="0.25">
      <c r="A152" s="461">
        <v>10</v>
      </c>
      <c r="B152" s="483" t="s">
        <v>848</v>
      </c>
      <c r="C152" s="461">
        <v>9</v>
      </c>
      <c r="D152" s="461">
        <v>1</v>
      </c>
      <c r="E152" s="461">
        <v>1</v>
      </c>
      <c r="F152" s="461">
        <v>9</v>
      </c>
      <c r="G152" s="461">
        <v>10</v>
      </c>
      <c r="H152" s="461">
        <v>10</v>
      </c>
      <c r="I152" s="461">
        <v>10</v>
      </c>
      <c r="J152" s="461">
        <v>10</v>
      </c>
      <c r="K152" s="461">
        <v>18</v>
      </c>
      <c r="L152" s="461">
        <v>2</v>
      </c>
      <c r="M152" s="461">
        <v>20</v>
      </c>
      <c r="N152" s="461">
        <v>0.5</v>
      </c>
      <c r="O152" s="461">
        <v>0.5</v>
      </c>
      <c r="P152" s="488">
        <v>0.5</v>
      </c>
      <c r="Q152" s="461">
        <v>80</v>
      </c>
      <c r="R152" s="461">
        <v>0.9</v>
      </c>
      <c r="S152" s="461">
        <v>0.1</v>
      </c>
      <c r="T152" s="461">
        <v>0.1</v>
      </c>
      <c r="U152" s="461">
        <v>0.9</v>
      </c>
      <c r="V152" s="461">
        <v>0.9</v>
      </c>
      <c r="W152" s="461">
        <v>0.1</v>
      </c>
      <c r="X152" s="461">
        <v>0.1</v>
      </c>
      <c r="Y152" s="461">
        <v>0.9</v>
      </c>
      <c r="Z152" s="461">
        <v>0.9</v>
      </c>
      <c r="AA152" s="461">
        <v>0.9</v>
      </c>
      <c r="AB152" s="461">
        <v>0.8</v>
      </c>
      <c r="AC152" s="461">
        <v>0.9</v>
      </c>
      <c r="AD152" s="461">
        <v>0.1</v>
      </c>
      <c r="AE152" s="461">
        <v>0.9</v>
      </c>
      <c r="AF152" s="488">
        <v>0.8</v>
      </c>
      <c r="AG152" s="461">
        <v>0.8</v>
      </c>
      <c r="AH152" s="488">
        <v>1</v>
      </c>
      <c r="AI152" s="488">
        <v>1</v>
      </c>
      <c r="AJ152" s="461">
        <v>1.4689955935892813</v>
      </c>
      <c r="AK152" s="461">
        <v>0.53100440641071889</v>
      </c>
      <c r="AL152" s="461">
        <v>0.53100440641071889</v>
      </c>
      <c r="AM152" s="461">
        <v>0</v>
      </c>
      <c r="AN152" s="461">
        <v>1</v>
      </c>
      <c r="AO152" s="461">
        <v>0</v>
      </c>
      <c r="AP152" s="461">
        <v>0.5</v>
      </c>
      <c r="AQ152" s="461">
        <v>1</v>
      </c>
      <c r="AR152" s="485" t="s">
        <v>347</v>
      </c>
      <c r="AS152" s="485" t="s">
        <v>347</v>
      </c>
      <c r="AT152" s="836" t="e">
        <v>#REF!</v>
      </c>
      <c r="AU152" s="836" t="e">
        <v>#REF!</v>
      </c>
      <c r="AV152" s="836" t="e">
        <v>#REF!</v>
      </c>
      <c r="AW152" s="486">
        <v>0</v>
      </c>
      <c r="AX152" s="486">
        <v>9.8099999999999993E-2</v>
      </c>
      <c r="AY152" s="486">
        <v>0.3132091952673165</v>
      </c>
      <c r="AZ152" s="486">
        <v>1.0000000000000018E-4</v>
      </c>
      <c r="BA152" s="486">
        <v>1.9619999999999997</v>
      </c>
      <c r="BB152" s="486">
        <v>0.39239999999999986</v>
      </c>
      <c r="BC152" s="486">
        <v>0.37278</v>
      </c>
      <c r="BD152" s="486">
        <v>0.39239999999999997</v>
      </c>
      <c r="BE152" s="486">
        <v>0.19619999999999999</v>
      </c>
      <c r="BF152" s="661" t="e">
        <v>#DIV/0!</v>
      </c>
      <c r="BG152" s="486">
        <v>0.10800000000000001</v>
      </c>
      <c r="BH152" s="486">
        <v>1.0000000000000009E-2</v>
      </c>
      <c r="BI152" s="486">
        <v>0.99</v>
      </c>
      <c r="BJ152" s="661">
        <v>1.5833011217497771E-2</v>
      </c>
      <c r="BK152" s="486">
        <v>0.21600000000000003</v>
      </c>
      <c r="BL152" s="486">
        <v>2.0000000000000018E-2</v>
      </c>
      <c r="BM152" s="661">
        <v>3.1666022434995542E-2</v>
      </c>
      <c r="BN152" s="486">
        <v>4.32</v>
      </c>
      <c r="BO152" s="486">
        <v>7.847999999999999</v>
      </c>
      <c r="BP152" s="661" t="e">
        <v>#DIV/0!</v>
      </c>
      <c r="BQ152" s="661" t="e">
        <v>#DIV/0!</v>
      </c>
      <c r="BR152" s="661">
        <v>5.454545454545455</v>
      </c>
      <c r="BS152" s="661" t="e">
        <v>#DIV/0!</v>
      </c>
      <c r="BT152" s="661" t="e">
        <v>#DIV/0!</v>
      </c>
      <c r="BU152" s="661" t="e">
        <v>#DIV/0!</v>
      </c>
      <c r="BV152" s="661">
        <v>0.55127120752276226</v>
      </c>
      <c r="BW152" s="661">
        <v>0.99009900990099009</v>
      </c>
      <c r="BX152" s="661">
        <v>3.3291778797349196</v>
      </c>
    </row>
    <row r="153" spans="1:76" ht="17" x14ac:dyDescent="0.25">
      <c r="A153" s="461">
        <v>11</v>
      </c>
      <c r="B153" s="483" t="s">
        <v>849</v>
      </c>
      <c r="C153" s="461">
        <v>10</v>
      </c>
      <c r="D153" s="461">
        <v>0</v>
      </c>
      <c r="E153" s="461">
        <v>0</v>
      </c>
      <c r="F153" s="461">
        <v>10</v>
      </c>
      <c r="G153" s="461">
        <v>10</v>
      </c>
      <c r="H153" s="461">
        <v>10</v>
      </c>
      <c r="I153" s="461">
        <v>10</v>
      </c>
      <c r="J153" s="461">
        <v>10</v>
      </c>
      <c r="K153" s="461">
        <v>20</v>
      </c>
      <c r="L153" s="461">
        <v>0</v>
      </c>
      <c r="M153" s="461">
        <v>20</v>
      </c>
      <c r="N153" s="461">
        <v>0.5</v>
      </c>
      <c r="O153" s="461">
        <v>0.5</v>
      </c>
      <c r="P153" s="488">
        <v>0.5</v>
      </c>
      <c r="Q153" s="461">
        <v>100</v>
      </c>
      <c r="R153" s="461">
        <v>1</v>
      </c>
      <c r="S153" s="461">
        <v>0</v>
      </c>
      <c r="T153" s="461">
        <v>0</v>
      </c>
      <c r="U153" s="461">
        <v>1</v>
      </c>
      <c r="V153" s="461">
        <v>1</v>
      </c>
      <c r="W153" s="461">
        <v>0</v>
      </c>
      <c r="X153" s="461">
        <v>0</v>
      </c>
      <c r="Y153" s="461">
        <v>1</v>
      </c>
      <c r="Z153" s="461">
        <v>1</v>
      </c>
      <c r="AA153" s="461">
        <v>1</v>
      </c>
      <c r="AB153" s="461">
        <v>1</v>
      </c>
      <c r="AC153" s="461">
        <v>1</v>
      </c>
      <c r="AD153" s="461">
        <v>0</v>
      </c>
      <c r="AE153" s="461">
        <v>1</v>
      </c>
      <c r="AF153" s="488">
        <v>1</v>
      </c>
      <c r="AG153" s="461">
        <v>1</v>
      </c>
      <c r="AH153" s="488">
        <v>1</v>
      </c>
      <c r="AI153" s="488">
        <v>1</v>
      </c>
      <c r="AJ153" s="461" t="e">
        <v>#NUM!</v>
      </c>
      <c r="AK153" s="461" t="e">
        <v>#NUM!</v>
      </c>
      <c r="AL153" s="461" t="e">
        <v>#NUM!</v>
      </c>
      <c r="AM153" s="461">
        <v>0</v>
      </c>
      <c r="AN153" s="461">
        <v>1</v>
      </c>
      <c r="AO153" s="461">
        <v>0</v>
      </c>
      <c r="AP153" s="461">
        <v>0.5</v>
      </c>
      <c r="AQ153" s="461">
        <v>1</v>
      </c>
      <c r="AR153" s="485" t="s">
        <v>347</v>
      </c>
      <c r="AS153" s="485" t="s">
        <v>347</v>
      </c>
      <c r="AT153" s="836" t="e">
        <v>#REF!</v>
      </c>
      <c r="AU153" s="836" t="e">
        <v>#REF!</v>
      </c>
      <c r="AV153" s="836" t="e">
        <v>#REF!</v>
      </c>
      <c r="AW153" s="486">
        <v>-4.8572257327350596E-18</v>
      </c>
      <c r="AX153" s="486">
        <v>1.0000000000000013E-4</v>
      </c>
      <c r="AY153" s="486">
        <v>1.0000000000000007E-2</v>
      </c>
      <c r="AZ153" s="486">
        <v>1.000000000000001E-4</v>
      </c>
      <c r="BA153" s="486">
        <v>2.0000000000000026E-3</v>
      </c>
      <c r="BB153" s="486">
        <v>4.000000000000004E-4</v>
      </c>
      <c r="BC153" s="486">
        <v>3.8000000000000051E-4</v>
      </c>
      <c r="BD153" s="486">
        <v>4.0000000000000051E-4</v>
      </c>
      <c r="BE153" s="486">
        <v>2.0000000000000025E-4</v>
      </c>
      <c r="BF153" s="661" t="e">
        <v>#DIV/0!</v>
      </c>
      <c r="BG153" s="486">
        <v>1.0000000000000004E-2</v>
      </c>
      <c r="BH153" s="486">
        <v>1.0000000000000005E-2</v>
      </c>
      <c r="BI153" s="486">
        <v>1.0000000000000009E-2</v>
      </c>
      <c r="BJ153" s="661">
        <v>1.0000000000000004E-2</v>
      </c>
      <c r="BK153" s="486">
        <v>2.0000000000000007E-2</v>
      </c>
      <c r="BL153" s="486">
        <v>2.0000000000000011E-2</v>
      </c>
      <c r="BM153" s="661">
        <v>2.0000000000000007E-2</v>
      </c>
      <c r="BN153" s="486">
        <v>0.40000000000000013</v>
      </c>
      <c r="BO153" s="486">
        <v>8.0000000000000106E-3</v>
      </c>
      <c r="BP153" s="661" t="e">
        <v>#DIV/0!</v>
      </c>
      <c r="BQ153" s="661" t="e">
        <v>#DIV/0!</v>
      </c>
      <c r="BR153" s="661">
        <v>0.50505050505050519</v>
      </c>
      <c r="BS153" s="661" t="e">
        <v>#DIV/0!</v>
      </c>
      <c r="BT153" s="661" t="e">
        <v>#DIV/0!</v>
      </c>
      <c r="BU153" s="661" t="e">
        <v>#DIV/0!</v>
      </c>
      <c r="BV153" s="661">
        <v>0.50251256281407031</v>
      </c>
      <c r="BW153" s="661">
        <v>0.50251256281407031</v>
      </c>
      <c r="BX153" s="661">
        <v>3.3291778797349201</v>
      </c>
    </row>
    <row r="154" spans="1:76" ht="129" thickBot="1" x14ac:dyDescent="0.25">
      <c r="A154" s="765"/>
      <c r="B154" s="634" t="s">
        <v>838</v>
      </c>
      <c r="C154" s="633">
        <f>AVERAGE(C143:C153)</f>
        <v>5</v>
      </c>
      <c r="D154" s="633">
        <f t="shared" ref="D154:AQ154" si="20">AVERAGE(D143:D153)</f>
        <v>5</v>
      </c>
      <c r="E154" s="633">
        <f t="shared" si="20"/>
        <v>5</v>
      </c>
      <c r="F154" s="633">
        <f t="shared" si="20"/>
        <v>5</v>
      </c>
      <c r="G154" s="633">
        <f t="shared" si="20"/>
        <v>10</v>
      </c>
      <c r="H154" s="633">
        <f t="shared" si="20"/>
        <v>10</v>
      </c>
      <c r="I154" s="633">
        <f t="shared" si="20"/>
        <v>10</v>
      </c>
      <c r="J154" s="633">
        <f t="shared" si="20"/>
        <v>10</v>
      </c>
      <c r="K154" s="633">
        <f t="shared" si="20"/>
        <v>10</v>
      </c>
      <c r="L154" s="633">
        <f t="shared" si="20"/>
        <v>10</v>
      </c>
      <c r="M154" s="633">
        <f t="shared" si="20"/>
        <v>20</v>
      </c>
      <c r="N154" s="633">
        <f t="shared" si="20"/>
        <v>0.5</v>
      </c>
      <c r="O154" s="633">
        <f t="shared" si="20"/>
        <v>0.5</v>
      </c>
      <c r="P154" s="633">
        <f t="shared" si="20"/>
        <v>0.5</v>
      </c>
      <c r="Q154" s="633">
        <f t="shared" si="20"/>
        <v>0</v>
      </c>
      <c r="R154" s="633">
        <f t="shared" si="20"/>
        <v>0.5</v>
      </c>
      <c r="S154" s="633">
        <f t="shared" si="20"/>
        <v>0.5</v>
      </c>
      <c r="T154" s="633">
        <f t="shared" si="20"/>
        <v>0.5</v>
      </c>
      <c r="U154" s="633">
        <f t="shared" si="20"/>
        <v>0.5</v>
      </c>
      <c r="V154" s="633">
        <f t="shared" si="20"/>
        <v>0.5</v>
      </c>
      <c r="W154" s="633">
        <f t="shared" si="20"/>
        <v>0.5</v>
      </c>
      <c r="X154" s="633">
        <f t="shared" si="20"/>
        <v>0.5</v>
      </c>
      <c r="Y154" s="633">
        <f t="shared" si="20"/>
        <v>0.5</v>
      </c>
      <c r="Z154" s="633">
        <f t="shared" si="20"/>
        <v>0.5</v>
      </c>
      <c r="AA154" s="633">
        <f t="shared" si="20"/>
        <v>0.5</v>
      </c>
      <c r="AB154" s="633">
        <f t="shared" si="20"/>
        <v>0</v>
      </c>
      <c r="AC154" s="633">
        <f t="shared" si="20"/>
        <v>0.5</v>
      </c>
      <c r="AD154" s="633">
        <f t="shared" si="20"/>
        <v>0.5</v>
      </c>
      <c r="AE154" s="633" t="e">
        <f t="shared" si="20"/>
        <v>#DIV/0!</v>
      </c>
      <c r="AF154" s="659">
        <f t="shared" si="20"/>
        <v>0</v>
      </c>
      <c r="AG154" s="633">
        <f t="shared" si="20"/>
        <v>0</v>
      </c>
      <c r="AH154" s="659">
        <f t="shared" si="20"/>
        <v>1</v>
      </c>
      <c r="AI154" s="659">
        <f t="shared" si="20"/>
        <v>1</v>
      </c>
      <c r="AJ154" s="633" t="e">
        <f t="shared" si="20"/>
        <v>#NUM!</v>
      </c>
      <c r="AK154" s="633" t="e">
        <f t="shared" si="20"/>
        <v>#NUM!</v>
      </c>
      <c r="AL154" s="633" t="e">
        <f t="shared" si="20"/>
        <v>#NUM!</v>
      </c>
      <c r="AM154" s="633">
        <f t="shared" si="20"/>
        <v>0</v>
      </c>
      <c r="AN154" s="633">
        <f t="shared" si="20"/>
        <v>1</v>
      </c>
      <c r="AO154" s="633">
        <f t="shared" si="20"/>
        <v>0</v>
      </c>
      <c r="AP154" s="633">
        <f t="shared" si="20"/>
        <v>0.5</v>
      </c>
      <c r="AQ154" s="633">
        <f t="shared" si="20"/>
        <v>1</v>
      </c>
      <c r="AR154" s="633" t="s">
        <v>347</v>
      </c>
      <c r="AS154" s="633" t="s">
        <v>347</v>
      </c>
      <c r="AT154" s="738"/>
      <c r="AU154" s="738"/>
      <c r="AV154" s="738"/>
      <c r="AW154" s="833" t="s">
        <v>836</v>
      </c>
      <c r="AX154" s="660" t="str">
        <f>"From "&amp;AX143&amp;" to "&amp;AX153&amp; " in 10 unique values"</f>
        <v>From 0.9801 to 0.0001 in 10 unique values</v>
      </c>
      <c r="AY154" s="660" t="str">
        <f>"From "&amp;AY143&amp;" to "&amp;AY153&amp; " in 10 unique values"</f>
        <v>From 0.99 to 0.01 in 10 unique values</v>
      </c>
      <c r="AZ154" s="834" t="str">
        <f>"From "&amp;AZ143&amp;" to "&amp;AZ153&amp; " in three unique values (five 1s, one 0.5, and five 0s)"</f>
        <v>From 0.9801 to 0.0001 in three unique values (five 1s, one 0.5, and five 0s)</v>
      </c>
      <c r="BA154" s="660" t="str">
        <f>"From "&amp;BA143&amp;" to "&amp;BA153&amp; " in 10 unique values"</f>
        <v>From 19.602 to 0.002 in 10 unique values</v>
      </c>
      <c r="BB154" s="660" t="str">
        <f>"From "&amp;BB143&amp;" to "&amp;BB153&amp; " in 10 unique values"</f>
        <v>From 3.9204 to 0.0004 in 10 unique values</v>
      </c>
      <c r="BC154" s="660" t="str">
        <f>"From "&amp;BC143&amp;" to "&amp;BC153&amp; " in 10 unique values"</f>
        <v>From 3.72438 to 0.000380000000000001 in 10 unique values</v>
      </c>
      <c r="BD154" s="660" t="str">
        <f>"From "&amp;BD143&amp;" to "&amp;BD153&amp; " in 10 unique values"</f>
        <v>From 3.9204 to 0.000400000000000001 in 10 unique values</v>
      </c>
      <c r="BE154" s="660" t="str">
        <f>"From "&amp;BE143&amp;" to "&amp;BE153&amp; " in 10 unique values"</f>
        <v>From 1.9602 to 0.0002 in 10 unique values</v>
      </c>
      <c r="BF154" s="835" t="s">
        <v>504</v>
      </c>
      <c r="BG154" s="660" t="str">
        <f>"From "&amp;BG143&amp;" to "&amp;BG153&amp; " in 10 unique values"</f>
        <v>From 0.99 to 0.01 in 10 unique values</v>
      </c>
      <c r="BH154" s="834" t="str">
        <f>"From "&amp;BH143&amp;" to "&amp;BH153&amp; " in three unique values (five 1s, one 0.5, and five 0s)"</f>
        <v>From 0.99 to 0.01 in three unique values (five 1s, one 0.5, and five 0s)</v>
      </c>
      <c r="BI154" s="834" t="str">
        <f>"From "&amp;BI143&amp;" to "&amp;BI153&amp; " in two unique values (ten 1s and one 0)"</f>
        <v>From 0.99 to 0.01 in two unique values (ten 1s and one 0)</v>
      </c>
      <c r="BJ154" s="835" t="s">
        <v>504</v>
      </c>
      <c r="BK154" s="660" t="str">
        <f>"From "&amp;BK143&amp;" to "&amp;BK153&amp; " in 10 unique values"</f>
        <v>From 1.98 to 0.02 in 10 unique values</v>
      </c>
      <c r="BL154" s="834" t="str">
        <f>"From "&amp;BL143&amp;" to "&amp;BL153&amp; " in three unique values (five 2s, one 1, and five 0s)"</f>
        <v>From 1.98 to 0.02 in three unique values (five 2s, one 1, and five 0s)</v>
      </c>
      <c r="BM154" s="835" t="s">
        <v>504</v>
      </c>
      <c r="BN154" s="660" t="str">
        <f>"From "&amp;BN143&amp;" to "&amp;BN153&amp; " in 10 unique values"</f>
        <v>From 39.6 to 0.4 in 10 unique values</v>
      </c>
      <c r="BO154" s="660" t="str">
        <f>"From "&amp;BO143&amp;" to "&amp;BO153&amp; " in 10 unique values"</f>
        <v>From 78.408 to 0.00800000000000001 in 10 unique values</v>
      </c>
      <c r="BP154" s="835" t="s">
        <v>504</v>
      </c>
      <c r="BQ154" s="835" t="s">
        <v>504</v>
      </c>
      <c r="BR154" s="835" t="s">
        <v>504</v>
      </c>
      <c r="BS154" s="835" t="s">
        <v>504</v>
      </c>
      <c r="BT154" s="835" t="s">
        <v>504</v>
      </c>
      <c r="BU154" s="835" t="s">
        <v>504</v>
      </c>
      <c r="BV154" s="835" t="s">
        <v>504</v>
      </c>
      <c r="BW154" s="835" t="s">
        <v>504</v>
      </c>
      <c r="BX154" s="835" t="s">
        <v>504</v>
      </c>
    </row>
    <row r="155" spans="1:76" ht="17" x14ac:dyDescent="0.25">
      <c r="B155" s="657" t="s">
        <v>612</v>
      </c>
      <c r="C155" s="461">
        <v>0</v>
      </c>
      <c r="D155" s="461">
        <v>1</v>
      </c>
      <c r="E155" s="461">
        <v>4</v>
      </c>
      <c r="F155" s="461">
        <v>0</v>
      </c>
      <c r="G155" s="461">
        <v>4</v>
      </c>
      <c r="H155" s="461">
        <v>1</v>
      </c>
      <c r="I155" s="461">
        <v>1</v>
      </c>
      <c r="J155" s="461">
        <v>4</v>
      </c>
      <c r="K155" s="461">
        <v>0</v>
      </c>
      <c r="L155" s="461">
        <v>5</v>
      </c>
      <c r="M155" s="461">
        <v>5</v>
      </c>
      <c r="N155" s="461">
        <v>0.8</v>
      </c>
      <c r="O155" s="461">
        <v>0.2</v>
      </c>
      <c r="P155" s="461">
        <v>0.2</v>
      </c>
      <c r="Q155" s="461">
        <v>-4</v>
      </c>
      <c r="R155" s="461">
        <v>0</v>
      </c>
      <c r="S155" s="461">
        <v>1</v>
      </c>
      <c r="T155" s="461">
        <v>1</v>
      </c>
      <c r="U155" s="461">
        <v>0</v>
      </c>
      <c r="V155" s="461">
        <v>0</v>
      </c>
      <c r="W155" s="461">
        <v>1</v>
      </c>
      <c r="X155" s="461">
        <v>1</v>
      </c>
      <c r="Y155" s="461">
        <v>0</v>
      </c>
      <c r="Z155" s="461">
        <v>0</v>
      </c>
      <c r="AA155" s="461">
        <v>0</v>
      </c>
      <c r="AB155" s="461">
        <v>-1</v>
      </c>
      <c r="AC155" s="461">
        <v>0</v>
      </c>
      <c r="AD155" s="461">
        <v>1</v>
      </c>
      <c r="AE155" s="461" t="e">
        <v>#DIV/0!</v>
      </c>
      <c r="AF155" s="488">
        <v>-0.47058823529411764</v>
      </c>
      <c r="AG155" s="461">
        <v>-1</v>
      </c>
      <c r="AH155" s="488">
        <v>0.72192809488736231</v>
      </c>
      <c r="AI155" s="488">
        <v>0.72192809488736231</v>
      </c>
      <c r="AJ155" s="461" t="e">
        <v>#NUM!</v>
      </c>
      <c r="AK155" s="461" t="e">
        <v>#NUM!</v>
      </c>
      <c r="AL155" s="461" t="e">
        <v>#NUM!</v>
      </c>
      <c r="AM155" s="461">
        <v>0</v>
      </c>
      <c r="AN155" s="461">
        <v>1</v>
      </c>
      <c r="AO155" s="461">
        <v>0</v>
      </c>
      <c r="AP155" s="461">
        <v>0.5</v>
      </c>
      <c r="AQ155" s="461">
        <v>1</v>
      </c>
      <c r="AR155" s="485" t="s">
        <v>347</v>
      </c>
      <c r="AS155" s="485" t="s">
        <v>347</v>
      </c>
      <c r="AT155" s="699" t="s">
        <v>609</v>
      </c>
      <c r="AU155" s="699" t="s">
        <v>610</v>
      </c>
      <c r="AV155" s="699" t="s">
        <v>611</v>
      </c>
      <c r="AW155" s="461">
        <v>-0.6</v>
      </c>
      <c r="AX155" s="461">
        <v>1</v>
      </c>
      <c r="AY155" s="461">
        <v>1</v>
      </c>
      <c r="AZ155" s="461">
        <v>1</v>
      </c>
      <c r="BA155" s="461">
        <v>5</v>
      </c>
      <c r="BB155" s="486">
        <v>6.2499999999999991</v>
      </c>
      <c r="BC155" s="461">
        <v>5.0000000000000009</v>
      </c>
      <c r="BD155" s="486">
        <v>6.2499999999999973</v>
      </c>
      <c r="BE155" s="486">
        <v>1.25</v>
      </c>
      <c r="BF155" s="665"/>
      <c r="BG155" s="461">
        <v>1</v>
      </c>
      <c r="BH155" s="461">
        <v>1</v>
      </c>
      <c r="BI155" s="461">
        <v>1</v>
      </c>
      <c r="BJ155" s="461">
        <v>1</v>
      </c>
      <c r="BK155" s="486">
        <v>4.2500000000000009</v>
      </c>
      <c r="BL155" s="461">
        <v>5.0000000000000009</v>
      </c>
      <c r="BM155" s="486">
        <v>3.7892914162759959</v>
      </c>
      <c r="BN155" s="486">
        <v>21.250000000000004</v>
      </c>
      <c r="BO155" s="486">
        <v>101.56250000000003</v>
      </c>
      <c r="BP155" s="665"/>
      <c r="BQ155" s="665"/>
      <c r="BR155" s="665"/>
      <c r="BS155" s="665"/>
      <c r="BT155" s="665"/>
      <c r="BU155" s="665"/>
      <c r="BV155" s="461">
        <v>1</v>
      </c>
      <c r="BW155" s="461">
        <v>1</v>
      </c>
      <c r="BX155" s="665"/>
    </row>
    <row r="156" spans="1:76" ht="17" x14ac:dyDescent="0.25">
      <c r="B156" s="657" t="s">
        <v>613</v>
      </c>
      <c r="C156" s="461">
        <v>0</v>
      </c>
      <c r="D156" s="461">
        <v>1</v>
      </c>
      <c r="E156" s="461">
        <v>9</v>
      </c>
      <c r="F156" s="461">
        <v>0</v>
      </c>
      <c r="G156" s="461">
        <v>9</v>
      </c>
      <c r="H156" s="461">
        <v>1</v>
      </c>
      <c r="I156" s="461">
        <v>1</v>
      </c>
      <c r="J156" s="461">
        <v>9</v>
      </c>
      <c r="K156" s="461">
        <v>0</v>
      </c>
      <c r="L156" s="461">
        <v>10</v>
      </c>
      <c r="M156" s="461">
        <v>10</v>
      </c>
      <c r="N156" s="461">
        <v>0.9</v>
      </c>
      <c r="O156" s="461">
        <v>0.1</v>
      </c>
      <c r="P156" s="461">
        <v>0.1</v>
      </c>
      <c r="Q156" s="461">
        <v>-9</v>
      </c>
      <c r="R156" s="461">
        <v>0</v>
      </c>
      <c r="S156" s="461">
        <v>1</v>
      </c>
      <c r="T156" s="461">
        <v>1</v>
      </c>
      <c r="U156" s="461">
        <v>0</v>
      </c>
      <c r="V156" s="461">
        <v>0</v>
      </c>
      <c r="W156" s="461">
        <v>1</v>
      </c>
      <c r="X156" s="461">
        <v>1</v>
      </c>
      <c r="Y156" s="461">
        <v>0</v>
      </c>
      <c r="Z156" s="461">
        <v>0</v>
      </c>
      <c r="AA156" s="461">
        <v>0</v>
      </c>
      <c r="AB156" s="461">
        <v>-1</v>
      </c>
      <c r="AC156" s="461">
        <v>0</v>
      </c>
      <c r="AD156" s="461">
        <v>1</v>
      </c>
      <c r="AE156" s="461" t="e">
        <v>#DIV/0!</v>
      </c>
      <c r="AF156" s="488">
        <v>-0.21951219512195122</v>
      </c>
      <c r="AG156" s="461">
        <v>-1</v>
      </c>
      <c r="AH156" s="488">
        <v>0.46899559358928117</v>
      </c>
      <c r="AI156" s="488">
        <v>0.46899559358928122</v>
      </c>
      <c r="AJ156" s="461" t="e">
        <v>#NUM!</v>
      </c>
      <c r="AK156" s="461" t="e">
        <v>#NUM!</v>
      </c>
      <c r="AL156" s="461" t="e">
        <v>#NUM!</v>
      </c>
      <c r="AM156" s="461">
        <v>0</v>
      </c>
      <c r="AN156" s="461">
        <v>1</v>
      </c>
      <c r="AO156" s="461">
        <v>0</v>
      </c>
      <c r="AP156" s="461">
        <v>0.5</v>
      </c>
      <c r="AQ156" s="461">
        <v>1</v>
      </c>
      <c r="AR156" s="485" t="s">
        <v>347</v>
      </c>
      <c r="AS156" s="485" t="s">
        <v>347</v>
      </c>
      <c r="AT156" s="699" t="s">
        <v>614</v>
      </c>
      <c r="AU156" s="699" t="s">
        <v>615</v>
      </c>
      <c r="AV156" s="699" t="s">
        <v>616</v>
      </c>
      <c r="AW156" s="486">
        <v>-0.8</v>
      </c>
      <c r="AX156" s="461">
        <v>1</v>
      </c>
      <c r="AY156" s="486">
        <v>1</v>
      </c>
      <c r="AZ156" s="461">
        <v>1</v>
      </c>
      <c r="BA156" s="461">
        <v>10</v>
      </c>
      <c r="BB156" s="486">
        <v>11.111111111111109</v>
      </c>
      <c r="BC156" s="486">
        <v>9.9999999999999964</v>
      </c>
      <c r="BD156" s="486">
        <v>11.111111111111109</v>
      </c>
      <c r="BE156" s="486">
        <v>1.1111111111111112</v>
      </c>
      <c r="BF156" s="665"/>
      <c r="BG156" s="486">
        <v>1</v>
      </c>
      <c r="BH156" s="461">
        <v>1</v>
      </c>
      <c r="BI156" s="461">
        <v>1</v>
      </c>
      <c r="BJ156" s="486">
        <v>1</v>
      </c>
      <c r="BK156" s="486">
        <v>9.1111111111111107</v>
      </c>
      <c r="BL156" s="461">
        <v>10.000000000000002</v>
      </c>
      <c r="BM156" s="486">
        <v>8.0274156176023084</v>
      </c>
      <c r="BN156" s="486">
        <v>91.111111111111114</v>
      </c>
      <c r="BO156" s="486">
        <v>901.23456790123464</v>
      </c>
      <c r="BP156" s="665"/>
      <c r="BQ156" s="665"/>
      <c r="BR156" s="665"/>
      <c r="BS156" s="665"/>
      <c r="BT156" s="665"/>
      <c r="BU156" s="665"/>
      <c r="BV156" s="461">
        <v>1</v>
      </c>
      <c r="BW156" s="461">
        <v>1</v>
      </c>
      <c r="BX156" s="665"/>
    </row>
    <row r="157" spans="1:76" ht="17" x14ac:dyDescent="0.25">
      <c r="B157" s="657" t="s">
        <v>617</v>
      </c>
      <c r="C157" s="461">
        <v>0</v>
      </c>
      <c r="D157" s="461">
        <v>1</v>
      </c>
      <c r="E157" s="461">
        <v>14</v>
      </c>
      <c r="F157" s="461">
        <v>0</v>
      </c>
      <c r="G157" s="461">
        <v>14</v>
      </c>
      <c r="H157" s="461">
        <v>1</v>
      </c>
      <c r="I157" s="461">
        <v>1</v>
      </c>
      <c r="J157" s="461">
        <v>14</v>
      </c>
      <c r="K157" s="461">
        <v>0</v>
      </c>
      <c r="L157" s="461">
        <v>15</v>
      </c>
      <c r="M157" s="461">
        <v>15</v>
      </c>
      <c r="N157" s="461">
        <v>0.93333333333333335</v>
      </c>
      <c r="O157" s="461">
        <v>6.6666666666666666E-2</v>
      </c>
      <c r="P157" s="461">
        <v>6.6666666666666666E-2</v>
      </c>
      <c r="Q157" s="461">
        <v>-14</v>
      </c>
      <c r="R157" s="461">
        <v>0</v>
      </c>
      <c r="S157" s="461">
        <v>1</v>
      </c>
      <c r="T157" s="461">
        <v>1</v>
      </c>
      <c r="U157" s="461">
        <v>0</v>
      </c>
      <c r="V157" s="461">
        <v>0</v>
      </c>
      <c r="W157" s="461">
        <v>1</v>
      </c>
      <c r="X157" s="461">
        <v>1</v>
      </c>
      <c r="Y157" s="461">
        <v>0</v>
      </c>
      <c r="Z157" s="461">
        <v>0</v>
      </c>
      <c r="AA157" s="461">
        <v>0</v>
      </c>
      <c r="AB157" s="461">
        <v>-1</v>
      </c>
      <c r="AC157" s="461">
        <v>0</v>
      </c>
      <c r="AD157" s="461">
        <v>1</v>
      </c>
      <c r="AE157" s="461" t="e">
        <v>#DIV/0!</v>
      </c>
      <c r="AF157" s="488">
        <v>-0.14213197969543148</v>
      </c>
      <c r="AG157" s="461">
        <v>-1</v>
      </c>
      <c r="AH157" s="488">
        <v>0.35335933502142131</v>
      </c>
      <c r="AI157" s="488">
        <v>0.35335933502142136</v>
      </c>
      <c r="AJ157" s="461" t="e">
        <v>#NUM!</v>
      </c>
      <c r="AK157" s="461" t="e">
        <v>#NUM!</v>
      </c>
      <c r="AL157" s="461" t="e">
        <v>#NUM!</v>
      </c>
      <c r="AM157" s="461">
        <v>0</v>
      </c>
      <c r="AN157" s="461">
        <v>1</v>
      </c>
      <c r="AO157" s="461">
        <v>0</v>
      </c>
      <c r="AP157" s="461">
        <v>0.5</v>
      </c>
      <c r="AQ157" s="461">
        <v>1</v>
      </c>
      <c r="AR157" s="485" t="s">
        <v>347</v>
      </c>
      <c r="AS157" s="485" t="s">
        <v>347</v>
      </c>
      <c r="AT157" s="699" t="s">
        <v>618</v>
      </c>
      <c r="AU157" s="699" t="s">
        <v>619</v>
      </c>
      <c r="AV157" s="699" t="s">
        <v>620</v>
      </c>
      <c r="AW157" s="486">
        <v>-0.8666666666666667</v>
      </c>
      <c r="AX157" s="461">
        <v>1</v>
      </c>
      <c r="AY157" s="486">
        <v>1</v>
      </c>
      <c r="AZ157" s="461">
        <v>1</v>
      </c>
      <c r="BA157" s="461">
        <v>15</v>
      </c>
      <c r="BB157" s="486">
        <v>16.071428571428573</v>
      </c>
      <c r="BC157" s="486">
        <v>14.999999999999996</v>
      </c>
      <c r="BD157" s="486">
        <v>16.071428571428562</v>
      </c>
      <c r="BE157" s="486">
        <v>1.0714285714285714</v>
      </c>
      <c r="BF157" s="665"/>
      <c r="BG157" s="461">
        <v>1</v>
      </c>
      <c r="BH157" s="461">
        <v>1</v>
      </c>
      <c r="BI157" s="461">
        <v>1</v>
      </c>
      <c r="BJ157" s="486">
        <v>1</v>
      </c>
      <c r="BK157" s="486">
        <v>14.071428571428573</v>
      </c>
      <c r="BL157" s="461">
        <v>15.000000000000004</v>
      </c>
      <c r="BM157" s="486">
        <v>12.580060315234268</v>
      </c>
      <c r="BN157" s="486">
        <v>211.07142857142858</v>
      </c>
      <c r="BO157" s="486">
        <v>3151.1479591836742</v>
      </c>
      <c r="BP157" s="665"/>
      <c r="BQ157" s="665"/>
      <c r="BR157" s="665"/>
      <c r="BS157" s="665"/>
      <c r="BT157" s="665"/>
      <c r="BU157" s="665"/>
      <c r="BV157" s="461">
        <v>1</v>
      </c>
      <c r="BW157" s="461">
        <v>1</v>
      </c>
      <c r="BX157" s="665"/>
    </row>
    <row r="158" spans="1:76" ht="17" x14ac:dyDescent="0.25">
      <c r="B158" s="657" t="s">
        <v>608</v>
      </c>
      <c r="C158" s="461">
        <v>0</v>
      </c>
      <c r="D158" s="461">
        <v>1</v>
      </c>
      <c r="E158" s="461">
        <v>19</v>
      </c>
      <c r="F158" s="461">
        <v>0</v>
      </c>
      <c r="G158" s="461">
        <v>19</v>
      </c>
      <c r="H158" s="461">
        <v>1</v>
      </c>
      <c r="I158" s="461">
        <v>1</v>
      </c>
      <c r="J158" s="461">
        <v>19</v>
      </c>
      <c r="K158" s="461">
        <v>0</v>
      </c>
      <c r="L158" s="461">
        <v>20</v>
      </c>
      <c r="M158" s="461">
        <v>20</v>
      </c>
      <c r="N158" s="461">
        <v>0.95</v>
      </c>
      <c r="O158" s="461">
        <v>0.05</v>
      </c>
      <c r="P158" s="461">
        <v>0.05</v>
      </c>
      <c r="Q158" s="461">
        <v>-19</v>
      </c>
      <c r="R158" s="461">
        <v>0</v>
      </c>
      <c r="S158" s="461">
        <v>1</v>
      </c>
      <c r="T158" s="461">
        <v>1</v>
      </c>
      <c r="U158" s="461">
        <v>0</v>
      </c>
      <c r="V158" s="461">
        <v>0</v>
      </c>
      <c r="W158" s="461">
        <v>1</v>
      </c>
      <c r="X158" s="461">
        <v>1</v>
      </c>
      <c r="Y158" s="461">
        <v>0</v>
      </c>
      <c r="Z158" s="461">
        <v>0</v>
      </c>
      <c r="AA158" s="461">
        <v>0</v>
      </c>
      <c r="AB158" s="461">
        <v>-1</v>
      </c>
      <c r="AC158" s="461">
        <v>0</v>
      </c>
      <c r="AD158" s="461">
        <v>1</v>
      </c>
      <c r="AE158" s="461" t="e">
        <v>#DIV/0!</v>
      </c>
      <c r="AF158" s="488">
        <v>-0.10497237569060773</v>
      </c>
      <c r="AG158" s="461">
        <v>-1</v>
      </c>
      <c r="AH158" s="488">
        <v>0.28639695711595631</v>
      </c>
      <c r="AI158" s="488">
        <v>0.28639695711595625</v>
      </c>
      <c r="AJ158" s="461" t="e">
        <v>#NUM!</v>
      </c>
      <c r="AK158" s="461" t="e">
        <v>#NUM!</v>
      </c>
      <c r="AL158" s="461" t="e">
        <v>#NUM!</v>
      </c>
      <c r="AM158" s="461">
        <v>0</v>
      </c>
      <c r="AN158" s="461">
        <v>1</v>
      </c>
      <c r="AO158" s="461">
        <v>0</v>
      </c>
      <c r="AP158" s="461">
        <v>0.5</v>
      </c>
      <c r="AQ158" s="461">
        <v>1</v>
      </c>
      <c r="AR158" s="485" t="s">
        <v>347</v>
      </c>
      <c r="AS158" s="485" t="s">
        <v>347</v>
      </c>
      <c r="AT158" s="699" t="s">
        <v>621</v>
      </c>
      <c r="AU158" s="699" t="s">
        <v>606</v>
      </c>
      <c r="AV158" s="699" t="s">
        <v>607</v>
      </c>
      <c r="AW158" s="461">
        <v>-0.9</v>
      </c>
      <c r="AX158" s="461">
        <v>1</v>
      </c>
      <c r="AY158" s="486">
        <v>1</v>
      </c>
      <c r="AZ158" s="461">
        <v>1</v>
      </c>
      <c r="BA158" s="461">
        <v>20</v>
      </c>
      <c r="BB158" s="486">
        <v>21.05263157894737</v>
      </c>
      <c r="BC158" s="486">
        <v>20.000000000000014</v>
      </c>
      <c r="BD158" s="486">
        <v>21.052631578947345</v>
      </c>
      <c r="BE158" s="486">
        <v>1.0526315789473684</v>
      </c>
      <c r="BF158" s="665"/>
      <c r="BG158" s="461">
        <v>1</v>
      </c>
      <c r="BH158" s="461">
        <v>1</v>
      </c>
      <c r="BI158" s="461">
        <v>1</v>
      </c>
      <c r="BJ158" s="486">
        <v>1</v>
      </c>
      <c r="BK158" s="486">
        <v>19.052631578947356</v>
      </c>
      <c r="BL158" s="461">
        <v>19.999999999999982</v>
      </c>
      <c r="BM158" s="486">
        <v>17.26204782958483</v>
      </c>
      <c r="BN158" s="486">
        <v>381.05263157894711</v>
      </c>
      <c r="BO158" s="486">
        <v>7601.1080332409811</v>
      </c>
      <c r="BP158" s="665"/>
      <c r="BQ158" s="665"/>
      <c r="BR158" s="665"/>
      <c r="BS158" s="665"/>
      <c r="BT158" s="665"/>
      <c r="BU158" s="665"/>
      <c r="BV158" s="461">
        <v>1</v>
      </c>
      <c r="BW158" s="461">
        <v>1</v>
      </c>
      <c r="BX158" s="665"/>
    </row>
    <row r="159" spans="1:76" ht="17" x14ac:dyDescent="0.25">
      <c r="B159" s="657" t="s">
        <v>625</v>
      </c>
      <c r="C159" s="461">
        <v>0</v>
      </c>
      <c r="D159" s="461">
        <v>1</v>
      </c>
      <c r="E159" s="461">
        <v>24</v>
      </c>
      <c r="F159" s="461">
        <v>0</v>
      </c>
      <c r="G159" s="461">
        <v>24</v>
      </c>
      <c r="H159" s="461">
        <v>1</v>
      </c>
      <c r="I159" s="461">
        <v>1</v>
      </c>
      <c r="J159" s="461">
        <v>24</v>
      </c>
      <c r="K159" s="461">
        <v>0</v>
      </c>
      <c r="L159" s="461">
        <v>25</v>
      </c>
      <c r="M159" s="461">
        <v>25</v>
      </c>
      <c r="N159" s="461">
        <v>0.96</v>
      </c>
      <c r="O159" s="461">
        <v>0.04</v>
      </c>
      <c r="P159" s="461">
        <v>0.04</v>
      </c>
      <c r="Q159" s="461">
        <v>-24</v>
      </c>
      <c r="R159" s="461">
        <v>0</v>
      </c>
      <c r="S159" s="461">
        <v>1</v>
      </c>
      <c r="T159" s="461">
        <v>1</v>
      </c>
      <c r="U159" s="461">
        <v>0</v>
      </c>
      <c r="V159" s="461">
        <v>0</v>
      </c>
      <c r="W159" s="461">
        <v>1</v>
      </c>
      <c r="X159" s="461">
        <v>1</v>
      </c>
      <c r="Y159" s="461">
        <v>0</v>
      </c>
      <c r="Z159" s="461">
        <v>0</v>
      </c>
      <c r="AA159" s="461">
        <v>0</v>
      </c>
      <c r="AB159" s="461">
        <v>-1</v>
      </c>
      <c r="AC159" s="461">
        <v>0</v>
      </c>
      <c r="AD159" s="461">
        <v>1</v>
      </c>
      <c r="AE159" s="461" t="e">
        <v>#DIV/0!</v>
      </c>
      <c r="AF159" s="488">
        <v>-8.3188908145580595E-2</v>
      </c>
      <c r="AG159" s="461">
        <v>-1</v>
      </c>
      <c r="AH159" s="488">
        <v>0.24229218908241493</v>
      </c>
      <c r="AI159" s="488">
        <v>0.24229218908241482</v>
      </c>
      <c r="AJ159" s="461" t="e">
        <v>#NUM!</v>
      </c>
      <c r="AK159" s="461" t="e">
        <v>#NUM!</v>
      </c>
      <c r="AL159" s="461" t="e">
        <v>#NUM!</v>
      </c>
      <c r="AM159" s="461">
        <v>0</v>
      </c>
      <c r="AN159" s="461">
        <v>1</v>
      </c>
      <c r="AO159" s="461">
        <v>0</v>
      </c>
      <c r="AP159" s="461">
        <v>0.5</v>
      </c>
      <c r="AQ159" s="461">
        <v>1</v>
      </c>
      <c r="AR159" s="485" t="s">
        <v>347</v>
      </c>
      <c r="AS159" s="485" t="s">
        <v>347</v>
      </c>
      <c r="AT159" s="699" t="s">
        <v>622</v>
      </c>
      <c r="AU159" s="699" t="s">
        <v>623</v>
      </c>
      <c r="AV159" s="699" t="s">
        <v>624</v>
      </c>
      <c r="AW159" s="461">
        <v>-0.92</v>
      </c>
      <c r="AX159" s="461">
        <v>1</v>
      </c>
      <c r="AY159" s="461">
        <v>1</v>
      </c>
      <c r="AZ159" s="461">
        <v>1</v>
      </c>
      <c r="BA159" s="461">
        <v>25</v>
      </c>
      <c r="BB159" s="486">
        <v>26.041666666666668</v>
      </c>
      <c r="BC159" s="461">
        <v>24.999999999999979</v>
      </c>
      <c r="BD159" s="486">
        <v>26.041666666666636</v>
      </c>
      <c r="BE159" s="486">
        <v>1.0416666666666667</v>
      </c>
      <c r="BF159" s="665"/>
      <c r="BG159" s="461">
        <v>1</v>
      </c>
      <c r="BH159" s="461">
        <v>1</v>
      </c>
      <c r="BI159" s="461">
        <v>1</v>
      </c>
      <c r="BJ159" s="461">
        <v>1</v>
      </c>
      <c r="BK159" s="486">
        <v>24.041666666666657</v>
      </c>
      <c r="BL159" s="461">
        <v>24.999999999999979</v>
      </c>
      <c r="BM159" s="486">
        <v>22.01565236797671</v>
      </c>
      <c r="BN159" s="486">
        <v>601.0416666666664</v>
      </c>
      <c r="BO159" s="486">
        <v>15001.085069444413</v>
      </c>
      <c r="BP159" s="665"/>
      <c r="BQ159" s="665"/>
      <c r="BR159" s="665"/>
      <c r="BS159" s="665"/>
      <c r="BT159" s="665"/>
      <c r="BU159" s="665"/>
      <c r="BV159" s="461">
        <v>1</v>
      </c>
      <c r="BW159" s="461">
        <v>1</v>
      </c>
      <c r="BX159" s="665"/>
    </row>
    <row r="160" spans="1:76" ht="49" thickBot="1" x14ac:dyDescent="0.25">
      <c r="A160" s="765"/>
      <c r="B160" s="634" t="s">
        <v>831</v>
      </c>
      <c r="C160" s="660" t="str">
        <f>"["&amp;ROUND(C155, 2)&amp;", "&amp;ROUND(C159, 3)&amp;"]"</f>
        <v>[0, 0]</v>
      </c>
      <c r="D160" s="660" t="str">
        <f t="shared" ref="D160:AQ160" si="21">"["&amp;ROUND(D155, 2)&amp;", "&amp;ROUND(D159, 3)&amp;"]"</f>
        <v>[1, 1]</v>
      </c>
      <c r="E160" s="660" t="str">
        <f t="shared" si="21"/>
        <v>[4, 24]</v>
      </c>
      <c r="F160" s="660" t="str">
        <f t="shared" si="21"/>
        <v>[0, 0]</v>
      </c>
      <c r="G160" s="660" t="str">
        <f t="shared" si="21"/>
        <v>[4, 24]</v>
      </c>
      <c r="H160" s="660" t="str">
        <f t="shared" si="21"/>
        <v>[1, 1]</v>
      </c>
      <c r="I160" s="660" t="str">
        <f t="shared" si="21"/>
        <v>[1, 1]</v>
      </c>
      <c r="J160" s="660" t="str">
        <f t="shared" si="21"/>
        <v>[4, 24]</v>
      </c>
      <c r="K160" s="660" t="str">
        <f t="shared" si="21"/>
        <v>[0, 0]</v>
      </c>
      <c r="L160" s="660" t="str">
        <f t="shared" si="21"/>
        <v>[5, 25]</v>
      </c>
      <c r="M160" s="660" t="str">
        <f t="shared" si="21"/>
        <v>[5, 25]</v>
      </c>
      <c r="N160" s="660" t="str">
        <f t="shared" si="21"/>
        <v>[0.8, 0.96]</v>
      </c>
      <c r="O160" s="660" t="str">
        <f t="shared" si="21"/>
        <v>[0.2, 0.04]</v>
      </c>
      <c r="P160" s="660" t="str">
        <f t="shared" si="21"/>
        <v>[0.2, 0.04]</v>
      </c>
      <c r="Q160" s="660" t="str">
        <f t="shared" si="21"/>
        <v>[-4, -24]</v>
      </c>
      <c r="R160" s="660" t="str">
        <f t="shared" si="21"/>
        <v>[0, 0]</v>
      </c>
      <c r="S160" s="660" t="str">
        <f t="shared" si="21"/>
        <v>[1, 1]</v>
      </c>
      <c r="T160" s="660" t="str">
        <f t="shared" si="21"/>
        <v>[1, 1]</v>
      </c>
      <c r="U160" s="660" t="str">
        <f t="shared" si="21"/>
        <v>[0, 0]</v>
      </c>
      <c r="V160" s="660" t="str">
        <f t="shared" si="21"/>
        <v>[0, 0]</v>
      </c>
      <c r="W160" s="660" t="str">
        <f t="shared" si="21"/>
        <v>[1, 1]</v>
      </c>
      <c r="X160" s="660" t="str">
        <f t="shared" si="21"/>
        <v>[1, 1]</v>
      </c>
      <c r="Y160" s="660" t="str">
        <f t="shared" si="21"/>
        <v>[0, 0]</v>
      </c>
      <c r="Z160" s="660" t="str">
        <f t="shared" si="21"/>
        <v>[0, 0]</v>
      </c>
      <c r="AA160" s="660" t="str">
        <f t="shared" si="21"/>
        <v>[0, 0]</v>
      </c>
      <c r="AB160" s="660" t="str">
        <f t="shared" si="21"/>
        <v>[-1, -1]</v>
      </c>
      <c r="AC160" s="660" t="str">
        <f t="shared" si="21"/>
        <v>[0, 0]</v>
      </c>
      <c r="AD160" s="660" t="str">
        <f t="shared" si="21"/>
        <v>[1, 1]</v>
      </c>
      <c r="AE160" s="660" t="e">
        <f t="shared" si="21"/>
        <v>#DIV/0!</v>
      </c>
      <c r="AF160" s="672" t="str">
        <f t="shared" si="21"/>
        <v>[-0.47, -0.083]</v>
      </c>
      <c r="AG160" s="660" t="str">
        <f t="shared" si="21"/>
        <v>[-1, -1]</v>
      </c>
      <c r="AH160" s="660" t="str">
        <f t="shared" si="21"/>
        <v>[0.72, 0.242]</v>
      </c>
      <c r="AI160" s="660" t="str">
        <f t="shared" si="21"/>
        <v>[0.72, 0.242]</v>
      </c>
      <c r="AJ160" s="660" t="e">
        <f t="shared" si="21"/>
        <v>#NUM!</v>
      </c>
      <c r="AK160" s="660" t="e">
        <f t="shared" si="21"/>
        <v>#NUM!</v>
      </c>
      <c r="AL160" s="660" t="e">
        <f t="shared" si="21"/>
        <v>#NUM!</v>
      </c>
      <c r="AM160" s="660" t="str">
        <f t="shared" si="21"/>
        <v>[0, 0]</v>
      </c>
      <c r="AN160" s="660" t="str">
        <f t="shared" si="21"/>
        <v>[1, 1]</v>
      </c>
      <c r="AO160" s="660" t="str">
        <f t="shared" si="21"/>
        <v>[0, 0]</v>
      </c>
      <c r="AP160" s="660" t="str">
        <f t="shared" si="21"/>
        <v>[0.5, 0.5]</v>
      </c>
      <c r="AQ160" s="660" t="str">
        <f t="shared" si="21"/>
        <v>[1, 1]</v>
      </c>
      <c r="AR160" s="660" t="s">
        <v>347</v>
      </c>
      <c r="AS160" s="660" t="s">
        <v>347</v>
      </c>
      <c r="AT160" s="739"/>
      <c r="AU160" s="739"/>
      <c r="AV160" s="739"/>
      <c r="AW160" s="671" t="str">
        <f>"["&amp;ROUND(AW155, 2)&amp;", "&amp;ROUND(AW159, 2)&amp;"]"</f>
        <v>[-0.6, -0.92]</v>
      </c>
      <c r="AX160" s="660" t="str">
        <f>"["&amp;ROUND(AX155, 2)&amp;", "&amp;ROUND(AX159, 2)&amp;"]"</f>
        <v>[1, 1]</v>
      </c>
      <c r="AY160" s="660" t="str">
        <f t="shared" ref="AY160:BO160" si="22">"["&amp;ROUND(AY155, 2)&amp;", "&amp;ROUND(AY159, 2)&amp;"]"</f>
        <v>[1, 1]</v>
      </c>
      <c r="AZ160" s="660" t="str">
        <f t="shared" ref="AZ160:BD160" si="23">"["&amp;ROUND(AZ155, 2)&amp;", "&amp;ROUND(AZ159, 2)&amp;"]"</f>
        <v>[1, 1]</v>
      </c>
      <c r="BA160" s="660" t="str">
        <f t="shared" si="23"/>
        <v>[5, 25]</v>
      </c>
      <c r="BB160" s="660" t="str">
        <f>"["&amp;ROUND(BB155, 2)&amp;", "&amp;ROUND(BB159, 2)&amp;"]"</f>
        <v>[6.25, 26.04]</v>
      </c>
      <c r="BC160" s="660" t="str">
        <f t="shared" si="23"/>
        <v>[5, 25]</v>
      </c>
      <c r="BD160" s="660" t="str">
        <f t="shared" si="23"/>
        <v>[6.25, 26.04]</v>
      </c>
      <c r="BE160" s="671" t="str">
        <f>"["&amp;ROUND(BE155, 2)&amp;", "&amp;ROUND(BE159, 2)&amp;"]"</f>
        <v>[1.25, 1.04]</v>
      </c>
      <c r="BF160" s="643" t="s">
        <v>504</v>
      </c>
      <c r="BG160" s="660" t="str">
        <f t="shared" si="22"/>
        <v>[1, 1]</v>
      </c>
      <c r="BH160" s="660" t="str">
        <f t="shared" si="22"/>
        <v>[1, 1]</v>
      </c>
      <c r="BI160" s="660" t="str">
        <f t="shared" si="22"/>
        <v>[1, 1]</v>
      </c>
      <c r="BJ160" s="660" t="str">
        <f>"["&amp;ROUND(BJ155, 2)&amp;", "&amp;ROUND(BJ159, 2)&amp;"]"</f>
        <v>[1, 1]</v>
      </c>
      <c r="BK160" s="660" t="str">
        <f t="shared" si="22"/>
        <v>[4.25, 24.04]</v>
      </c>
      <c r="BL160" s="660" t="str">
        <f t="shared" si="22"/>
        <v>[5, 25]</v>
      </c>
      <c r="BM160" s="660" t="str">
        <f t="shared" si="22"/>
        <v>[3.79, 22.02]</v>
      </c>
      <c r="BN160" s="660" t="str">
        <f t="shared" si="22"/>
        <v>[21.25, 601.04]</v>
      </c>
      <c r="BO160" s="660" t="str">
        <f t="shared" si="22"/>
        <v>[101.56, 15001.09]</v>
      </c>
      <c r="BP160" s="643" t="s">
        <v>504</v>
      </c>
      <c r="BQ160" s="643" t="s">
        <v>504</v>
      </c>
      <c r="BR160" s="643" t="s">
        <v>504</v>
      </c>
      <c r="BS160" s="643" t="s">
        <v>504</v>
      </c>
      <c r="BT160" s="643" t="s">
        <v>504</v>
      </c>
      <c r="BU160" s="643" t="s">
        <v>504</v>
      </c>
      <c r="BV160" s="660" t="str">
        <f>"["&amp;ROUND(BV155, 2)&amp;", "&amp;ROUND(BV159, 2)&amp;"]"</f>
        <v>[1, 1]</v>
      </c>
      <c r="BW160" s="660" t="str">
        <f>"["&amp;ROUND(BW155, 2)&amp;", "&amp;ROUND(BW159, 2)&amp;"]"</f>
        <v>[1, 1]</v>
      </c>
      <c r="BX160" s="643" t="s">
        <v>504</v>
      </c>
    </row>
    <row r="161" spans="1:76" ht="17" x14ac:dyDescent="0.25">
      <c r="B161" s="657" t="s">
        <v>626</v>
      </c>
      <c r="C161" s="461">
        <v>0</v>
      </c>
      <c r="D161" s="461">
        <v>4</v>
      </c>
      <c r="E161" s="461">
        <v>1</v>
      </c>
      <c r="F161" s="461">
        <v>0</v>
      </c>
      <c r="G161" s="461">
        <v>1</v>
      </c>
      <c r="H161" s="461">
        <v>4</v>
      </c>
      <c r="I161" s="461">
        <v>4</v>
      </c>
      <c r="J161" s="461">
        <v>1</v>
      </c>
      <c r="K161" s="461">
        <v>0</v>
      </c>
      <c r="L161" s="461">
        <v>5</v>
      </c>
      <c r="M161" s="461">
        <v>5</v>
      </c>
      <c r="N161" s="461">
        <v>0.2</v>
      </c>
      <c r="O161" s="461">
        <v>0.8</v>
      </c>
      <c r="P161" s="461">
        <v>0.8</v>
      </c>
      <c r="Q161" s="461">
        <v>-4</v>
      </c>
      <c r="R161" s="461">
        <v>0</v>
      </c>
      <c r="S161" s="461">
        <v>1</v>
      </c>
      <c r="T161" s="461">
        <v>1</v>
      </c>
      <c r="U161" s="461">
        <v>0</v>
      </c>
      <c r="V161" s="461">
        <v>0</v>
      </c>
      <c r="W161" s="461">
        <v>1</v>
      </c>
      <c r="X161" s="461">
        <v>1</v>
      </c>
      <c r="Y161" s="461">
        <v>0</v>
      </c>
      <c r="Z161" s="461">
        <v>0</v>
      </c>
      <c r="AA161" s="461">
        <v>0</v>
      </c>
      <c r="AB161" s="461">
        <v>-1</v>
      </c>
      <c r="AC161" s="461">
        <v>0</v>
      </c>
      <c r="AD161" s="461">
        <v>1</v>
      </c>
      <c r="AE161" s="461" t="e">
        <v>#DIV/0!</v>
      </c>
      <c r="AF161" s="488">
        <v>-0.47058823529411764</v>
      </c>
      <c r="AG161" s="461">
        <v>-1</v>
      </c>
      <c r="AH161" s="488">
        <v>0.72192809488736231</v>
      </c>
      <c r="AI161" s="488">
        <v>0.72192809488736231</v>
      </c>
      <c r="AJ161" s="461" t="e">
        <v>#NUM!</v>
      </c>
      <c r="AK161" s="461" t="e">
        <v>#NUM!</v>
      </c>
      <c r="AL161" s="461" t="e">
        <v>#NUM!</v>
      </c>
      <c r="AM161" s="461">
        <v>0</v>
      </c>
      <c r="AN161" s="461">
        <v>1</v>
      </c>
      <c r="AO161" s="461">
        <v>0</v>
      </c>
      <c r="AP161" s="461">
        <v>0.5</v>
      </c>
      <c r="AQ161" s="461">
        <v>1</v>
      </c>
      <c r="AR161" s="485" t="s">
        <v>347</v>
      </c>
      <c r="AS161" s="485" t="s">
        <v>347</v>
      </c>
      <c r="AT161" s="699" t="s">
        <v>631</v>
      </c>
      <c r="AU161" s="699" t="s">
        <v>632</v>
      </c>
      <c r="AV161" s="699" t="s">
        <v>633</v>
      </c>
      <c r="AW161" s="461">
        <v>0.6</v>
      </c>
      <c r="AX161" s="461">
        <v>1</v>
      </c>
      <c r="AY161" s="461">
        <v>1</v>
      </c>
      <c r="AZ161" s="461">
        <v>1</v>
      </c>
      <c r="BA161" s="461">
        <v>5</v>
      </c>
      <c r="BB161" s="486">
        <v>6.2499999999999991</v>
      </c>
      <c r="BC161" s="461">
        <v>5</v>
      </c>
      <c r="BD161" s="486">
        <v>6.2499999999999973</v>
      </c>
      <c r="BE161" s="486">
        <v>5</v>
      </c>
      <c r="BF161" s="665"/>
      <c r="BG161" s="461">
        <v>1</v>
      </c>
      <c r="BH161" s="461">
        <v>1</v>
      </c>
      <c r="BI161" s="461">
        <v>1</v>
      </c>
      <c r="BJ161" s="461">
        <v>1</v>
      </c>
      <c r="BK161" s="486">
        <v>4.25</v>
      </c>
      <c r="BL161" s="461">
        <v>5</v>
      </c>
      <c r="BM161" s="486">
        <v>3.7892914162759954</v>
      </c>
      <c r="BN161" s="486">
        <v>21.25</v>
      </c>
      <c r="BO161" s="486">
        <v>101.5625</v>
      </c>
      <c r="BP161" s="665"/>
      <c r="BQ161" s="665"/>
      <c r="BR161" s="665"/>
      <c r="BS161" s="665"/>
      <c r="BT161" s="665"/>
      <c r="BU161" s="665"/>
      <c r="BV161" s="461">
        <v>1</v>
      </c>
      <c r="BW161" s="461">
        <v>1</v>
      </c>
      <c r="BX161" s="665"/>
    </row>
    <row r="162" spans="1:76" ht="17" x14ac:dyDescent="0.25">
      <c r="B162" s="657" t="s">
        <v>627</v>
      </c>
      <c r="C162" s="461">
        <v>0</v>
      </c>
      <c r="D162" s="461">
        <v>9</v>
      </c>
      <c r="E162" s="461">
        <v>1</v>
      </c>
      <c r="F162" s="461">
        <v>0</v>
      </c>
      <c r="G162" s="461">
        <v>1</v>
      </c>
      <c r="H162" s="461">
        <v>9</v>
      </c>
      <c r="I162" s="461">
        <v>9</v>
      </c>
      <c r="J162" s="461">
        <v>1</v>
      </c>
      <c r="K162" s="461">
        <v>0</v>
      </c>
      <c r="L162" s="461">
        <v>10</v>
      </c>
      <c r="M162" s="461">
        <v>10</v>
      </c>
      <c r="N162" s="461">
        <v>0.1</v>
      </c>
      <c r="O162" s="461">
        <v>0.9</v>
      </c>
      <c r="P162" s="461">
        <v>0.9</v>
      </c>
      <c r="Q162" s="461">
        <v>-9</v>
      </c>
      <c r="R162" s="461">
        <v>0</v>
      </c>
      <c r="S162" s="461">
        <v>1</v>
      </c>
      <c r="T162" s="461">
        <v>1</v>
      </c>
      <c r="U162" s="461">
        <v>0</v>
      </c>
      <c r="V162" s="461">
        <v>0</v>
      </c>
      <c r="W162" s="461">
        <v>1</v>
      </c>
      <c r="X162" s="461">
        <v>1</v>
      </c>
      <c r="Y162" s="461">
        <v>0</v>
      </c>
      <c r="Z162" s="461">
        <v>0</v>
      </c>
      <c r="AA162" s="461">
        <v>0</v>
      </c>
      <c r="AB162" s="461">
        <v>-1</v>
      </c>
      <c r="AC162" s="461">
        <v>0</v>
      </c>
      <c r="AD162" s="461">
        <v>1</v>
      </c>
      <c r="AE162" s="461" t="e">
        <v>#DIV/0!</v>
      </c>
      <c r="AF162" s="488">
        <v>-0.21951219512195122</v>
      </c>
      <c r="AG162" s="461">
        <v>-1</v>
      </c>
      <c r="AH162" s="488">
        <v>0.46899559358928122</v>
      </c>
      <c r="AI162" s="488">
        <v>0.46899559358928117</v>
      </c>
      <c r="AJ162" s="461" t="e">
        <v>#NUM!</v>
      </c>
      <c r="AK162" s="461" t="e">
        <v>#NUM!</v>
      </c>
      <c r="AL162" s="461" t="e">
        <v>#NUM!</v>
      </c>
      <c r="AM162" s="461">
        <v>0</v>
      </c>
      <c r="AN162" s="461">
        <v>1</v>
      </c>
      <c r="AO162" s="461">
        <v>0</v>
      </c>
      <c r="AP162" s="461">
        <v>0.5</v>
      </c>
      <c r="AQ162" s="461">
        <v>1</v>
      </c>
      <c r="AR162" s="485" t="s">
        <v>347</v>
      </c>
      <c r="AS162" s="485" t="s">
        <v>347</v>
      </c>
      <c r="AT162" s="699" t="s">
        <v>634</v>
      </c>
      <c r="AU162" s="699" t="s">
        <v>635</v>
      </c>
      <c r="AV162" s="699" t="s">
        <v>636</v>
      </c>
      <c r="AW162" s="486">
        <v>0.8</v>
      </c>
      <c r="AX162" s="461">
        <v>1</v>
      </c>
      <c r="AY162" s="486">
        <v>1</v>
      </c>
      <c r="AZ162" s="461">
        <v>1</v>
      </c>
      <c r="BA162" s="461">
        <v>10</v>
      </c>
      <c r="BB162" s="486">
        <v>11.111111111111109</v>
      </c>
      <c r="BC162" s="486">
        <v>10</v>
      </c>
      <c r="BD162" s="486">
        <v>11.111111111111109</v>
      </c>
      <c r="BE162" s="486">
        <v>10</v>
      </c>
      <c r="BF162" s="665"/>
      <c r="BG162" s="486">
        <v>1</v>
      </c>
      <c r="BH162" s="461">
        <v>1</v>
      </c>
      <c r="BI162" s="461">
        <v>1</v>
      </c>
      <c r="BJ162" s="486">
        <v>1</v>
      </c>
      <c r="BK162" s="486">
        <v>9.1111111111111107</v>
      </c>
      <c r="BL162" s="461">
        <v>10</v>
      </c>
      <c r="BM162" s="486">
        <v>8.0274156176023066</v>
      </c>
      <c r="BN162" s="486">
        <v>91.111111111111114</v>
      </c>
      <c r="BO162" s="486">
        <v>901.23456790123464</v>
      </c>
      <c r="BP162" s="665"/>
      <c r="BQ162" s="665"/>
      <c r="BR162" s="665"/>
      <c r="BS162" s="665"/>
      <c r="BT162" s="665"/>
      <c r="BU162" s="665"/>
      <c r="BV162" s="461">
        <v>1</v>
      </c>
      <c r="BW162" s="461">
        <v>1</v>
      </c>
      <c r="BX162" s="665"/>
    </row>
    <row r="163" spans="1:76" ht="17" x14ac:dyDescent="0.25">
      <c r="B163" s="657" t="s">
        <v>628</v>
      </c>
      <c r="C163" s="461">
        <v>0</v>
      </c>
      <c r="D163" s="461">
        <v>14</v>
      </c>
      <c r="E163" s="461">
        <v>1</v>
      </c>
      <c r="F163" s="461">
        <v>0</v>
      </c>
      <c r="G163" s="461">
        <v>1</v>
      </c>
      <c r="H163" s="461">
        <v>14</v>
      </c>
      <c r="I163" s="461">
        <v>14</v>
      </c>
      <c r="J163" s="461">
        <v>1</v>
      </c>
      <c r="K163" s="461">
        <v>0</v>
      </c>
      <c r="L163" s="461">
        <v>15</v>
      </c>
      <c r="M163" s="461">
        <v>15</v>
      </c>
      <c r="N163" s="461">
        <v>6.6666666666666666E-2</v>
      </c>
      <c r="O163" s="461">
        <v>0.93333333333333335</v>
      </c>
      <c r="P163" s="461">
        <v>0.93333333333333335</v>
      </c>
      <c r="Q163" s="461">
        <v>-14</v>
      </c>
      <c r="R163" s="461">
        <v>0</v>
      </c>
      <c r="S163" s="461">
        <v>1</v>
      </c>
      <c r="T163" s="461">
        <v>1</v>
      </c>
      <c r="U163" s="461">
        <v>0</v>
      </c>
      <c r="V163" s="461">
        <v>0</v>
      </c>
      <c r="W163" s="461">
        <v>1</v>
      </c>
      <c r="X163" s="461">
        <v>1</v>
      </c>
      <c r="Y163" s="461">
        <v>0</v>
      </c>
      <c r="Z163" s="461">
        <v>0</v>
      </c>
      <c r="AA163" s="461">
        <v>0</v>
      </c>
      <c r="AB163" s="461">
        <v>-1</v>
      </c>
      <c r="AC163" s="461">
        <v>0</v>
      </c>
      <c r="AD163" s="461">
        <v>1</v>
      </c>
      <c r="AE163" s="461" t="e">
        <v>#DIV/0!</v>
      </c>
      <c r="AF163" s="488">
        <v>-0.14213197969543148</v>
      </c>
      <c r="AG163" s="461">
        <v>-1</v>
      </c>
      <c r="AH163" s="488">
        <v>0.35335933502142136</v>
      </c>
      <c r="AI163" s="488">
        <v>0.35335933502142131</v>
      </c>
      <c r="AJ163" s="461" t="e">
        <v>#NUM!</v>
      </c>
      <c r="AK163" s="461" t="e">
        <v>#NUM!</v>
      </c>
      <c r="AL163" s="461" t="e">
        <v>#NUM!</v>
      </c>
      <c r="AM163" s="461">
        <v>0</v>
      </c>
      <c r="AN163" s="461">
        <v>1</v>
      </c>
      <c r="AO163" s="461">
        <v>0</v>
      </c>
      <c r="AP163" s="461">
        <v>0.5</v>
      </c>
      <c r="AQ163" s="461">
        <v>1</v>
      </c>
      <c r="AR163" s="485" t="s">
        <v>347</v>
      </c>
      <c r="AS163" s="485" t="s">
        <v>347</v>
      </c>
      <c r="AT163" s="699" t="s">
        <v>637</v>
      </c>
      <c r="AU163" s="699" t="s">
        <v>638</v>
      </c>
      <c r="AV163" s="699" t="s">
        <v>639</v>
      </c>
      <c r="AW163" s="486">
        <v>0.8666666666666667</v>
      </c>
      <c r="AX163" s="461">
        <v>1</v>
      </c>
      <c r="AY163" s="486">
        <v>1</v>
      </c>
      <c r="AZ163" s="461">
        <v>1</v>
      </c>
      <c r="BA163" s="461">
        <v>15</v>
      </c>
      <c r="BB163" s="486">
        <v>16.071428571428573</v>
      </c>
      <c r="BC163" s="486">
        <v>15</v>
      </c>
      <c r="BD163" s="486">
        <v>16.071428571428562</v>
      </c>
      <c r="BE163" s="486">
        <v>15</v>
      </c>
      <c r="BF163" s="665"/>
      <c r="BG163" s="461">
        <v>1</v>
      </c>
      <c r="BH163" s="461">
        <v>1</v>
      </c>
      <c r="BI163" s="461">
        <v>1</v>
      </c>
      <c r="BJ163" s="486">
        <v>1</v>
      </c>
      <c r="BK163" s="486">
        <v>14.071428571428571</v>
      </c>
      <c r="BL163" s="461">
        <v>15</v>
      </c>
      <c r="BM163" s="486">
        <v>12.580060315234265</v>
      </c>
      <c r="BN163" s="486">
        <v>211.07142857142856</v>
      </c>
      <c r="BO163" s="486">
        <v>3151.1479591836733</v>
      </c>
      <c r="BP163" s="665"/>
      <c r="BQ163" s="665"/>
      <c r="BR163" s="665"/>
      <c r="BS163" s="665"/>
      <c r="BT163" s="665"/>
      <c r="BU163" s="665"/>
      <c r="BV163" s="461">
        <v>1</v>
      </c>
      <c r="BW163" s="461">
        <v>1</v>
      </c>
      <c r="BX163" s="665"/>
    </row>
    <row r="164" spans="1:76" ht="17" x14ac:dyDescent="0.25">
      <c r="B164" s="657" t="s">
        <v>629</v>
      </c>
      <c r="C164" s="461">
        <v>0</v>
      </c>
      <c r="D164" s="461">
        <v>19</v>
      </c>
      <c r="E164" s="461">
        <v>1</v>
      </c>
      <c r="F164" s="461">
        <v>0</v>
      </c>
      <c r="G164" s="461">
        <v>1</v>
      </c>
      <c r="H164" s="461">
        <v>19</v>
      </c>
      <c r="I164" s="461">
        <v>19</v>
      </c>
      <c r="J164" s="461">
        <v>1</v>
      </c>
      <c r="K164" s="461">
        <v>0</v>
      </c>
      <c r="L164" s="461">
        <v>20</v>
      </c>
      <c r="M164" s="461">
        <v>20</v>
      </c>
      <c r="N164" s="461">
        <v>0.05</v>
      </c>
      <c r="O164" s="461">
        <v>0.95</v>
      </c>
      <c r="P164" s="461">
        <v>0.95</v>
      </c>
      <c r="Q164" s="461">
        <v>-19</v>
      </c>
      <c r="R164" s="461">
        <v>0</v>
      </c>
      <c r="S164" s="461">
        <v>1</v>
      </c>
      <c r="T164" s="461">
        <v>1</v>
      </c>
      <c r="U164" s="461">
        <v>0</v>
      </c>
      <c r="V164" s="461">
        <v>0</v>
      </c>
      <c r="W164" s="461">
        <v>1</v>
      </c>
      <c r="X164" s="461">
        <v>1</v>
      </c>
      <c r="Y164" s="461">
        <v>0</v>
      </c>
      <c r="Z164" s="461">
        <v>0</v>
      </c>
      <c r="AA164" s="461">
        <v>0</v>
      </c>
      <c r="AB164" s="461">
        <v>-1</v>
      </c>
      <c r="AC164" s="461">
        <v>0</v>
      </c>
      <c r="AD164" s="461">
        <v>1</v>
      </c>
      <c r="AE164" s="461" t="e">
        <v>#DIV/0!</v>
      </c>
      <c r="AF164" s="488">
        <v>-0.10497237569060773</v>
      </c>
      <c r="AG164" s="461">
        <v>-1</v>
      </c>
      <c r="AH164" s="488">
        <v>0.28639695711595625</v>
      </c>
      <c r="AI164" s="488">
        <v>0.28639695711595631</v>
      </c>
      <c r="AJ164" s="461" t="e">
        <v>#NUM!</v>
      </c>
      <c r="AK164" s="461" t="e">
        <v>#NUM!</v>
      </c>
      <c r="AL164" s="461" t="e">
        <v>#NUM!</v>
      </c>
      <c r="AM164" s="461">
        <v>0</v>
      </c>
      <c r="AN164" s="461">
        <v>1</v>
      </c>
      <c r="AO164" s="461">
        <v>0</v>
      </c>
      <c r="AP164" s="461">
        <v>0.5</v>
      </c>
      <c r="AQ164" s="461">
        <v>1</v>
      </c>
      <c r="AR164" s="485" t="s">
        <v>347</v>
      </c>
      <c r="AS164" s="485" t="s">
        <v>347</v>
      </c>
      <c r="AT164" s="699" t="s">
        <v>640</v>
      </c>
      <c r="AU164" s="699" t="s">
        <v>641</v>
      </c>
      <c r="AV164" s="699" t="s">
        <v>642</v>
      </c>
      <c r="AW164" s="461">
        <v>0.9</v>
      </c>
      <c r="AX164" s="461">
        <v>1</v>
      </c>
      <c r="AY164" s="486">
        <v>1</v>
      </c>
      <c r="AZ164" s="461">
        <v>1</v>
      </c>
      <c r="BA164" s="461">
        <v>20</v>
      </c>
      <c r="BB164" s="486">
        <v>21.05263157894737</v>
      </c>
      <c r="BC164" s="486">
        <v>20</v>
      </c>
      <c r="BD164" s="486">
        <v>21.052631578947391</v>
      </c>
      <c r="BE164" s="486">
        <v>20</v>
      </c>
      <c r="BF164" s="665"/>
      <c r="BG164" s="461">
        <v>1</v>
      </c>
      <c r="BH164" s="461">
        <v>1</v>
      </c>
      <c r="BI164" s="461">
        <v>1</v>
      </c>
      <c r="BJ164" s="486">
        <v>1</v>
      </c>
      <c r="BK164" s="486">
        <v>19.05263157894737</v>
      </c>
      <c r="BL164" s="461">
        <v>20</v>
      </c>
      <c r="BM164" s="486">
        <v>17.262047829584844</v>
      </c>
      <c r="BN164" s="486">
        <v>381.0526315789474</v>
      </c>
      <c r="BO164" s="486">
        <v>7601.1080332409974</v>
      </c>
      <c r="BP164" s="665"/>
      <c r="BQ164" s="665"/>
      <c r="BR164" s="665"/>
      <c r="BS164" s="665"/>
      <c r="BT164" s="665"/>
      <c r="BU164" s="665"/>
      <c r="BV164" s="461">
        <v>1</v>
      </c>
      <c r="BW164" s="461">
        <v>1</v>
      </c>
      <c r="BX164" s="665"/>
    </row>
    <row r="165" spans="1:76" ht="17" x14ac:dyDescent="0.25">
      <c r="B165" s="657" t="s">
        <v>630</v>
      </c>
      <c r="C165" s="461">
        <v>0</v>
      </c>
      <c r="D165" s="461">
        <v>24</v>
      </c>
      <c r="E165" s="461">
        <v>1</v>
      </c>
      <c r="F165" s="461">
        <v>0</v>
      </c>
      <c r="G165" s="461">
        <v>1</v>
      </c>
      <c r="H165" s="461">
        <v>24</v>
      </c>
      <c r="I165" s="461">
        <v>24</v>
      </c>
      <c r="J165" s="461">
        <v>1</v>
      </c>
      <c r="K165" s="461">
        <v>0</v>
      </c>
      <c r="L165" s="461">
        <v>25</v>
      </c>
      <c r="M165" s="461">
        <v>25</v>
      </c>
      <c r="N165" s="461">
        <v>0.04</v>
      </c>
      <c r="O165" s="461">
        <v>0.96</v>
      </c>
      <c r="P165" s="461">
        <v>0.96</v>
      </c>
      <c r="Q165" s="461">
        <v>-24</v>
      </c>
      <c r="R165" s="461">
        <v>0</v>
      </c>
      <c r="S165" s="461">
        <v>1</v>
      </c>
      <c r="T165" s="461">
        <v>1</v>
      </c>
      <c r="U165" s="461">
        <v>0</v>
      </c>
      <c r="V165" s="461">
        <v>0</v>
      </c>
      <c r="W165" s="461">
        <v>1</v>
      </c>
      <c r="X165" s="461">
        <v>1</v>
      </c>
      <c r="Y165" s="461">
        <v>0</v>
      </c>
      <c r="Z165" s="461">
        <v>0</v>
      </c>
      <c r="AA165" s="461">
        <v>0</v>
      </c>
      <c r="AB165" s="461">
        <v>-1</v>
      </c>
      <c r="AC165" s="461">
        <v>0</v>
      </c>
      <c r="AD165" s="461">
        <v>1</v>
      </c>
      <c r="AE165" s="461" t="e">
        <v>#DIV/0!</v>
      </c>
      <c r="AF165" s="488">
        <v>-8.3188908145580595E-2</v>
      </c>
      <c r="AG165" s="461">
        <v>-1</v>
      </c>
      <c r="AH165" s="488">
        <v>0.24229218908241482</v>
      </c>
      <c r="AI165" s="488">
        <v>0.24229218908241493</v>
      </c>
      <c r="AJ165" s="461" t="e">
        <v>#NUM!</v>
      </c>
      <c r="AK165" s="461" t="e">
        <v>#NUM!</v>
      </c>
      <c r="AL165" s="461" t="e">
        <v>#NUM!</v>
      </c>
      <c r="AM165" s="461">
        <v>0</v>
      </c>
      <c r="AN165" s="461">
        <v>1</v>
      </c>
      <c r="AO165" s="461">
        <v>0</v>
      </c>
      <c r="AP165" s="461">
        <v>0.5</v>
      </c>
      <c r="AQ165" s="461">
        <v>1</v>
      </c>
      <c r="AR165" s="485" t="s">
        <v>347</v>
      </c>
      <c r="AS165" s="485" t="s">
        <v>347</v>
      </c>
      <c r="AT165" s="699" t="s">
        <v>643</v>
      </c>
      <c r="AU165" s="699" t="s">
        <v>644</v>
      </c>
      <c r="AV165" s="699" t="s">
        <v>645</v>
      </c>
      <c r="AW165" s="461">
        <v>0.92</v>
      </c>
      <c r="AX165" s="461">
        <v>1</v>
      </c>
      <c r="AY165" s="461">
        <v>1</v>
      </c>
      <c r="AZ165" s="461">
        <v>1</v>
      </c>
      <c r="BA165" s="461">
        <v>25</v>
      </c>
      <c r="BB165" s="486">
        <v>26.041666666666668</v>
      </c>
      <c r="BC165" s="461">
        <v>25</v>
      </c>
      <c r="BD165" s="486">
        <v>26.041666666666636</v>
      </c>
      <c r="BE165" s="486">
        <v>25</v>
      </c>
      <c r="BF165" s="665"/>
      <c r="BG165" s="461">
        <v>1</v>
      </c>
      <c r="BH165" s="461">
        <v>1</v>
      </c>
      <c r="BI165" s="461">
        <v>1</v>
      </c>
      <c r="BJ165" s="461">
        <v>1</v>
      </c>
      <c r="BK165" s="486">
        <v>24.041666666666671</v>
      </c>
      <c r="BL165" s="461">
        <v>25</v>
      </c>
      <c r="BM165" s="486">
        <v>22.015652367976728</v>
      </c>
      <c r="BN165" s="486">
        <v>601.04166666666674</v>
      </c>
      <c r="BO165" s="486">
        <v>15001.085069444445</v>
      </c>
      <c r="BP165" s="665"/>
      <c r="BQ165" s="665"/>
      <c r="BR165" s="665"/>
      <c r="BS165" s="665"/>
      <c r="BT165" s="665"/>
      <c r="BU165" s="665"/>
      <c r="BV165" s="461">
        <v>1</v>
      </c>
      <c r="BW165" s="461">
        <v>1</v>
      </c>
      <c r="BX165" s="665"/>
    </row>
    <row r="166" spans="1:76" ht="33" thickBot="1" x14ac:dyDescent="0.25">
      <c r="A166" s="765"/>
      <c r="B166" s="634" t="s">
        <v>832</v>
      </c>
      <c r="C166" s="660" t="str">
        <f>"["&amp;ROUND(C161, 2)&amp;", "&amp;ROUND(C165, 3)&amp;"]"</f>
        <v>[0, 0]</v>
      </c>
      <c r="D166" s="660" t="str">
        <f t="shared" ref="D166" si="24">"["&amp;ROUND(D161, 2)&amp;", "&amp;ROUND(D165, 3)&amp;"]"</f>
        <v>[4, 24]</v>
      </c>
      <c r="E166" s="660" t="str">
        <f t="shared" ref="E166" si="25">"["&amp;ROUND(E161, 2)&amp;", "&amp;ROUND(E165, 3)&amp;"]"</f>
        <v>[1, 1]</v>
      </c>
      <c r="F166" s="660" t="str">
        <f t="shared" ref="F166" si="26">"["&amp;ROUND(F161, 2)&amp;", "&amp;ROUND(F165, 3)&amp;"]"</f>
        <v>[0, 0]</v>
      </c>
      <c r="G166" s="660" t="str">
        <f t="shared" ref="G166" si="27">"["&amp;ROUND(G161, 2)&amp;", "&amp;ROUND(G165, 3)&amp;"]"</f>
        <v>[1, 1]</v>
      </c>
      <c r="H166" s="660" t="str">
        <f t="shared" ref="H166" si="28">"["&amp;ROUND(H161, 2)&amp;", "&amp;ROUND(H165, 3)&amp;"]"</f>
        <v>[4, 24]</v>
      </c>
      <c r="I166" s="660" t="str">
        <f t="shared" ref="I166" si="29">"["&amp;ROUND(I161, 2)&amp;", "&amp;ROUND(I165, 3)&amp;"]"</f>
        <v>[4, 24]</v>
      </c>
      <c r="J166" s="660" t="str">
        <f t="shared" ref="J166" si="30">"["&amp;ROUND(J161, 2)&amp;", "&amp;ROUND(J165, 3)&amp;"]"</f>
        <v>[1, 1]</v>
      </c>
      <c r="K166" s="660" t="str">
        <f t="shared" ref="K166" si="31">"["&amp;ROUND(K161, 2)&amp;", "&amp;ROUND(K165, 3)&amp;"]"</f>
        <v>[0, 0]</v>
      </c>
      <c r="L166" s="660" t="str">
        <f t="shared" ref="L166" si="32">"["&amp;ROUND(L161, 2)&amp;", "&amp;ROUND(L165, 3)&amp;"]"</f>
        <v>[5, 25]</v>
      </c>
      <c r="M166" s="660" t="str">
        <f t="shared" ref="M166" si="33">"["&amp;ROUND(M161, 2)&amp;", "&amp;ROUND(M165, 3)&amp;"]"</f>
        <v>[5, 25]</v>
      </c>
      <c r="N166" s="660" t="str">
        <f t="shared" ref="N166" si="34">"["&amp;ROUND(N161, 2)&amp;", "&amp;ROUND(N165, 3)&amp;"]"</f>
        <v>[0.2, 0.04]</v>
      </c>
      <c r="O166" s="660" t="str">
        <f t="shared" ref="O166" si="35">"["&amp;ROUND(O161, 2)&amp;", "&amp;ROUND(O165, 3)&amp;"]"</f>
        <v>[0.8, 0.96]</v>
      </c>
      <c r="P166" s="660" t="str">
        <f t="shared" ref="P166" si="36">"["&amp;ROUND(P161, 2)&amp;", "&amp;ROUND(P165, 3)&amp;"]"</f>
        <v>[0.8, 0.96]</v>
      </c>
      <c r="Q166" s="660" t="str">
        <f t="shared" ref="Q166" si="37">"["&amp;ROUND(Q161, 2)&amp;", "&amp;ROUND(Q165, 3)&amp;"]"</f>
        <v>[-4, -24]</v>
      </c>
      <c r="R166" s="660" t="str">
        <f t="shared" ref="R166" si="38">"["&amp;ROUND(R161, 2)&amp;", "&amp;ROUND(R165, 3)&amp;"]"</f>
        <v>[0, 0]</v>
      </c>
      <c r="S166" s="660" t="str">
        <f t="shared" ref="S166" si="39">"["&amp;ROUND(S161, 2)&amp;", "&amp;ROUND(S165, 3)&amp;"]"</f>
        <v>[1, 1]</v>
      </c>
      <c r="T166" s="660" t="str">
        <f t="shared" ref="T166" si="40">"["&amp;ROUND(T161, 2)&amp;", "&amp;ROUND(T165, 3)&amp;"]"</f>
        <v>[1, 1]</v>
      </c>
      <c r="U166" s="660" t="str">
        <f t="shared" ref="U166" si="41">"["&amp;ROUND(U161, 2)&amp;", "&amp;ROUND(U165, 3)&amp;"]"</f>
        <v>[0, 0]</v>
      </c>
      <c r="V166" s="660" t="str">
        <f t="shared" ref="V166" si="42">"["&amp;ROUND(V161, 2)&amp;", "&amp;ROUND(V165, 3)&amp;"]"</f>
        <v>[0, 0]</v>
      </c>
      <c r="W166" s="660" t="str">
        <f t="shared" ref="W166" si="43">"["&amp;ROUND(W161, 2)&amp;", "&amp;ROUND(W165, 3)&amp;"]"</f>
        <v>[1, 1]</v>
      </c>
      <c r="X166" s="660" t="str">
        <f t="shared" ref="X166" si="44">"["&amp;ROUND(X161, 2)&amp;", "&amp;ROUND(X165, 3)&amp;"]"</f>
        <v>[1, 1]</v>
      </c>
      <c r="Y166" s="660" t="str">
        <f t="shared" ref="Y166" si="45">"["&amp;ROUND(Y161, 2)&amp;", "&amp;ROUND(Y165, 3)&amp;"]"</f>
        <v>[0, 0]</v>
      </c>
      <c r="Z166" s="660" t="str">
        <f t="shared" ref="Z166" si="46">"["&amp;ROUND(Z161, 2)&amp;", "&amp;ROUND(Z165, 3)&amp;"]"</f>
        <v>[0, 0]</v>
      </c>
      <c r="AA166" s="660" t="str">
        <f t="shared" ref="AA166" si="47">"["&amp;ROUND(AA161, 2)&amp;", "&amp;ROUND(AA165, 3)&amp;"]"</f>
        <v>[0, 0]</v>
      </c>
      <c r="AB166" s="660" t="str">
        <f t="shared" ref="AB166" si="48">"["&amp;ROUND(AB161, 2)&amp;", "&amp;ROUND(AB165, 3)&amp;"]"</f>
        <v>[-1, -1]</v>
      </c>
      <c r="AC166" s="660" t="str">
        <f t="shared" ref="AC166" si="49">"["&amp;ROUND(AC161, 2)&amp;", "&amp;ROUND(AC165, 3)&amp;"]"</f>
        <v>[0, 0]</v>
      </c>
      <c r="AD166" s="660" t="str">
        <f t="shared" ref="AD166" si="50">"["&amp;ROUND(AD161, 2)&amp;", "&amp;ROUND(AD165, 3)&amp;"]"</f>
        <v>[1, 1]</v>
      </c>
      <c r="AE166" s="660" t="e">
        <f t="shared" ref="AE166" si="51">"["&amp;ROUND(AE161, 2)&amp;", "&amp;ROUND(AE165, 3)&amp;"]"</f>
        <v>#DIV/0!</v>
      </c>
      <c r="AF166" s="672" t="str">
        <f t="shared" ref="AF166" si="52">"["&amp;ROUND(AF161, 2)&amp;", "&amp;ROUND(AF165, 3)&amp;"]"</f>
        <v>[-0.47, -0.083]</v>
      </c>
      <c r="AG166" s="660" t="str">
        <f t="shared" ref="AG166" si="53">"["&amp;ROUND(AG161, 2)&amp;", "&amp;ROUND(AG165, 3)&amp;"]"</f>
        <v>[-1, -1]</v>
      </c>
      <c r="AH166" s="660" t="str">
        <f t="shared" ref="AH166" si="54">"["&amp;ROUND(AH161, 2)&amp;", "&amp;ROUND(AH165, 3)&amp;"]"</f>
        <v>[0.72, 0.242]</v>
      </c>
      <c r="AI166" s="660" t="str">
        <f t="shared" ref="AI166" si="55">"["&amp;ROUND(AI161, 2)&amp;", "&amp;ROUND(AI165, 3)&amp;"]"</f>
        <v>[0.72, 0.242]</v>
      </c>
      <c r="AJ166" s="660" t="e">
        <f t="shared" ref="AJ166" si="56">"["&amp;ROUND(AJ161, 2)&amp;", "&amp;ROUND(AJ165, 3)&amp;"]"</f>
        <v>#NUM!</v>
      </c>
      <c r="AK166" s="660" t="e">
        <f t="shared" ref="AK166" si="57">"["&amp;ROUND(AK161, 2)&amp;", "&amp;ROUND(AK165, 3)&amp;"]"</f>
        <v>#NUM!</v>
      </c>
      <c r="AL166" s="660" t="e">
        <f t="shared" ref="AL166" si="58">"["&amp;ROUND(AL161, 2)&amp;", "&amp;ROUND(AL165, 3)&amp;"]"</f>
        <v>#NUM!</v>
      </c>
      <c r="AM166" s="660" t="str">
        <f t="shared" ref="AM166" si="59">"["&amp;ROUND(AM161, 2)&amp;", "&amp;ROUND(AM165, 3)&amp;"]"</f>
        <v>[0, 0]</v>
      </c>
      <c r="AN166" s="660" t="str">
        <f t="shared" ref="AN166" si="60">"["&amp;ROUND(AN161, 2)&amp;", "&amp;ROUND(AN165, 3)&amp;"]"</f>
        <v>[1, 1]</v>
      </c>
      <c r="AO166" s="660" t="str">
        <f t="shared" ref="AO166" si="61">"["&amp;ROUND(AO161, 2)&amp;", "&amp;ROUND(AO165, 3)&amp;"]"</f>
        <v>[0, 0]</v>
      </c>
      <c r="AP166" s="660" t="str">
        <f t="shared" ref="AP166" si="62">"["&amp;ROUND(AP161, 2)&amp;", "&amp;ROUND(AP165, 3)&amp;"]"</f>
        <v>[0.5, 0.5]</v>
      </c>
      <c r="AQ166" s="660" t="str">
        <f t="shared" ref="AQ166" si="63">"["&amp;ROUND(AQ161, 2)&amp;", "&amp;ROUND(AQ165, 3)&amp;"]"</f>
        <v>[1, 1]</v>
      </c>
      <c r="AR166" s="660" t="s">
        <v>347</v>
      </c>
      <c r="AS166" s="660" t="s">
        <v>347</v>
      </c>
      <c r="AT166" s="739"/>
      <c r="AU166" s="739"/>
      <c r="AV166" s="739"/>
      <c r="AW166" s="671" t="str">
        <f>"["&amp;ROUND(AW161, 2)&amp;", "&amp;ROUND(AW165, 2)&amp;"]"</f>
        <v>[0.6, 0.92]</v>
      </c>
      <c r="AX166" s="660" t="str">
        <f>"["&amp;ROUND(AX161, 2)&amp;", "&amp;ROUND(AX165, 2)&amp;"]"</f>
        <v>[1, 1]</v>
      </c>
      <c r="AY166" s="660" t="str">
        <f t="shared" ref="AY166:BO166" si="64">"["&amp;ROUND(AY161, 2)&amp;", "&amp;ROUND(AY165, 2)&amp;"]"</f>
        <v>[1, 1]</v>
      </c>
      <c r="AZ166" s="660" t="str">
        <f t="shared" ref="AZ166:BD166" si="65">"["&amp;ROUND(AZ161, 2)&amp;", "&amp;ROUND(AZ165, 2)&amp;"]"</f>
        <v>[1, 1]</v>
      </c>
      <c r="BA166" s="660" t="str">
        <f t="shared" si="65"/>
        <v>[5, 25]</v>
      </c>
      <c r="BB166" s="660" t="str">
        <f>"["&amp;ROUND(BB161, 2)&amp;", "&amp;ROUND(BB165, 2)&amp;"]"</f>
        <v>[6.25, 26.04]</v>
      </c>
      <c r="BC166" s="660" t="str">
        <f t="shared" si="65"/>
        <v>[5, 25]</v>
      </c>
      <c r="BD166" s="660" t="str">
        <f t="shared" si="65"/>
        <v>[6.25, 26.04]</v>
      </c>
      <c r="BE166" s="671" t="str">
        <f>"["&amp;ROUND(BE161, 2)&amp;", "&amp;ROUND(BE165, 2)&amp;"]"</f>
        <v>[5, 25]</v>
      </c>
      <c r="BF166" s="643" t="s">
        <v>504</v>
      </c>
      <c r="BG166" s="660" t="str">
        <f t="shared" si="64"/>
        <v>[1, 1]</v>
      </c>
      <c r="BH166" s="660" t="str">
        <f t="shared" si="64"/>
        <v>[1, 1]</v>
      </c>
      <c r="BI166" s="660" t="str">
        <f t="shared" si="64"/>
        <v>[1, 1]</v>
      </c>
      <c r="BJ166" s="660" t="str">
        <f>"["&amp;ROUND(BJ161, 2)&amp;", "&amp;ROUND(BJ165, 2)&amp;"]"</f>
        <v>[1, 1]</v>
      </c>
      <c r="BK166" s="660" t="str">
        <f t="shared" si="64"/>
        <v>[4.25, 24.04]</v>
      </c>
      <c r="BL166" s="660" t="str">
        <f t="shared" si="64"/>
        <v>[5, 25]</v>
      </c>
      <c r="BM166" s="660" t="str">
        <f t="shared" si="64"/>
        <v>[3.79, 22.02]</v>
      </c>
      <c r="BN166" s="660" t="str">
        <f t="shared" si="64"/>
        <v>[21.25, 601.04]</v>
      </c>
      <c r="BO166" s="660" t="str">
        <f t="shared" si="64"/>
        <v>[101.56, 15001.09]</v>
      </c>
      <c r="BP166" s="643" t="s">
        <v>504</v>
      </c>
      <c r="BQ166" s="643" t="s">
        <v>504</v>
      </c>
      <c r="BR166" s="643" t="s">
        <v>504</v>
      </c>
      <c r="BS166" s="643" t="s">
        <v>504</v>
      </c>
      <c r="BT166" s="643" t="s">
        <v>504</v>
      </c>
      <c r="BU166" s="643" t="s">
        <v>504</v>
      </c>
      <c r="BV166" s="660" t="str">
        <f>"["&amp;ROUND(BV161, 2)&amp;", "&amp;ROUND(BV165, 2)&amp;"]"</f>
        <v>[1, 1]</v>
      </c>
      <c r="BW166" s="660" t="str">
        <f>"["&amp;ROUND(BW161, 2)&amp;", "&amp;ROUND(BW165, 2)&amp;"]"</f>
        <v>[1, 1]</v>
      </c>
      <c r="BX166" s="643" t="s">
        <v>504</v>
      </c>
    </row>
    <row r="167" spans="1:76" ht="17" x14ac:dyDescent="0.25">
      <c r="B167" s="657" t="s">
        <v>646</v>
      </c>
      <c r="C167" s="461">
        <v>0</v>
      </c>
      <c r="D167" s="461">
        <v>1</v>
      </c>
      <c r="E167" s="461">
        <v>4</v>
      </c>
      <c r="F167" s="461">
        <v>0</v>
      </c>
      <c r="G167" s="461">
        <v>4</v>
      </c>
      <c r="H167" s="461">
        <v>1</v>
      </c>
      <c r="I167" s="461">
        <v>1</v>
      </c>
      <c r="J167" s="461">
        <v>4</v>
      </c>
      <c r="K167" s="461">
        <v>0</v>
      </c>
      <c r="L167" s="461">
        <v>5</v>
      </c>
      <c r="M167" s="461">
        <v>5</v>
      </c>
      <c r="N167" s="461">
        <v>0.8</v>
      </c>
      <c r="O167" s="461">
        <v>0.2</v>
      </c>
      <c r="P167" s="461">
        <v>0.2</v>
      </c>
      <c r="Q167" s="461">
        <v>-4</v>
      </c>
      <c r="R167" s="461">
        <v>0</v>
      </c>
      <c r="S167" s="461">
        <v>1</v>
      </c>
      <c r="T167" s="461">
        <v>1</v>
      </c>
      <c r="U167" s="461">
        <v>0</v>
      </c>
      <c r="V167" s="461">
        <v>0</v>
      </c>
      <c r="W167" s="461">
        <v>1</v>
      </c>
      <c r="X167" s="461">
        <v>1</v>
      </c>
      <c r="Y167" s="461">
        <v>0</v>
      </c>
      <c r="Z167" s="461">
        <v>0</v>
      </c>
      <c r="AA167" s="461">
        <v>0</v>
      </c>
      <c r="AB167" s="461">
        <v>-1</v>
      </c>
      <c r="AC167" s="461">
        <v>0</v>
      </c>
      <c r="AD167" s="461">
        <v>1</v>
      </c>
      <c r="AE167" s="461" t="e">
        <v>#DIV/0!</v>
      </c>
      <c r="AF167" s="488">
        <v>-0.47058823529411764</v>
      </c>
      <c r="AG167" s="461">
        <v>-1</v>
      </c>
      <c r="AH167" s="488">
        <v>0.72192809488736231</v>
      </c>
      <c r="AI167" s="488">
        <v>0.72192809488736231</v>
      </c>
      <c r="AJ167" s="461" t="e">
        <v>#NUM!</v>
      </c>
      <c r="AK167" s="461" t="e">
        <v>#NUM!</v>
      </c>
      <c r="AL167" s="461" t="e">
        <v>#NUM!</v>
      </c>
      <c r="AM167" s="461">
        <v>0</v>
      </c>
      <c r="AN167" s="461">
        <v>1</v>
      </c>
      <c r="AO167" s="461">
        <v>0</v>
      </c>
      <c r="AP167" s="461">
        <v>0.5</v>
      </c>
      <c r="AQ167" s="461">
        <v>1</v>
      </c>
      <c r="AR167" s="485" t="s">
        <v>347</v>
      </c>
      <c r="AS167" s="485" t="s">
        <v>347</v>
      </c>
      <c r="AT167" s="699" t="s">
        <v>609</v>
      </c>
      <c r="AU167" s="699" t="s">
        <v>610</v>
      </c>
      <c r="AV167" s="699" t="s">
        <v>611</v>
      </c>
      <c r="AW167" s="461">
        <v>-0.59399999999999997</v>
      </c>
      <c r="AX167" s="461">
        <v>0.98009999999999997</v>
      </c>
      <c r="AY167" s="461">
        <v>0.99</v>
      </c>
      <c r="AZ167" s="461">
        <v>0.98009999999999997</v>
      </c>
      <c r="BA167" s="461">
        <v>4.9005000000000001</v>
      </c>
      <c r="BB167" s="486">
        <v>5.9472087378640763</v>
      </c>
      <c r="BC167" s="461">
        <v>4.900500000000001</v>
      </c>
      <c r="BD167" s="486">
        <v>6.1256249999999977</v>
      </c>
      <c r="BE167" s="486">
        <v>1.2251249999999998</v>
      </c>
      <c r="BF167" s="665"/>
      <c r="BG167" s="461">
        <v>0.99</v>
      </c>
      <c r="BH167" s="461">
        <v>0.99</v>
      </c>
      <c r="BI167" s="461">
        <v>0.99</v>
      </c>
      <c r="BJ167" s="461">
        <v>0.99</v>
      </c>
      <c r="BK167" s="486">
        <v>4.2075000000000014</v>
      </c>
      <c r="BL167" s="461">
        <v>4.9500000000000011</v>
      </c>
      <c r="BM167" s="486">
        <v>3.7513985021132359</v>
      </c>
      <c r="BN167" s="486">
        <v>21.037500000000009</v>
      </c>
      <c r="BO167" s="486">
        <v>99.541406250000051</v>
      </c>
      <c r="BP167" s="665"/>
      <c r="BQ167" s="665"/>
      <c r="BR167" s="487">
        <v>79.400000000000006</v>
      </c>
      <c r="BS167" s="665"/>
      <c r="BT167" s="665"/>
      <c r="BU167" s="665"/>
      <c r="BV167" s="486">
        <v>0.98415841584158414</v>
      </c>
      <c r="BW167" s="486">
        <v>0.98019801980198018</v>
      </c>
      <c r="BX167" s="661">
        <v>5.3179848657588025</v>
      </c>
    </row>
    <row r="168" spans="1:76" ht="17" x14ac:dyDescent="0.25">
      <c r="B168" s="657" t="s">
        <v>647</v>
      </c>
      <c r="C168" s="461">
        <v>0</v>
      </c>
      <c r="D168" s="461">
        <v>1</v>
      </c>
      <c r="E168" s="461">
        <v>9</v>
      </c>
      <c r="F168" s="461">
        <v>0</v>
      </c>
      <c r="G168" s="461">
        <v>9</v>
      </c>
      <c r="H168" s="461">
        <v>1</v>
      </c>
      <c r="I168" s="461">
        <v>1</v>
      </c>
      <c r="J168" s="461">
        <v>9</v>
      </c>
      <c r="K168" s="461">
        <v>0</v>
      </c>
      <c r="L168" s="461">
        <v>10</v>
      </c>
      <c r="M168" s="461">
        <v>10</v>
      </c>
      <c r="N168" s="461">
        <v>0.9</v>
      </c>
      <c r="O168" s="461">
        <v>0.1</v>
      </c>
      <c r="P168" s="461">
        <v>0.1</v>
      </c>
      <c r="Q168" s="461">
        <v>-9</v>
      </c>
      <c r="R168" s="461">
        <v>0</v>
      </c>
      <c r="S168" s="461">
        <v>1</v>
      </c>
      <c r="T168" s="461">
        <v>1</v>
      </c>
      <c r="U168" s="461">
        <v>0</v>
      </c>
      <c r="V168" s="461">
        <v>0</v>
      </c>
      <c r="W168" s="461">
        <v>1</v>
      </c>
      <c r="X168" s="461">
        <v>1</v>
      </c>
      <c r="Y168" s="461">
        <v>0</v>
      </c>
      <c r="Z168" s="461">
        <v>0</v>
      </c>
      <c r="AA168" s="461">
        <v>0</v>
      </c>
      <c r="AB168" s="461">
        <v>-1</v>
      </c>
      <c r="AC168" s="461">
        <v>0</v>
      </c>
      <c r="AD168" s="461">
        <v>1</v>
      </c>
      <c r="AE168" s="461" t="e">
        <v>#DIV/0!</v>
      </c>
      <c r="AF168" s="488">
        <v>-0.21951219512195122</v>
      </c>
      <c r="AG168" s="461">
        <v>-1</v>
      </c>
      <c r="AH168" s="488">
        <v>0.46899559358928117</v>
      </c>
      <c r="AI168" s="488">
        <v>0.46899559358928122</v>
      </c>
      <c r="AJ168" s="461" t="e">
        <v>#NUM!</v>
      </c>
      <c r="AK168" s="461" t="e">
        <v>#NUM!</v>
      </c>
      <c r="AL168" s="461" t="e">
        <v>#NUM!</v>
      </c>
      <c r="AM168" s="461">
        <v>0</v>
      </c>
      <c r="AN168" s="461">
        <v>1</v>
      </c>
      <c r="AO168" s="461">
        <v>0</v>
      </c>
      <c r="AP168" s="461">
        <v>0.5</v>
      </c>
      <c r="AQ168" s="461">
        <v>1</v>
      </c>
      <c r="AR168" s="485" t="s">
        <v>347</v>
      </c>
      <c r="AS168" s="485" t="s">
        <v>347</v>
      </c>
      <c r="AT168" s="699" t="s">
        <v>614</v>
      </c>
      <c r="AU168" s="699" t="s">
        <v>615</v>
      </c>
      <c r="AV168" s="699" t="s">
        <v>616</v>
      </c>
      <c r="AW168" s="486">
        <v>-0.79200000000000004</v>
      </c>
      <c r="AX168" s="461">
        <v>0.98009999999999997</v>
      </c>
      <c r="AY168" s="486">
        <v>0.99</v>
      </c>
      <c r="AZ168" s="461">
        <v>0.98009999999999997</v>
      </c>
      <c r="BA168" s="461">
        <v>9.8010000000000002</v>
      </c>
      <c r="BB168" s="486">
        <v>10.083333333333332</v>
      </c>
      <c r="BC168" s="486">
        <v>9.8009999999999966</v>
      </c>
      <c r="BD168" s="486">
        <v>10.889999999999999</v>
      </c>
      <c r="BE168" s="486">
        <v>1.089</v>
      </c>
      <c r="BF168" s="665"/>
      <c r="BG168" s="486">
        <v>0.99</v>
      </c>
      <c r="BH168" s="461">
        <v>0.99</v>
      </c>
      <c r="BI168" s="461">
        <v>0.99</v>
      </c>
      <c r="BJ168" s="486">
        <v>0.99</v>
      </c>
      <c r="BK168" s="486">
        <v>9.0200000000000031</v>
      </c>
      <c r="BL168" s="461">
        <v>9.9000000000000021</v>
      </c>
      <c r="BM168" s="486">
        <v>7.947141461426285</v>
      </c>
      <c r="BN168" s="486">
        <v>90.200000000000031</v>
      </c>
      <c r="BO168" s="486">
        <v>883.30000000000018</v>
      </c>
      <c r="BP168" s="665"/>
      <c r="BQ168" s="665"/>
      <c r="BR168" s="487">
        <v>89.2</v>
      </c>
      <c r="BS168" s="665"/>
      <c r="BT168" s="665"/>
      <c r="BU168" s="665"/>
      <c r="BV168" s="486">
        <v>0.98217821782178216</v>
      </c>
      <c r="BW168" s="486">
        <v>0.98019801980198018</v>
      </c>
      <c r="BX168" s="661">
        <v>5.9809205277667639</v>
      </c>
    </row>
    <row r="169" spans="1:76" ht="17" x14ac:dyDescent="0.25">
      <c r="B169" s="657" t="s">
        <v>648</v>
      </c>
      <c r="C169" s="461">
        <v>0</v>
      </c>
      <c r="D169" s="461">
        <v>1</v>
      </c>
      <c r="E169" s="461">
        <v>14</v>
      </c>
      <c r="F169" s="461">
        <v>0</v>
      </c>
      <c r="G169" s="461">
        <v>14</v>
      </c>
      <c r="H169" s="461">
        <v>1</v>
      </c>
      <c r="I169" s="461">
        <v>1</v>
      </c>
      <c r="J169" s="461">
        <v>14</v>
      </c>
      <c r="K169" s="461">
        <v>0</v>
      </c>
      <c r="L169" s="461">
        <v>15</v>
      </c>
      <c r="M169" s="461">
        <v>15</v>
      </c>
      <c r="N169" s="486">
        <v>0.93333333333333335</v>
      </c>
      <c r="O169" s="486">
        <v>6.6666666666666666E-2</v>
      </c>
      <c r="P169" s="486">
        <v>6.6666666666666666E-2</v>
      </c>
      <c r="Q169" s="461">
        <v>-14</v>
      </c>
      <c r="R169" s="461">
        <v>0</v>
      </c>
      <c r="S169" s="461">
        <v>1</v>
      </c>
      <c r="T169" s="461">
        <v>1</v>
      </c>
      <c r="U169" s="461">
        <v>0</v>
      </c>
      <c r="V169" s="461">
        <v>0</v>
      </c>
      <c r="W169" s="461">
        <v>1</v>
      </c>
      <c r="X169" s="461">
        <v>1</v>
      </c>
      <c r="Y169" s="461">
        <v>0</v>
      </c>
      <c r="Z169" s="461">
        <v>0</v>
      </c>
      <c r="AA169" s="461">
        <v>0</v>
      </c>
      <c r="AB169" s="461">
        <v>-1</v>
      </c>
      <c r="AC169" s="461">
        <v>0</v>
      </c>
      <c r="AD169" s="461">
        <v>1</v>
      </c>
      <c r="AE169" s="461" t="e">
        <v>#DIV/0!</v>
      </c>
      <c r="AF169" s="488">
        <v>-0.14213197969543148</v>
      </c>
      <c r="AG169" s="461">
        <v>-1</v>
      </c>
      <c r="AH169" s="488">
        <v>0.35335933502142131</v>
      </c>
      <c r="AI169" s="488">
        <v>0.35335933502142136</v>
      </c>
      <c r="AJ169" s="461" t="e">
        <v>#NUM!</v>
      </c>
      <c r="AK169" s="461" t="e">
        <v>#NUM!</v>
      </c>
      <c r="AL169" s="461" t="e">
        <v>#NUM!</v>
      </c>
      <c r="AM169" s="461">
        <v>0</v>
      </c>
      <c r="AN169" s="461">
        <v>1</v>
      </c>
      <c r="AO169" s="461">
        <v>0</v>
      </c>
      <c r="AP169" s="461">
        <v>0.5</v>
      </c>
      <c r="AQ169" s="461">
        <v>1</v>
      </c>
      <c r="AR169" s="485" t="s">
        <v>347</v>
      </c>
      <c r="AS169" s="485" t="s">
        <v>347</v>
      </c>
      <c r="AT169" s="699" t="s">
        <v>618</v>
      </c>
      <c r="AU169" s="699" t="s">
        <v>619</v>
      </c>
      <c r="AV169" s="699" t="s">
        <v>620</v>
      </c>
      <c r="AW169" s="486">
        <v>-0.8580000000000001</v>
      </c>
      <c r="AX169" s="461">
        <v>0.98010000000000008</v>
      </c>
      <c r="AY169" s="486">
        <v>0.99</v>
      </c>
      <c r="AZ169" s="461">
        <v>0.98009999999999997</v>
      </c>
      <c r="BA169" s="461">
        <v>14.701500000000001</v>
      </c>
      <c r="BB169" s="486">
        <v>13.939475347661189</v>
      </c>
      <c r="BC169" s="486">
        <v>14.701499999999998</v>
      </c>
      <c r="BD169" s="486">
        <v>15.751607142857136</v>
      </c>
      <c r="BE169" s="486">
        <v>1.0501071428571429</v>
      </c>
      <c r="BF169" s="665"/>
      <c r="BG169" s="461">
        <v>0.9900000000000001</v>
      </c>
      <c r="BH169" s="461">
        <v>0.99</v>
      </c>
      <c r="BI169" s="461">
        <v>0.99</v>
      </c>
      <c r="BJ169" s="486">
        <v>0.99</v>
      </c>
      <c r="BK169" s="486">
        <v>13.930714285714286</v>
      </c>
      <c r="BL169" s="461">
        <v>14.850000000000003</v>
      </c>
      <c r="BM169" s="486">
        <v>12.454259712081926</v>
      </c>
      <c r="BN169" s="486">
        <v>208.96071428571429</v>
      </c>
      <c r="BO169" s="486">
        <v>3088.4401147959193</v>
      </c>
      <c r="BP169" s="665"/>
      <c r="BQ169" s="665"/>
      <c r="BR169" s="673">
        <v>92.466666666666669</v>
      </c>
      <c r="BS169" s="665"/>
      <c r="BT169" s="665"/>
      <c r="BU169" s="665"/>
      <c r="BV169" s="486">
        <v>0.98151815181518154</v>
      </c>
      <c r="BW169" s="486">
        <v>0.98019801980198018</v>
      </c>
      <c r="BX169" s="661">
        <v>6.2018990817694171</v>
      </c>
    </row>
    <row r="170" spans="1:76" ht="17" x14ac:dyDescent="0.25">
      <c r="B170" s="657" t="s">
        <v>649</v>
      </c>
      <c r="C170" s="461">
        <v>0</v>
      </c>
      <c r="D170" s="461">
        <v>1</v>
      </c>
      <c r="E170" s="461">
        <v>19</v>
      </c>
      <c r="F170" s="461">
        <v>0</v>
      </c>
      <c r="G170" s="461">
        <v>19</v>
      </c>
      <c r="H170" s="461">
        <v>1</v>
      </c>
      <c r="I170" s="461">
        <v>1</v>
      </c>
      <c r="J170" s="461">
        <v>19</v>
      </c>
      <c r="K170" s="461">
        <v>0</v>
      </c>
      <c r="L170" s="461">
        <v>20</v>
      </c>
      <c r="M170" s="461">
        <v>20</v>
      </c>
      <c r="N170" s="461">
        <v>0.95</v>
      </c>
      <c r="O170" s="461">
        <v>0.05</v>
      </c>
      <c r="P170" s="461">
        <v>0.05</v>
      </c>
      <c r="Q170" s="461">
        <v>-19</v>
      </c>
      <c r="R170" s="461">
        <v>0</v>
      </c>
      <c r="S170" s="461">
        <v>1</v>
      </c>
      <c r="T170" s="461">
        <v>1</v>
      </c>
      <c r="U170" s="461">
        <v>0</v>
      </c>
      <c r="V170" s="461">
        <v>0</v>
      </c>
      <c r="W170" s="461">
        <v>1</v>
      </c>
      <c r="X170" s="461">
        <v>1</v>
      </c>
      <c r="Y170" s="461">
        <v>0</v>
      </c>
      <c r="Z170" s="461">
        <v>0</v>
      </c>
      <c r="AA170" s="461">
        <v>0</v>
      </c>
      <c r="AB170" s="461">
        <v>-1</v>
      </c>
      <c r="AC170" s="461">
        <v>0</v>
      </c>
      <c r="AD170" s="461">
        <v>1</v>
      </c>
      <c r="AE170" s="461" t="e">
        <v>#DIV/0!</v>
      </c>
      <c r="AF170" s="488">
        <v>-0.10497237569060773</v>
      </c>
      <c r="AG170" s="461">
        <v>-1</v>
      </c>
      <c r="AH170" s="488">
        <v>0.28639695711595631</v>
      </c>
      <c r="AI170" s="488">
        <v>0.28639695711595625</v>
      </c>
      <c r="AJ170" s="461" t="e">
        <v>#NUM!</v>
      </c>
      <c r="AK170" s="461" t="e">
        <v>#NUM!</v>
      </c>
      <c r="AL170" s="461" t="e">
        <v>#NUM!</v>
      </c>
      <c r="AM170" s="461">
        <v>0</v>
      </c>
      <c r="AN170" s="461">
        <v>1</v>
      </c>
      <c r="AO170" s="461">
        <v>0</v>
      </c>
      <c r="AP170" s="461">
        <v>0.5</v>
      </c>
      <c r="AQ170" s="461">
        <v>1</v>
      </c>
      <c r="AR170" s="485" t="s">
        <v>347</v>
      </c>
      <c r="AS170" s="485" t="s">
        <v>347</v>
      </c>
      <c r="AT170" s="699" t="s">
        <v>621</v>
      </c>
      <c r="AU170" s="699" t="s">
        <v>606</v>
      </c>
      <c r="AV170" s="699" t="s">
        <v>607</v>
      </c>
      <c r="AW170" s="461">
        <v>-0.89100000000000001</v>
      </c>
      <c r="AX170" s="461">
        <v>0.98009999999999997</v>
      </c>
      <c r="AY170" s="486">
        <v>0.99</v>
      </c>
      <c r="AZ170" s="461">
        <v>0.98009999999999997</v>
      </c>
      <c r="BA170" s="461">
        <v>19.602</v>
      </c>
      <c r="BB170" s="486">
        <v>17.48617305976806</v>
      </c>
      <c r="BC170" s="486">
        <v>19.602000000000015</v>
      </c>
      <c r="BD170" s="486">
        <v>20.63368421052629</v>
      </c>
      <c r="BE170" s="486">
        <v>1.0316842105263158</v>
      </c>
      <c r="BF170" s="665"/>
      <c r="BG170" s="461">
        <v>0.98999999999999988</v>
      </c>
      <c r="BH170" s="461">
        <v>0.99</v>
      </c>
      <c r="BI170" s="461">
        <v>0.99</v>
      </c>
      <c r="BJ170" s="486">
        <v>0.99</v>
      </c>
      <c r="BK170" s="486">
        <v>18.862105263157872</v>
      </c>
      <c r="BL170" s="461">
        <v>19.799999999999983</v>
      </c>
      <c r="BM170" s="486">
        <v>17.089427351288982</v>
      </c>
      <c r="BN170" s="486">
        <v>377.24210526315744</v>
      </c>
      <c r="BO170" s="486">
        <v>7449.8459833794868</v>
      </c>
      <c r="BP170" s="665"/>
      <c r="BQ170" s="665"/>
      <c r="BR170" s="487">
        <v>94.1</v>
      </c>
      <c r="BS170" s="665"/>
      <c r="BT170" s="665"/>
      <c r="BU170" s="665"/>
      <c r="BV170" s="486">
        <v>0.98118811881188139</v>
      </c>
      <c r="BW170" s="486">
        <v>0.98019801980198018</v>
      </c>
      <c r="BX170" s="661">
        <v>6.3123883587707441</v>
      </c>
    </row>
    <row r="171" spans="1:76" ht="17" x14ac:dyDescent="0.25">
      <c r="B171" s="657" t="s">
        <v>650</v>
      </c>
      <c r="C171" s="461">
        <v>0</v>
      </c>
      <c r="D171" s="461">
        <v>1</v>
      </c>
      <c r="E171" s="461">
        <v>24</v>
      </c>
      <c r="F171" s="461">
        <v>0</v>
      </c>
      <c r="G171" s="461">
        <v>24</v>
      </c>
      <c r="H171" s="461">
        <v>1</v>
      </c>
      <c r="I171" s="461">
        <v>1</v>
      </c>
      <c r="J171" s="461">
        <v>24</v>
      </c>
      <c r="K171" s="461">
        <v>0</v>
      </c>
      <c r="L171" s="461">
        <v>25</v>
      </c>
      <c r="M171" s="461">
        <v>25</v>
      </c>
      <c r="N171" s="461">
        <v>0.96</v>
      </c>
      <c r="O171" s="461">
        <v>0.04</v>
      </c>
      <c r="P171" s="461">
        <v>0.04</v>
      </c>
      <c r="Q171" s="461">
        <v>-24</v>
      </c>
      <c r="R171" s="461">
        <v>0</v>
      </c>
      <c r="S171" s="461">
        <v>1</v>
      </c>
      <c r="T171" s="461">
        <v>1</v>
      </c>
      <c r="U171" s="461">
        <v>0</v>
      </c>
      <c r="V171" s="461">
        <v>0</v>
      </c>
      <c r="W171" s="461">
        <v>1</v>
      </c>
      <c r="X171" s="461">
        <v>1</v>
      </c>
      <c r="Y171" s="461">
        <v>0</v>
      </c>
      <c r="Z171" s="461">
        <v>0</v>
      </c>
      <c r="AA171" s="461">
        <v>0</v>
      </c>
      <c r="AB171" s="461">
        <v>-1</v>
      </c>
      <c r="AC171" s="461">
        <v>0</v>
      </c>
      <c r="AD171" s="461">
        <v>1</v>
      </c>
      <c r="AE171" s="461" t="e">
        <v>#DIV/0!</v>
      </c>
      <c r="AF171" s="488">
        <v>-8.3188908145580595E-2</v>
      </c>
      <c r="AG171" s="461">
        <v>-1</v>
      </c>
      <c r="AH171" s="488">
        <v>0.24229218908241493</v>
      </c>
      <c r="AI171" s="488">
        <v>0.24229218908241482</v>
      </c>
      <c r="AJ171" s="461" t="e">
        <v>#NUM!</v>
      </c>
      <c r="AK171" s="461" t="e">
        <v>#NUM!</v>
      </c>
      <c r="AL171" s="461" t="e">
        <v>#NUM!</v>
      </c>
      <c r="AM171" s="461">
        <v>0</v>
      </c>
      <c r="AN171" s="461">
        <v>1</v>
      </c>
      <c r="AO171" s="461">
        <v>0</v>
      </c>
      <c r="AP171" s="461">
        <v>0.5</v>
      </c>
      <c r="AQ171" s="461">
        <v>1</v>
      </c>
      <c r="AR171" s="485" t="s">
        <v>347</v>
      </c>
      <c r="AS171" s="485" t="s">
        <v>347</v>
      </c>
      <c r="AT171" s="699" t="s">
        <v>622</v>
      </c>
      <c r="AU171" s="699" t="s">
        <v>623</v>
      </c>
      <c r="AV171" s="699" t="s">
        <v>624</v>
      </c>
      <c r="AW171" s="461">
        <v>-0.91079999999999972</v>
      </c>
      <c r="AX171" s="461">
        <v>0.98010000000000008</v>
      </c>
      <c r="AY171" s="461">
        <v>0.99</v>
      </c>
      <c r="AZ171" s="461">
        <v>0.98009999999999997</v>
      </c>
      <c r="BA171" s="461">
        <v>24.502500000000001</v>
      </c>
      <c r="BB171" s="486">
        <v>20.750762195121951</v>
      </c>
      <c r="BC171" s="461">
        <v>24.50249999999998</v>
      </c>
      <c r="BD171" s="486">
        <v>25.523437499999972</v>
      </c>
      <c r="BE171" s="486">
        <v>1.0209375000000001</v>
      </c>
      <c r="BF171" s="665"/>
      <c r="BG171" s="461">
        <v>0.98999999999999955</v>
      </c>
      <c r="BH171" s="461">
        <v>0.99</v>
      </c>
      <c r="BI171" s="461">
        <v>0.99</v>
      </c>
      <c r="BJ171" s="461">
        <v>0.99</v>
      </c>
      <c r="BK171" s="486">
        <v>23.801249999999985</v>
      </c>
      <c r="BL171" s="461">
        <v>24.749999999999979</v>
      </c>
      <c r="BM171" s="486">
        <v>21.795495844296941</v>
      </c>
      <c r="BN171" s="486">
        <v>595.03124999999966</v>
      </c>
      <c r="BO171" s="486">
        <v>14702.563476562467</v>
      </c>
      <c r="BP171" s="665"/>
      <c r="BQ171" s="665"/>
      <c r="BR171" s="487">
        <v>95.08</v>
      </c>
      <c r="BS171" s="665"/>
      <c r="BT171" s="665"/>
      <c r="BU171" s="665"/>
      <c r="BV171" s="486">
        <v>0.98099009900990153</v>
      </c>
      <c r="BW171" s="486">
        <v>0.98019801980198018</v>
      </c>
      <c r="BX171" s="661">
        <v>6.3786819249715423</v>
      </c>
    </row>
    <row r="172" spans="1:76" ht="49" thickBot="1" x14ac:dyDescent="0.25">
      <c r="A172" s="765"/>
      <c r="B172" s="634" t="s">
        <v>833</v>
      </c>
      <c r="C172" s="660" t="str">
        <f>"["&amp;ROUND(C167, 2)&amp;", "&amp;ROUND(C171, 3)&amp;"]"</f>
        <v>[0, 0]</v>
      </c>
      <c r="D172" s="660" t="str">
        <f t="shared" ref="D172" si="66">"["&amp;ROUND(D167, 2)&amp;", "&amp;ROUND(D171, 3)&amp;"]"</f>
        <v>[1, 1]</v>
      </c>
      <c r="E172" s="660" t="str">
        <f t="shared" ref="E172" si="67">"["&amp;ROUND(E167, 2)&amp;", "&amp;ROUND(E171, 3)&amp;"]"</f>
        <v>[4, 24]</v>
      </c>
      <c r="F172" s="660" t="str">
        <f t="shared" ref="F172" si="68">"["&amp;ROUND(F167, 2)&amp;", "&amp;ROUND(F171, 3)&amp;"]"</f>
        <v>[0, 0]</v>
      </c>
      <c r="G172" s="660" t="str">
        <f t="shared" ref="G172" si="69">"["&amp;ROUND(G167, 2)&amp;", "&amp;ROUND(G171, 3)&amp;"]"</f>
        <v>[4, 24]</v>
      </c>
      <c r="H172" s="660" t="str">
        <f t="shared" ref="H172" si="70">"["&amp;ROUND(H167, 2)&amp;", "&amp;ROUND(H171, 3)&amp;"]"</f>
        <v>[1, 1]</v>
      </c>
      <c r="I172" s="660" t="str">
        <f t="shared" ref="I172" si="71">"["&amp;ROUND(I167, 2)&amp;", "&amp;ROUND(I171, 3)&amp;"]"</f>
        <v>[1, 1]</v>
      </c>
      <c r="J172" s="660" t="str">
        <f t="shared" ref="J172" si="72">"["&amp;ROUND(J167, 2)&amp;", "&amp;ROUND(J171, 3)&amp;"]"</f>
        <v>[4, 24]</v>
      </c>
      <c r="K172" s="660" t="str">
        <f t="shared" ref="K172" si="73">"["&amp;ROUND(K167, 2)&amp;", "&amp;ROUND(K171, 3)&amp;"]"</f>
        <v>[0, 0]</v>
      </c>
      <c r="L172" s="660" t="str">
        <f t="shared" ref="L172" si="74">"["&amp;ROUND(L167, 2)&amp;", "&amp;ROUND(L171, 3)&amp;"]"</f>
        <v>[5, 25]</v>
      </c>
      <c r="M172" s="660" t="str">
        <f t="shared" ref="M172" si="75">"["&amp;ROUND(M167, 2)&amp;", "&amp;ROUND(M171, 3)&amp;"]"</f>
        <v>[5, 25]</v>
      </c>
      <c r="N172" s="660" t="str">
        <f t="shared" ref="N172" si="76">"["&amp;ROUND(N167, 2)&amp;", "&amp;ROUND(N171, 3)&amp;"]"</f>
        <v>[0.8, 0.96]</v>
      </c>
      <c r="O172" s="660" t="str">
        <f t="shared" ref="O172" si="77">"["&amp;ROUND(O167, 2)&amp;", "&amp;ROUND(O171, 3)&amp;"]"</f>
        <v>[0.2, 0.04]</v>
      </c>
      <c r="P172" s="660" t="str">
        <f t="shared" ref="P172" si="78">"["&amp;ROUND(P167, 2)&amp;", "&amp;ROUND(P171, 3)&amp;"]"</f>
        <v>[0.2, 0.04]</v>
      </c>
      <c r="Q172" s="660" t="str">
        <f t="shared" ref="Q172" si="79">"["&amp;ROUND(Q167, 2)&amp;", "&amp;ROUND(Q171, 3)&amp;"]"</f>
        <v>[-4, -24]</v>
      </c>
      <c r="R172" s="660" t="str">
        <f t="shared" ref="R172" si="80">"["&amp;ROUND(R167, 2)&amp;", "&amp;ROUND(R171, 3)&amp;"]"</f>
        <v>[0, 0]</v>
      </c>
      <c r="S172" s="660" t="str">
        <f t="shared" ref="S172" si="81">"["&amp;ROUND(S167, 2)&amp;", "&amp;ROUND(S171, 3)&amp;"]"</f>
        <v>[1, 1]</v>
      </c>
      <c r="T172" s="660" t="str">
        <f t="shared" ref="T172" si="82">"["&amp;ROUND(T167, 2)&amp;", "&amp;ROUND(T171, 3)&amp;"]"</f>
        <v>[1, 1]</v>
      </c>
      <c r="U172" s="660" t="str">
        <f t="shared" ref="U172" si="83">"["&amp;ROUND(U167, 2)&amp;", "&amp;ROUND(U171, 3)&amp;"]"</f>
        <v>[0, 0]</v>
      </c>
      <c r="V172" s="660" t="str">
        <f t="shared" ref="V172" si="84">"["&amp;ROUND(V167, 2)&amp;", "&amp;ROUND(V171, 3)&amp;"]"</f>
        <v>[0, 0]</v>
      </c>
      <c r="W172" s="660" t="str">
        <f t="shared" ref="W172" si="85">"["&amp;ROUND(W167, 2)&amp;", "&amp;ROUND(W171, 3)&amp;"]"</f>
        <v>[1, 1]</v>
      </c>
      <c r="X172" s="660" t="str">
        <f t="shared" ref="X172" si="86">"["&amp;ROUND(X167, 2)&amp;", "&amp;ROUND(X171, 3)&amp;"]"</f>
        <v>[1, 1]</v>
      </c>
      <c r="Y172" s="660" t="str">
        <f t="shared" ref="Y172" si="87">"["&amp;ROUND(Y167, 2)&amp;", "&amp;ROUND(Y171, 3)&amp;"]"</f>
        <v>[0, 0]</v>
      </c>
      <c r="Z172" s="660" t="str">
        <f t="shared" ref="Z172" si="88">"["&amp;ROUND(Z167, 2)&amp;", "&amp;ROUND(Z171, 3)&amp;"]"</f>
        <v>[0, 0]</v>
      </c>
      <c r="AA172" s="660" t="str">
        <f t="shared" ref="AA172" si="89">"["&amp;ROUND(AA167, 2)&amp;", "&amp;ROUND(AA171, 3)&amp;"]"</f>
        <v>[0, 0]</v>
      </c>
      <c r="AB172" s="660" t="str">
        <f t="shared" ref="AB172" si="90">"["&amp;ROUND(AB167, 2)&amp;", "&amp;ROUND(AB171, 3)&amp;"]"</f>
        <v>[-1, -1]</v>
      </c>
      <c r="AC172" s="660" t="str">
        <f t="shared" ref="AC172" si="91">"["&amp;ROUND(AC167, 2)&amp;", "&amp;ROUND(AC171, 3)&amp;"]"</f>
        <v>[0, 0]</v>
      </c>
      <c r="AD172" s="660" t="str">
        <f t="shared" ref="AD172" si="92">"["&amp;ROUND(AD167, 2)&amp;", "&amp;ROUND(AD171, 3)&amp;"]"</f>
        <v>[1, 1]</v>
      </c>
      <c r="AE172" s="660" t="e">
        <f t="shared" ref="AE172" si="93">"["&amp;ROUND(AE167, 2)&amp;", "&amp;ROUND(AE171, 3)&amp;"]"</f>
        <v>#DIV/0!</v>
      </c>
      <c r="AF172" s="672" t="str">
        <f t="shared" ref="AF172" si="94">"["&amp;ROUND(AF167, 2)&amp;", "&amp;ROUND(AF171, 3)&amp;"]"</f>
        <v>[-0.47, -0.083]</v>
      </c>
      <c r="AG172" s="660" t="str">
        <f t="shared" ref="AG172" si="95">"["&amp;ROUND(AG167, 2)&amp;", "&amp;ROUND(AG171, 3)&amp;"]"</f>
        <v>[-1, -1]</v>
      </c>
      <c r="AH172" s="660" t="str">
        <f t="shared" ref="AH172" si="96">"["&amp;ROUND(AH167, 2)&amp;", "&amp;ROUND(AH171, 3)&amp;"]"</f>
        <v>[0.72, 0.242]</v>
      </c>
      <c r="AI172" s="660" t="str">
        <f t="shared" ref="AI172" si="97">"["&amp;ROUND(AI167, 2)&amp;", "&amp;ROUND(AI171, 3)&amp;"]"</f>
        <v>[0.72, 0.242]</v>
      </c>
      <c r="AJ172" s="660" t="e">
        <f t="shared" ref="AJ172" si="98">"["&amp;ROUND(AJ167, 2)&amp;", "&amp;ROUND(AJ171, 3)&amp;"]"</f>
        <v>#NUM!</v>
      </c>
      <c r="AK172" s="660" t="e">
        <f t="shared" ref="AK172" si="99">"["&amp;ROUND(AK167, 2)&amp;", "&amp;ROUND(AK171, 3)&amp;"]"</f>
        <v>#NUM!</v>
      </c>
      <c r="AL172" s="660" t="e">
        <f t="shared" ref="AL172" si="100">"["&amp;ROUND(AL167, 2)&amp;", "&amp;ROUND(AL171, 3)&amp;"]"</f>
        <v>#NUM!</v>
      </c>
      <c r="AM172" s="660" t="str">
        <f t="shared" ref="AM172" si="101">"["&amp;ROUND(AM167, 2)&amp;", "&amp;ROUND(AM171, 3)&amp;"]"</f>
        <v>[0, 0]</v>
      </c>
      <c r="AN172" s="660" t="str">
        <f t="shared" ref="AN172" si="102">"["&amp;ROUND(AN167, 2)&amp;", "&amp;ROUND(AN171, 3)&amp;"]"</f>
        <v>[1, 1]</v>
      </c>
      <c r="AO172" s="660" t="str">
        <f t="shared" ref="AO172" si="103">"["&amp;ROUND(AO167, 2)&amp;", "&amp;ROUND(AO171, 3)&amp;"]"</f>
        <v>[0, 0]</v>
      </c>
      <c r="AP172" s="660" t="str">
        <f t="shared" ref="AP172" si="104">"["&amp;ROUND(AP167, 2)&amp;", "&amp;ROUND(AP171, 3)&amp;"]"</f>
        <v>[0.5, 0.5]</v>
      </c>
      <c r="AQ172" s="660" t="str">
        <f t="shared" ref="AQ172" si="105">"["&amp;ROUND(AQ167, 2)&amp;", "&amp;ROUND(AQ171, 3)&amp;"]"</f>
        <v>[1, 1]</v>
      </c>
      <c r="AR172" s="660" t="s">
        <v>347</v>
      </c>
      <c r="AS172" s="660" t="s">
        <v>347</v>
      </c>
      <c r="AT172" s="739"/>
      <c r="AU172" s="739"/>
      <c r="AV172" s="739"/>
      <c r="AW172" s="671" t="str">
        <f t="shared" ref="AW172" si="106">"["&amp;ROUND(AW167, 2)&amp;", "&amp;ROUND(AW171, 2)&amp;"]"</f>
        <v>[-0.59, -0.91]</v>
      </c>
      <c r="AX172" s="660" t="str">
        <f>"["&amp;ROUND(AX167, 2)&amp;", "&amp;ROUND(AX171, 2)&amp;"]"</f>
        <v>[0.98, 0.98]</v>
      </c>
      <c r="AY172" s="660" t="str">
        <f t="shared" ref="AY172" si="107">"["&amp;ROUND(AY167, 2)&amp;", "&amp;ROUND(AY171, 2)&amp;"]"</f>
        <v>[0.99, 0.99]</v>
      </c>
      <c r="AZ172" s="660" t="str">
        <f t="shared" ref="AZ172" si="108">"["&amp;ROUND(AZ167, 2)&amp;", "&amp;ROUND(AZ171, 2)&amp;"]"</f>
        <v>[0.98, 0.98]</v>
      </c>
      <c r="BA172" s="660" t="str">
        <f t="shared" ref="BA172" si="109">"["&amp;ROUND(BA167, 2)&amp;", "&amp;ROUND(BA171, 2)&amp;"]"</f>
        <v>[4.9, 24.5]</v>
      </c>
      <c r="BB172" s="660" t="str">
        <f t="shared" ref="BB172" si="110">"["&amp;ROUND(BB167, 2)&amp;", "&amp;ROUND(BB171, 2)&amp;"]"</f>
        <v>[5.95, 20.75]</v>
      </c>
      <c r="BC172" s="660" t="str">
        <f t="shared" ref="BC172" si="111">"["&amp;ROUND(BC167, 2)&amp;", "&amp;ROUND(BC171, 2)&amp;"]"</f>
        <v>[4.9, 24.5]</v>
      </c>
      <c r="BD172" s="660" t="str">
        <f t="shared" ref="BD172" si="112">"["&amp;ROUND(BD167, 2)&amp;", "&amp;ROUND(BD171, 2)&amp;"]"</f>
        <v>[6.13, 25.52]</v>
      </c>
      <c r="BE172" s="671" t="str">
        <f t="shared" ref="BE172" si="113">"["&amp;ROUND(BE167, 2)&amp;", "&amp;ROUND(BE171, 2)&amp;"]"</f>
        <v>[1.23, 1.02]</v>
      </c>
      <c r="BF172" s="691" t="s">
        <v>504</v>
      </c>
      <c r="BG172" s="660" t="str">
        <f t="shared" ref="BG172" si="114">"["&amp;ROUND(BG167, 2)&amp;", "&amp;ROUND(BG171, 2)&amp;"]"</f>
        <v>[0.99, 0.99]</v>
      </c>
      <c r="BH172" s="660" t="str">
        <f t="shared" ref="BH172" si="115">"["&amp;ROUND(BH167, 2)&amp;", "&amp;ROUND(BH171, 2)&amp;"]"</f>
        <v>[0.99, 0.99]</v>
      </c>
      <c r="BI172" s="660" t="str">
        <f t="shared" ref="BI172" si="116">"["&amp;ROUND(BI167, 2)&amp;", "&amp;ROUND(BI171, 2)&amp;"]"</f>
        <v>[0.99, 0.99]</v>
      </c>
      <c r="BJ172" s="660" t="str">
        <f t="shared" ref="BJ172" si="117">"["&amp;ROUND(BJ167, 2)&amp;", "&amp;ROUND(BJ171, 2)&amp;"]"</f>
        <v>[0.99, 0.99]</v>
      </c>
      <c r="BK172" s="660" t="str">
        <f t="shared" ref="BK172" si="118">"["&amp;ROUND(BK167, 2)&amp;", "&amp;ROUND(BK171, 2)&amp;"]"</f>
        <v>[4.21, 23.8]</v>
      </c>
      <c r="BL172" s="660" t="str">
        <f t="shared" ref="BL172" si="119">"["&amp;ROUND(BL167, 2)&amp;", "&amp;ROUND(BL171, 2)&amp;"]"</f>
        <v>[4.95, 24.75]</v>
      </c>
      <c r="BM172" s="660" t="str">
        <f t="shared" ref="BM172" si="120">"["&amp;ROUND(BM167, 2)&amp;", "&amp;ROUND(BM171, 2)&amp;"]"</f>
        <v>[3.75, 21.8]</v>
      </c>
      <c r="BN172" s="660" t="str">
        <f t="shared" ref="BN172" si="121">"["&amp;ROUND(BN167, 2)&amp;", "&amp;ROUND(BN171, 2)&amp;"]"</f>
        <v>[21.04, 595.03]</v>
      </c>
      <c r="BO172" s="660" t="str">
        <f t="shared" ref="BO172" si="122">"["&amp;ROUND(BO167, 2)&amp;", "&amp;ROUND(BO171, 2)&amp;"]"</f>
        <v>[99.54, 14702.56]</v>
      </c>
      <c r="BP172" s="691" t="s">
        <v>504</v>
      </c>
      <c r="BQ172" s="691" t="s">
        <v>504</v>
      </c>
      <c r="BR172" s="660" t="str">
        <f>"["&amp;ROUND(BR167, 2)&amp;", "&amp;ROUND(BR171, 2)&amp;"]"</f>
        <v>[79.4, 95.08]</v>
      </c>
      <c r="BS172" s="691" t="s">
        <v>504</v>
      </c>
      <c r="BT172" s="691" t="s">
        <v>504</v>
      </c>
      <c r="BU172" s="691" t="s">
        <v>504</v>
      </c>
      <c r="BV172" s="660" t="str">
        <f t="shared" ref="BV172" si="123">"["&amp;ROUND(BV167, 2)&amp;", "&amp;ROUND(BV171, 2)&amp;"]"</f>
        <v>[0.98, 0.98]</v>
      </c>
      <c r="BW172" s="660" t="str">
        <f t="shared" ref="BW172" si="124">"["&amp;ROUND(BW167, 2)&amp;", "&amp;ROUND(BW171, 2)&amp;"]"</f>
        <v>[0.98, 0.98]</v>
      </c>
      <c r="BX172" s="660" t="str">
        <f t="shared" ref="BX172" si="125">"["&amp;ROUND(BX167, 2)&amp;", "&amp;ROUND(BX171, 2)&amp;"]"</f>
        <v>[5.32, 6.38]</v>
      </c>
    </row>
    <row r="173" spans="1:76" ht="17" x14ac:dyDescent="0.25">
      <c r="B173" s="657" t="s">
        <v>651</v>
      </c>
      <c r="C173" s="461">
        <v>0</v>
      </c>
      <c r="D173" s="461">
        <v>4</v>
      </c>
      <c r="E173" s="461">
        <v>1</v>
      </c>
      <c r="F173" s="461">
        <v>0</v>
      </c>
      <c r="G173" s="461">
        <v>1</v>
      </c>
      <c r="H173" s="461">
        <v>4</v>
      </c>
      <c r="I173" s="461">
        <v>4</v>
      </c>
      <c r="J173" s="461">
        <v>1</v>
      </c>
      <c r="K173" s="461">
        <v>0</v>
      </c>
      <c r="L173" s="461">
        <v>5</v>
      </c>
      <c r="M173" s="461">
        <v>5</v>
      </c>
      <c r="N173" s="461">
        <v>0.2</v>
      </c>
      <c r="O173" s="461">
        <v>0.8</v>
      </c>
      <c r="P173" s="461">
        <v>0.8</v>
      </c>
      <c r="Q173" s="461">
        <v>-4</v>
      </c>
      <c r="R173" s="461">
        <v>0</v>
      </c>
      <c r="S173" s="461">
        <v>1</v>
      </c>
      <c r="T173" s="461">
        <v>1</v>
      </c>
      <c r="U173" s="461">
        <v>0</v>
      </c>
      <c r="V173" s="461">
        <v>0</v>
      </c>
      <c r="W173" s="461">
        <v>1</v>
      </c>
      <c r="X173" s="461">
        <v>1</v>
      </c>
      <c r="Y173" s="461">
        <v>0</v>
      </c>
      <c r="Z173" s="461">
        <v>0</v>
      </c>
      <c r="AA173" s="461">
        <v>0</v>
      </c>
      <c r="AB173" s="461">
        <v>-1</v>
      </c>
      <c r="AC173" s="461">
        <v>0</v>
      </c>
      <c r="AD173" s="461">
        <v>1</v>
      </c>
      <c r="AE173" s="461" t="e">
        <v>#DIV/0!</v>
      </c>
      <c r="AF173" s="488">
        <v>-0.47058823529411764</v>
      </c>
      <c r="AG173" s="461">
        <v>-1</v>
      </c>
      <c r="AH173" s="488">
        <v>0.72192809488736231</v>
      </c>
      <c r="AI173" s="488">
        <v>0.72192809488736231</v>
      </c>
      <c r="AJ173" s="461" t="e">
        <v>#NUM!</v>
      </c>
      <c r="AK173" s="461" t="e">
        <v>#NUM!</v>
      </c>
      <c r="AL173" s="461" t="e">
        <v>#NUM!</v>
      </c>
      <c r="AM173" s="461">
        <v>0</v>
      </c>
      <c r="AN173" s="461">
        <v>1</v>
      </c>
      <c r="AO173" s="461">
        <v>0</v>
      </c>
      <c r="AP173" s="461">
        <v>0.5</v>
      </c>
      <c r="AQ173" s="461">
        <v>1</v>
      </c>
      <c r="AR173" s="485" t="s">
        <v>347</v>
      </c>
      <c r="AS173" s="485" t="s">
        <v>347</v>
      </c>
      <c r="AT173" s="699" t="s">
        <v>631</v>
      </c>
      <c r="AU173" s="699" t="s">
        <v>632</v>
      </c>
      <c r="AV173" s="699" t="s">
        <v>633</v>
      </c>
      <c r="AW173" s="461">
        <v>0.59399999999999997</v>
      </c>
      <c r="AX173" s="461">
        <v>0.98009999999999997</v>
      </c>
      <c r="AY173" s="461">
        <v>0.99</v>
      </c>
      <c r="AZ173" s="461">
        <v>0.98009999999999997</v>
      </c>
      <c r="BA173" s="461">
        <v>4.9005000000000001</v>
      </c>
      <c r="BB173" s="486">
        <v>6.1719143576826196</v>
      </c>
      <c r="BC173" s="461">
        <v>4.9004999999999992</v>
      </c>
      <c r="BD173" s="486">
        <v>6.1256249999999977</v>
      </c>
      <c r="BE173" s="486">
        <v>4.9004999999999992</v>
      </c>
      <c r="BF173" s="665"/>
      <c r="BG173" s="461">
        <v>0.99</v>
      </c>
      <c r="BH173" s="461">
        <v>0.99</v>
      </c>
      <c r="BI173" s="461">
        <v>0.99</v>
      </c>
      <c r="BJ173" s="461">
        <v>0.99</v>
      </c>
      <c r="BK173" s="486">
        <v>4.2074999999999996</v>
      </c>
      <c r="BL173" s="461">
        <v>4.9499999999999993</v>
      </c>
      <c r="BM173" s="486">
        <v>3.751398502113235</v>
      </c>
      <c r="BN173" s="486">
        <v>21.037499999999998</v>
      </c>
      <c r="BO173" s="486">
        <v>99.54140624999998</v>
      </c>
      <c r="BP173" s="665"/>
      <c r="BQ173" s="665"/>
      <c r="BR173" s="487">
        <v>20.6</v>
      </c>
      <c r="BS173" s="665"/>
      <c r="BT173" s="665"/>
      <c r="BU173" s="665"/>
      <c r="BV173" s="488">
        <v>0.99603960396039604</v>
      </c>
      <c r="BW173" s="461">
        <v>1</v>
      </c>
      <c r="BX173" s="661">
        <v>1.340370893711037</v>
      </c>
    </row>
    <row r="174" spans="1:76" ht="17" x14ac:dyDescent="0.25">
      <c r="B174" s="657" t="s">
        <v>652</v>
      </c>
      <c r="C174" s="461">
        <v>0</v>
      </c>
      <c r="D174" s="461">
        <v>9</v>
      </c>
      <c r="E174" s="461">
        <v>1</v>
      </c>
      <c r="F174" s="461">
        <v>0</v>
      </c>
      <c r="G174" s="461">
        <v>1</v>
      </c>
      <c r="H174" s="461">
        <v>9</v>
      </c>
      <c r="I174" s="461">
        <v>9</v>
      </c>
      <c r="J174" s="461">
        <v>1</v>
      </c>
      <c r="K174" s="461">
        <v>0</v>
      </c>
      <c r="L174" s="461">
        <v>10</v>
      </c>
      <c r="M174" s="461">
        <v>10</v>
      </c>
      <c r="N174" s="461">
        <v>0.1</v>
      </c>
      <c r="O174" s="461">
        <v>0.9</v>
      </c>
      <c r="P174" s="461">
        <v>0.9</v>
      </c>
      <c r="Q174" s="461">
        <v>-9</v>
      </c>
      <c r="R174" s="461">
        <v>0</v>
      </c>
      <c r="S174" s="461">
        <v>1</v>
      </c>
      <c r="T174" s="461">
        <v>1</v>
      </c>
      <c r="U174" s="461">
        <v>0</v>
      </c>
      <c r="V174" s="461">
        <v>0</v>
      </c>
      <c r="W174" s="461">
        <v>1</v>
      </c>
      <c r="X174" s="461">
        <v>1</v>
      </c>
      <c r="Y174" s="461">
        <v>0</v>
      </c>
      <c r="Z174" s="461">
        <v>0</v>
      </c>
      <c r="AA174" s="461">
        <v>0</v>
      </c>
      <c r="AB174" s="461">
        <v>-1</v>
      </c>
      <c r="AC174" s="461">
        <v>0</v>
      </c>
      <c r="AD174" s="461">
        <v>1</v>
      </c>
      <c r="AE174" s="461" t="e">
        <v>#DIV/0!</v>
      </c>
      <c r="AF174" s="488">
        <v>-0.21951219512195122</v>
      </c>
      <c r="AG174" s="461">
        <v>-1</v>
      </c>
      <c r="AH174" s="488">
        <v>0.46899559358928122</v>
      </c>
      <c r="AI174" s="488">
        <v>0.46899559358928117</v>
      </c>
      <c r="AJ174" s="461" t="e">
        <v>#NUM!</v>
      </c>
      <c r="AK174" s="461" t="e">
        <v>#NUM!</v>
      </c>
      <c r="AL174" s="461" t="e">
        <v>#NUM!</v>
      </c>
      <c r="AM174" s="461">
        <v>0</v>
      </c>
      <c r="AN174" s="461">
        <v>1</v>
      </c>
      <c r="AO174" s="461">
        <v>0</v>
      </c>
      <c r="AP174" s="461">
        <v>0.5</v>
      </c>
      <c r="AQ174" s="461">
        <v>1</v>
      </c>
      <c r="AR174" s="485" t="s">
        <v>347</v>
      </c>
      <c r="AS174" s="485" t="s">
        <v>347</v>
      </c>
      <c r="AT174" s="699" t="s">
        <v>634</v>
      </c>
      <c r="AU174" s="699" t="s">
        <v>635</v>
      </c>
      <c r="AV174" s="699" t="s">
        <v>636</v>
      </c>
      <c r="AW174" s="486">
        <v>0.79200000000000004</v>
      </c>
      <c r="AX174" s="461">
        <v>0.98009999999999997</v>
      </c>
      <c r="AY174" s="486">
        <v>0.99</v>
      </c>
      <c r="AZ174" s="461">
        <v>0.98009999999999997</v>
      </c>
      <c r="BA174" s="461">
        <v>9.8010000000000002</v>
      </c>
      <c r="BB174" s="486">
        <v>10.987668161434977</v>
      </c>
      <c r="BC174" s="486">
        <v>9.8009999999999984</v>
      </c>
      <c r="BD174" s="486">
        <v>10.889999999999999</v>
      </c>
      <c r="BE174" s="486">
        <v>9.8009999999999984</v>
      </c>
      <c r="BF174" s="665"/>
      <c r="BG174" s="486">
        <v>0.99</v>
      </c>
      <c r="BH174" s="461">
        <v>0.99</v>
      </c>
      <c r="BI174" s="461">
        <v>0.99</v>
      </c>
      <c r="BJ174" s="486">
        <v>0.99</v>
      </c>
      <c r="BK174" s="486">
        <v>9.02</v>
      </c>
      <c r="BL174" s="461">
        <v>9.8999999999999986</v>
      </c>
      <c r="BM174" s="486">
        <v>7.9471414614262823</v>
      </c>
      <c r="BN174" s="486">
        <v>90.199999999999989</v>
      </c>
      <c r="BO174" s="486">
        <v>883.29999999999984</v>
      </c>
      <c r="BP174" s="665"/>
      <c r="BQ174" s="665"/>
      <c r="BR174" s="487">
        <v>10.8</v>
      </c>
      <c r="BS174" s="665"/>
      <c r="BT174" s="665"/>
      <c r="BU174" s="665"/>
      <c r="BV174" s="488">
        <v>0.99801980198019802</v>
      </c>
      <c r="BW174" s="461">
        <v>1</v>
      </c>
      <c r="BX174" s="661">
        <v>0.67743523170307607</v>
      </c>
    </row>
    <row r="175" spans="1:76" ht="17" x14ac:dyDescent="0.25">
      <c r="B175" s="657" t="s">
        <v>653</v>
      </c>
      <c r="C175" s="461">
        <v>0</v>
      </c>
      <c r="D175" s="461">
        <v>14</v>
      </c>
      <c r="E175" s="461">
        <v>1</v>
      </c>
      <c r="F175" s="461">
        <v>0</v>
      </c>
      <c r="G175" s="461">
        <v>1</v>
      </c>
      <c r="H175" s="461">
        <v>14</v>
      </c>
      <c r="I175" s="461">
        <v>14</v>
      </c>
      <c r="J175" s="461">
        <v>1</v>
      </c>
      <c r="K175" s="461">
        <v>0</v>
      </c>
      <c r="L175" s="461">
        <v>15</v>
      </c>
      <c r="M175" s="461">
        <v>15</v>
      </c>
      <c r="N175" s="486">
        <v>6.6666666666666666E-2</v>
      </c>
      <c r="O175" s="486">
        <v>0.93333333333333335</v>
      </c>
      <c r="P175" s="486">
        <v>0.93333333333333335</v>
      </c>
      <c r="Q175" s="461">
        <v>-14</v>
      </c>
      <c r="R175" s="461">
        <v>0</v>
      </c>
      <c r="S175" s="461">
        <v>1</v>
      </c>
      <c r="T175" s="461">
        <v>1</v>
      </c>
      <c r="U175" s="461">
        <v>0</v>
      </c>
      <c r="V175" s="461">
        <v>0</v>
      </c>
      <c r="W175" s="461">
        <v>1</v>
      </c>
      <c r="X175" s="461">
        <v>1</v>
      </c>
      <c r="Y175" s="461">
        <v>0</v>
      </c>
      <c r="Z175" s="461">
        <v>0</v>
      </c>
      <c r="AA175" s="461">
        <v>0</v>
      </c>
      <c r="AB175" s="461">
        <v>-1</v>
      </c>
      <c r="AC175" s="461">
        <v>0</v>
      </c>
      <c r="AD175" s="461">
        <v>1</v>
      </c>
      <c r="AE175" s="461" t="e">
        <v>#DIV/0!</v>
      </c>
      <c r="AF175" s="488">
        <v>-0.14213197969543148</v>
      </c>
      <c r="AG175" s="461">
        <v>-1</v>
      </c>
      <c r="AH175" s="488">
        <v>0.35335933502142136</v>
      </c>
      <c r="AI175" s="488">
        <v>0.35335933502142131</v>
      </c>
      <c r="AJ175" s="461" t="e">
        <v>#NUM!</v>
      </c>
      <c r="AK175" s="461" t="e">
        <v>#NUM!</v>
      </c>
      <c r="AL175" s="461" t="e">
        <v>#NUM!</v>
      </c>
      <c r="AM175" s="461">
        <v>0</v>
      </c>
      <c r="AN175" s="461">
        <v>1</v>
      </c>
      <c r="AO175" s="461">
        <v>0</v>
      </c>
      <c r="AP175" s="461">
        <v>0.5</v>
      </c>
      <c r="AQ175" s="461">
        <v>1</v>
      </c>
      <c r="AR175" s="485" t="s">
        <v>347</v>
      </c>
      <c r="AS175" s="485" t="s">
        <v>347</v>
      </c>
      <c r="AT175" s="699" t="s">
        <v>637</v>
      </c>
      <c r="AU175" s="699" t="s">
        <v>638</v>
      </c>
      <c r="AV175" s="699" t="s">
        <v>639</v>
      </c>
      <c r="AW175" s="486">
        <v>0.8580000000000001</v>
      </c>
      <c r="AX175" s="461">
        <v>0.98010000000000008</v>
      </c>
      <c r="AY175" s="486">
        <v>0.99</v>
      </c>
      <c r="AZ175" s="486">
        <v>0.98009999999999997</v>
      </c>
      <c r="BA175" s="486">
        <v>14.701500000000001</v>
      </c>
      <c r="BB175" s="486">
        <v>15.899242970439799</v>
      </c>
      <c r="BC175" s="486">
        <v>14.701500000000001</v>
      </c>
      <c r="BD175" s="486">
        <v>15.751607142857136</v>
      </c>
      <c r="BE175" s="486">
        <v>14.701500000000001</v>
      </c>
      <c r="BF175" s="665"/>
      <c r="BG175" s="461">
        <v>0.9900000000000001</v>
      </c>
      <c r="BH175" s="461">
        <v>0.99</v>
      </c>
      <c r="BI175" s="461">
        <v>0.99</v>
      </c>
      <c r="BJ175" s="486">
        <v>0.99</v>
      </c>
      <c r="BK175" s="486">
        <v>13.930714285714282</v>
      </c>
      <c r="BL175" s="461">
        <v>14.85</v>
      </c>
      <c r="BM175" s="486">
        <v>12.454259712081923</v>
      </c>
      <c r="BN175" s="486">
        <v>208.96071428571423</v>
      </c>
      <c r="BO175" s="486">
        <v>3088.4401147959184</v>
      </c>
      <c r="BP175" s="665"/>
      <c r="BQ175" s="665"/>
      <c r="BR175" s="617">
        <v>7.5333333333333332</v>
      </c>
      <c r="BS175" s="665"/>
      <c r="BT175" s="665"/>
      <c r="BU175" s="665"/>
      <c r="BV175" s="488">
        <v>0.99867986798679864</v>
      </c>
      <c r="BW175" s="461">
        <v>1</v>
      </c>
      <c r="BX175" s="661">
        <v>0.45645667770042236</v>
      </c>
    </row>
    <row r="176" spans="1:76" ht="17" x14ac:dyDescent="0.25">
      <c r="B176" s="657" t="s">
        <v>654</v>
      </c>
      <c r="C176" s="461">
        <v>0</v>
      </c>
      <c r="D176" s="461">
        <v>19</v>
      </c>
      <c r="E176" s="461">
        <v>1</v>
      </c>
      <c r="F176" s="461">
        <v>0</v>
      </c>
      <c r="G176" s="461">
        <v>1</v>
      </c>
      <c r="H176" s="461">
        <v>19</v>
      </c>
      <c r="I176" s="461">
        <v>19</v>
      </c>
      <c r="J176" s="461">
        <v>1</v>
      </c>
      <c r="K176" s="461">
        <v>0</v>
      </c>
      <c r="L176" s="461">
        <v>20</v>
      </c>
      <c r="M176" s="461">
        <v>20</v>
      </c>
      <c r="N176" s="461">
        <v>0.05</v>
      </c>
      <c r="O176" s="461">
        <v>0.95</v>
      </c>
      <c r="P176" s="461">
        <v>0.95</v>
      </c>
      <c r="Q176" s="461">
        <v>-19</v>
      </c>
      <c r="R176" s="461">
        <v>0</v>
      </c>
      <c r="S176" s="461">
        <v>1</v>
      </c>
      <c r="T176" s="461">
        <v>1</v>
      </c>
      <c r="U176" s="461">
        <v>0</v>
      </c>
      <c r="V176" s="461">
        <v>0</v>
      </c>
      <c r="W176" s="461">
        <v>1</v>
      </c>
      <c r="X176" s="461">
        <v>1</v>
      </c>
      <c r="Y176" s="461">
        <v>0</v>
      </c>
      <c r="Z176" s="461">
        <v>0</v>
      </c>
      <c r="AA176" s="461">
        <v>0</v>
      </c>
      <c r="AB176" s="461">
        <v>-1</v>
      </c>
      <c r="AC176" s="461">
        <v>0</v>
      </c>
      <c r="AD176" s="461">
        <v>1</v>
      </c>
      <c r="AE176" s="461" t="e">
        <v>#DIV/0!</v>
      </c>
      <c r="AF176" s="488">
        <v>-0.10497237569060773</v>
      </c>
      <c r="AG176" s="461">
        <v>-1</v>
      </c>
      <c r="AH176" s="488">
        <v>0.28639695711595625</v>
      </c>
      <c r="AI176" s="488">
        <v>0.28639695711595631</v>
      </c>
      <c r="AJ176" s="461" t="e">
        <v>#NUM!</v>
      </c>
      <c r="AK176" s="461" t="e">
        <v>#NUM!</v>
      </c>
      <c r="AL176" s="461" t="e">
        <v>#NUM!</v>
      </c>
      <c r="AM176" s="461">
        <v>0</v>
      </c>
      <c r="AN176" s="461">
        <v>1</v>
      </c>
      <c r="AO176" s="461">
        <v>0</v>
      </c>
      <c r="AP176" s="461">
        <v>0.5</v>
      </c>
      <c r="AQ176" s="461">
        <v>1</v>
      </c>
      <c r="AR176" s="485" t="s">
        <v>347</v>
      </c>
      <c r="AS176" s="485" t="s">
        <v>347</v>
      </c>
      <c r="AT176" s="699" t="s">
        <v>640</v>
      </c>
      <c r="AU176" s="699" t="s">
        <v>641</v>
      </c>
      <c r="AV176" s="699" t="s">
        <v>642</v>
      </c>
      <c r="AW176" s="486">
        <v>0.89100000000000001</v>
      </c>
      <c r="AX176" s="461">
        <v>0.98009999999999997</v>
      </c>
      <c r="AY176" s="486">
        <v>0.99</v>
      </c>
      <c r="AZ176" s="486">
        <v>0.98009999999999997</v>
      </c>
      <c r="BA176" s="486">
        <v>19.602</v>
      </c>
      <c r="BB176" s="486">
        <v>20.831030818278428</v>
      </c>
      <c r="BC176" s="486">
        <v>19.602</v>
      </c>
      <c r="BD176" s="486">
        <v>20.63368421052634</v>
      </c>
      <c r="BE176" s="486">
        <v>19.601999999999997</v>
      </c>
      <c r="BF176" s="665"/>
      <c r="BG176" s="461">
        <v>0.98999999999999988</v>
      </c>
      <c r="BH176" s="461">
        <v>0.99</v>
      </c>
      <c r="BI176" s="461">
        <v>0.99</v>
      </c>
      <c r="BJ176" s="486">
        <v>0.99</v>
      </c>
      <c r="BK176" s="486">
        <v>18.8621052631579</v>
      </c>
      <c r="BL176" s="461">
        <v>19.799999999999997</v>
      </c>
      <c r="BM176" s="486">
        <v>17.089427351288993</v>
      </c>
      <c r="BN176" s="486">
        <v>377.24210526315801</v>
      </c>
      <c r="BO176" s="486">
        <v>7449.8459833795005</v>
      </c>
      <c r="BP176" s="665"/>
      <c r="BQ176" s="665"/>
      <c r="BR176" s="487">
        <v>5.9</v>
      </c>
      <c r="BS176" s="665"/>
      <c r="BT176" s="665"/>
      <c r="BU176" s="665"/>
      <c r="BV176" s="488">
        <v>0.99900990099009912</v>
      </c>
      <c r="BW176" s="461">
        <v>1</v>
      </c>
      <c r="BX176" s="661">
        <v>0.34596740069909554</v>
      </c>
    </row>
    <row r="177" spans="1:76" ht="17" x14ac:dyDescent="0.25">
      <c r="B177" s="657" t="s">
        <v>655</v>
      </c>
      <c r="C177" s="461">
        <v>0</v>
      </c>
      <c r="D177" s="461">
        <v>24</v>
      </c>
      <c r="E177" s="461">
        <v>1</v>
      </c>
      <c r="F177" s="461">
        <v>0</v>
      </c>
      <c r="G177" s="461">
        <v>1</v>
      </c>
      <c r="H177" s="461">
        <v>24</v>
      </c>
      <c r="I177" s="461">
        <v>24</v>
      </c>
      <c r="J177" s="461">
        <v>1</v>
      </c>
      <c r="K177" s="461">
        <v>0</v>
      </c>
      <c r="L177" s="461">
        <v>25</v>
      </c>
      <c r="M177" s="461">
        <v>25</v>
      </c>
      <c r="N177" s="461">
        <v>0.04</v>
      </c>
      <c r="O177" s="461">
        <v>0.96</v>
      </c>
      <c r="P177" s="461">
        <v>0.96</v>
      </c>
      <c r="Q177" s="461">
        <v>-24</v>
      </c>
      <c r="R177" s="461">
        <v>0</v>
      </c>
      <c r="S177" s="461">
        <v>1</v>
      </c>
      <c r="T177" s="461">
        <v>1</v>
      </c>
      <c r="U177" s="461">
        <v>0</v>
      </c>
      <c r="V177" s="461">
        <v>0</v>
      </c>
      <c r="W177" s="461">
        <v>1</v>
      </c>
      <c r="X177" s="461">
        <v>1</v>
      </c>
      <c r="Y177" s="461">
        <v>0</v>
      </c>
      <c r="Z177" s="461">
        <v>0</v>
      </c>
      <c r="AA177" s="461">
        <v>0</v>
      </c>
      <c r="AB177" s="461">
        <v>-1</v>
      </c>
      <c r="AC177" s="461">
        <v>0</v>
      </c>
      <c r="AD177" s="461">
        <v>1</v>
      </c>
      <c r="AE177" s="461" t="e">
        <v>#DIV/0!</v>
      </c>
      <c r="AF177" s="488">
        <v>-8.3188908145580595E-2</v>
      </c>
      <c r="AG177" s="461">
        <v>-1</v>
      </c>
      <c r="AH177" s="488">
        <v>0.24229218908241482</v>
      </c>
      <c r="AI177" s="488">
        <v>0.24229218908241493</v>
      </c>
      <c r="AJ177" s="461" t="e">
        <v>#NUM!</v>
      </c>
      <c r="AK177" s="461" t="e">
        <v>#NUM!</v>
      </c>
      <c r="AL177" s="461" t="e">
        <v>#NUM!</v>
      </c>
      <c r="AM177" s="461">
        <v>0</v>
      </c>
      <c r="AN177" s="461">
        <v>1</v>
      </c>
      <c r="AO177" s="461">
        <v>0</v>
      </c>
      <c r="AP177" s="461">
        <v>0.5</v>
      </c>
      <c r="AQ177" s="461">
        <v>1</v>
      </c>
      <c r="AR177" s="485" t="s">
        <v>347</v>
      </c>
      <c r="AS177" s="485" t="s">
        <v>347</v>
      </c>
      <c r="AT177" s="699" t="s">
        <v>643</v>
      </c>
      <c r="AU177" s="699" t="s">
        <v>644</v>
      </c>
      <c r="AV177" s="699" t="s">
        <v>645</v>
      </c>
      <c r="AW177" s="486">
        <v>0.91079999999999972</v>
      </c>
      <c r="AX177" s="461">
        <v>0.98010000000000008</v>
      </c>
      <c r="AY177" s="461">
        <v>0.99</v>
      </c>
      <c r="AZ177" s="486">
        <v>0.98009999999999997</v>
      </c>
      <c r="BA177" s="486">
        <v>24.502500000000001</v>
      </c>
      <c r="BB177" s="486">
        <v>25.770403870424918</v>
      </c>
      <c r="BC177" s="461">
        <v>24.502500000000001</v>
      </c>
      <c r="BD177" s="486">
        <v>25.523437499999972</v>
      </c>
      <c r="BE177" s="486">
        <v>24.502500000000001</v>
      </c>
      <c r="BF177" s="665"/>
      <c r="BG177" s="461">
        <v>0.98999999999999955</v>
      </c>
      <c r="BH177" s="461">
        <v>0.99</v>
      </c>
      <c r="BI177" s="461">
        <v>0.99</v>
      </c>
      <c r="BJ177" s="461">
        <v>0.99</v>
      </c>
      <c r="BK177" s="486">
        <v>23.80125</v>
      </c>
      <c r="BL177" s="461">
        <v>24.75</v>
      </c>
      <c r="BM177" s="486">
        <v>21.795495844296958</v>
      </c>
      <c r="BN177" s="486">
        <v>595.03125</v>
      </c>
      <c r="BO177" s="486">
        <v>14702.5634765625</v>
      </c>
      <c r="BP177" s="665"/>
      <c r="BQ177" s="665"/>
      <c r="BR177" s="487">
        <v>4.92</v>
      </c>
      <c r="BS177" s="665"/>
      <c r="BT177" s="665"/>
      <c r="BU177" s="665"/>
      <c r="BV177" s="488">
        <v>0.99920792079207932</v>
      </c>
      <c r="BW177" s="461">
        <v>1</v>
      </c>
      <c r="BX177" s="661">
        <v>0.27967383449829947</v>
      </c>
    </row>
    <row r="178" spans="1:76" ht="49" thickBot="1" x14ac:dyDescent="0.25">
      <c r="A178" s="765"/>
      <c r="B178" s="634" t="s">
        <v>834</v>
      </c>
      <c r="C178" s="660" t="str">
        <f>"["&amp;ROUND(C173, 2)&amp;", "&amp;ROUND(C177, 3)&amp;"]"</f>
        <v>[0, 0]</v>
      </c>
      <c r="D178" s="660" t="str">
        <f t="shared" ref="D178" si="126">"["&amp;ROUND(D173, 2)&amp;", "&amp;ROUND(D177, 3)&amp;"]"</f>
        <v>[4, 24]</v>
      </c>
      <c r="E178" s="660" t="str">
        <f t="shared" ref="E178" si="127">"["&amp;ROUND(E173, 2)&amp;", "&amp;ROUND(E177, 3)&amp;"]"</f>
        <v>[1, 1]</v>
      </c>
      <c r="F178" s="660" t="str">
        <f t="shared" ref="F178" si="128">"["&amp;ROUND(F173, 2)&amp;", "&amp;ROUND(F177, 3)&amp;"]"</f>
        <v>[0, 0]</v>
      </c>
      <c r="G178" s="660" t="str">
        <f t="shared" ref="G178" si="129">"["&amp;ROUND(G173, 2)&amp;", "&amp;ROUND(G177, 3)&amp;"]"</f>
        <v>[1, 1]</v>
      </c>
      <c r="H178" s="660" t="str">
        <f t="shared" ref="H178" si="130">"["&amp;ROUND(H173, 2)&amp;", "&amp;ROUND(H177, 3)&amp;"]"</f>
        <v>[4, 24]</v>
      </c>
      <c r="I178" s="660" t="str">
        <f t="shared" ref="I178" si="131">"["&amp;ROUND(I173, 2)&amp;", "&amp;ROUND(I177, 3)&amp;"]"</f>
        <v>[4, 24]</v>
      </c>
      <c r="J178" s="660" t="str">
        <f t="shared" ref="J178" si="132">"["&amp;ROUND(J173, 2)&amp;", "&amp;ROUND(J177, 3)&amp;"]"</f>
        <v>[1, 1]</v>
      </c>
      <c r="K178" s="660" t="str">
        <f t="shared" ref="K178" si="133">"["&amp;ROUND(K173, 2)&amp;", "&amp;ROUND(K177, 3)&amp;"]"</f>
        <v>[0, 0]</v>
      </c>
      <c r="L178" s="660" t="str">
        <f t="shared" ref="L178" si="134">"["&amp;ROUND(L173, 2)&amp;", "&amp;ROUND(L177, 3)&amp;"]"</f>
        <v>[5, 25]</v>
      </c>
      <c r="M178" s="660" t="str">
        <f t="shared" ref="M178" si="135">"["&amp;ROUND(M173, 2)&amp;", "&amp;ROUND(M177, 3)&amp;"]"</f>
        <v>[5, 25]</v>
      </c>
      <c r="N178" s="660" t="str">
        <f t="shared" ref="N178" si="136">"["&amp;ROUND(N173, 2)&amp;", "&amp;ROUND(N177, 3)&amp;"]"</f>
        <v>[0.2, 0.04]</v>
      </c>
      <c r="O178" s="660" t="str">
        <f t="shared" ref="O178" si="137">"["&amp;ROUND(O173, 2)&amp;", "&amp;ROUND(O177, 3)&amp;"]"</f>
        <v>[0.8, 0.96]</v>
      </c>
      <c r="P178" s="660" t="str">
        <f t="shared" ref="P178" si="138">"["&amp;ROUND(P173, 2)&amp;", "&amp;ROUND(P177, 3)&amp;"]"</f>
        <v>[0.8, 0.96]</v>
      </c>
      <c r="Q178" s="660" t="str">
        <f t="shared" ref="Q178" si="139">"["&amp;ROUND(Q173, 2)&amp;", "&amp;ROUND(Q177, 3)&amp;"]"</f>
        <v>[-4, -24]</v>
      </c>
      <c r="R178" s="660" t="str">
        <f t="shared" ref="R178" si="140">"["&amp;ROUND(R173, 2)&amp;", "&amp;ROUND(R177, 3)&amp;"]"</f>
        <v>[0, 0]</v>
      </c>
      <c r="S178" s="660" t="str">
        <f t="shared" ref="S178" si="141">"["&amp;ROUND(S173, 2)&amp;", "&amp;ROUND(S177, 3)&amp;"]"</f>
        <v>[1, 1]</v>
      </c>
      <c r="T178" s="660" t="str">
        <f t="shared" ref="T178" si="142">"["&amp;ROUND(T173, 2)&amp;", "&amp;ROUND(T177, 3)&amp;"]"</f>
        <v>[1, 1]</v>
      </c>
      <c r="U178" s="660" t="str">
        <f t="shared" ref="U178" si="143">"["&amp;ROUND(U173, 2)&amp;", "&amp;ROUND(U177, 3)&amp;"]"</f>
        <v>[0, 0]</v>
      </c>
      <c r="V178" s="660" t="str">
        <f t="shared" ref="V178" si="144">"["&amp;ROUND(V173, 2)&amp;", "&amp;ROUND(V177, 3)&amp;"]"</f>
        <v>[0, 0]</v>
      </c>
      <c r="W178" s="660" t="str">
        <f t="shared" ref="W178" si="145">"["&amp;ROUND(W173, 2)&amp;", "&amp;ROUND(W177, 3)&amp;"]"</f>
        <v>[1, 1]</v>
      </c>
      <c r="X178" s="660" t="str">
        <f t="shared" ref="X178" si="146">"["&amp;ROUND(X173, 2)&amp;", "&amp;ROUND(X177, 3)&amp;"]"</f>
        <v>[1, 1]</v>
      </c>
      <c r="Y178" s="660" t="str">
        <f t="shared" ref="Y178" si="147">"["&amp;ROUND(Y173, 2)&amp;", "&amp;ROUND(Y177, 3)&amp;"]"</f>
        <v>[0, 0]</v>
      </c>
      <c r="Z178" s="660" t="str">
        <f t="shared" ref="Z178" si="148">"["&amp;ROUND(Z173, 2)&amp;", "&amp;ROUND(Z177, 3)&amp;"]"</f>
        <v>[0, 0]</v>
      </c>
      <c r="AA178" s="660" t="str">
        <f t="shared" ref="AA178" si="149">"["&amp;ROUND(AA173, 2)&amp;", "&amp;ROUND(AA177, 3)&amp;"]"</f>
        <v>[0, 0]</v>
      </c>
      <c r="AB178" s="660" t="str">
        <f t="shared" ref="AB178" si="150">"["&amp;ROUND(AB173, 2)&amp;", "&amp;ROUND(AB177, 3)&amp;"]"</f>
        <v>[-1, -1]</v>
      </c>
      <c r="AC178" s="660" t="str">
        <f t="shared" ref="AC178" si="151">"["&amp;ROUND(AC173, 2)&amp;", "&amp;ROUND(AC177, 3)&amp;"]"</f>
        <v>[0, 0]</v>
      </c>
      <c r="AD178" s="660" t="str">
        <f t="shared" ref="AD178" si="152">"["&amp;ROUND(AD173, 2)&amp;", "&amp;ROUND(AD177, 3)&amp;"]"</f>
        <v>[1, 1]</v>
      </c>
      <c r="AE178" s="660" t="e">
        <f t="shared" ref="AE178" si="153">"["&amp;ROUND(AE173, 2)&amp;", "&amp;ROUND(AE177, 3)&amp;"]"</f>
        <v>#DIV/0!</v>
      </c>
      <c r="AF178" s="660" t="str">
        <f t="shared" ref="AF178" si="154">"["&amp;ROUND(AF173, 2)&amp;", "&amp;ROUND(AF177, 3)&amp;"]"</f>
        <v>[-0.47, -0.083]</v>
      </c>
      <c r="AG178" s="660" t="str">
        <f t="shared" ref="AG178" si="155">"["&amp;ROUND(AG173, 2)&amp;", "&amp;ROUND(AG177, 3)&amp;"]"</f>
        <v>[-1, -1]</v>
      </c>
      <c r="AH178" s="660" t="str">
        <f t="shared" ref="AH178" si="156">"["&amp;ROUND(AH173, 2)&amp;", "&amp;ROUND(AH177, 3)&amp;"]"</f>
        <v>[0.72, 0.242]</v>
      </c>
      <c r="AI178" s="660" t="str">
        <f t="shared" ref="AI178" si="157">"["&amp;ROUND(AI173, 2)&amp;", "&amp;ROUND(AI177, 3)&amp;"]"</f>
        <v>[0.72, 0.242]</v>
      </c>
      <c r="AJ178" s="660" t="e">
        <f t="shared" ref="AJ178" si="158">"["&amp;ROUND(AJ173, 2)&amp;", "&amp;ROUND(AJ177, 3)&amp;"]"</f>
        <v>#NUM!</v>
      </c>
      <c r="AK178" s="660" t="e">
        <f t="shared" ref="AK178" si="159">"["&amp;ROUND(AK173, 2)&amp;", "&amp;ROUND(AK177, 3)&amp;"]"</f>
        <v>#NUM!</v>
      </c>
      <c r="AL178" s="660" t="e">
        <f t="shared" ref="AL178" si="160">"["&amp;ROUND(AL173, 2)&amp;", "&amp;ROUND(AL177, 3)&amp;"]"</f>
        <v>#NUM!</v>
      </c>
      <c r="AM178" s="660" t="str">
        <f t="shared" ref="AM178" si="161">"["&amp;ROUND(AM173, 2)&amp;", "&amp;ROUND(AM177, 3)&amp;"]"</f>
        <v>[0, 0]</v>
      </c>
      <c r="AN178" s="660" t="str">
        <f t="shared" ref="AN178" si="162">"["&amp;ROUND(AN173, 2)&amp;", "&amp;ROUND(AN177, 3)&amp;"]"</f>
        <v>[1, 1]</v>
      </c>
      <c r="AO178" s="660" t="str">
        <f t="shared" ref="AO178" si="163">"["&amp;ROUND(AO173, 2)&amp;", "&amp;ROUND(AO177, 3)&amp;"]"</f>
        <v>[0, 0]</v>
      </c>
      <c r="AP178" s="660" t="str">
        <f t="shared" ref="AP178" si="164">"["&amp;ROUND(AP173, 2)&amp;", "&amp;ROUND(AP177, 3)&amp;"]"</f>
        <v>[0.5, 0.5]</v>
      </c>
      <c r="AQ178" s="660" t="str">
        <f t="shared" ref="AQ178" si="165">"["&amp;ROUND(AQ173, 2)&amp;", "&amp;ROUND(AQ177, 3)&amp;"]"</f>
        <v>[1, 1]</v>
      </c>
      <c r="AR178" s="660" t="s">
        <v>347</v>
      </c>
      <c r="AS178" s="660" t="s">
        <v>347</v>
      </c>
      <c r="AT178" s="739"/>
      <c r="AU178" s="739"/>
      <c r="AV178" s="739"/>
      <c r="AW178" s="671" t="str">
        <f t="shared" ref="AW178" si="166">"["&amp;ROUND(AW173, 2)&amp;", "&amp;ROUND(AW177, 2)&amp;"]"</f>
        <v>[0.59, 0.91]</v>
      </c>
      <c r="AX178" s="660" t="str">
        <f>"["&amp;ROUND(AX173, 2)&amp;", "&amp;ROUND(AX177, 2)&amp;"]"</f>
        <v>[0.98, 0.98]</v>
      </c>
      <c r="AY178" s="660" t="str">
        <f t="shared" ref="AY178" si="167">"["&amp;ROUND(AY173, 2)&amp;", "&amp;ROUND(AY177, 2)&amp;"]"</f>
        <v>[0.99, 0.99]</v>
      </c>
      <c r="AZ178" s="660" t="str">
        <f t="shared" ref="AZ178" si="168">"["&amp;ROUND(AZ173, 2)&amp;", "&amp;ROUND(AZ177, 2)&amp;"]"</f>
        <v>[0.98, 0.98]</v>
      </c>
      <c r="BA178" s="660" t="str">
        <f t="shared" ref="BA178" si="169">"["&amp;ROUND(BA173, 2)&amp;", "&amp;ROUND(BA177, 2)&amp;"]"</f>
        <v>[4.9, 24.5]</v>
      </c>
      <c r="BB178" s="660" t="str">
        <f t="shared" ref="BB178" si="170">"["&amp;ROUND(BB173, 2)&amp;", "&amp;ROUND(BB177, 2)&amp;"]"</f>
        <v>[6.17, 25.77]</v>
      </c>
      <c r="BC178" s="660" t="str">
        <f t="shared" ref="BC178" si="171">"["&amp;ROUND(BC173, 2)&amp;", "&amp;ROUND(BC177, 2)&amp;"]"</f>
        <v>[4.9, 24.5]</v>
      </c>
      <c r="BD178" s="660" t="str">
        <f t="shared" ref="BD178" si="172">"["&amp;ROUND(BD173, 2)&amp;", "&amp;ROUND(BD177, 2)&amp;"]"</f>
        <v>[6.13, 25.52]</v>
      </c>
      <c r="BE178" s="671" t="str">
        <f t="shared" ref="BE178" si="173">"["&amp;ROUND(BE173, 2)&amp;", "&amp;ROUND(BE177, 2)&amp;"]"</f>
        <v>[4.9, 24.5]</v>
      </c>
      <c r="BF178" s="643" t="s">
        <v>504</v>
      </c>
      <c r="BG178" s="660" t="str">
        <f t="shared" ref="BG178" si="174">"["&amp;ROUND(BG173, 2)&amp;", "&amp;ROUND(BG177, 2)&amp;"]"</f>
        <v>[0.99, 0.99]</v>
      </c>
      <c r="BH178" s="660" t="str">
        <f t="shared" ref="BH178" si="175">"["&amp;ROUND(BH173, 2)&amp;", "&amp;ROUND(BH177, 2)&amp;"]"</f>
        <v>[0.99, 0.99]</v>
      </c>
      <c r="BI178" s="660" t="str">
        <f t="shared" ref="BI178" si="176">"["&amp;ROUND(BI173, 2)&amp;", "&amp;ROUND(BI177, 2)&amp;"]"</f>
        <v>[0.99, 0.99]</v>
      </c>
      <c r="BJ178" s="660" t="str">
        <f t="shared" ref="BJ178" si="177">"["&amp;ROUND(BJ173, 2)&amp;", "&amp;ROUND(BJ177, 2)&amp;"]"</f>
        <v>[0.99, 0.99]</v>
      </c>
      <c r="BK178" s="660" t="str">
        <f t="shared" ref="BK178" si="178">"["&amp;ROUND(BK173, 2)&amp;", "&amp;ROUND(BK177, 2)&amp;"]"</f>
        <v>[4.21, 23.8]</v>
      </c>
      <c r="BL178" s="660" t="str">
        <f t="shared" ref="BL178" si="179">"["&amp;ROUND(BL173, 2)&amp;", "&amp;ROUND(BL177, 2)&amp;"]"</f>
        <v>[4.95, 24.75]</v>
      </c>
      <c r="BM178" s="660" t="str">
        <f t="shared" ref="BM178" si="180">"["&amp;ROUND(BM173, 2)&amp;", "&amp;ROUND(BM177, 2)&amp;"]"</f>
        <v>[3.75, 21.8]</v>
      </c>
      <c r="BN178" s="660" t="str">
        <f t="shared" ref="BN178" si="181">"["&amp;ROUND(BN173, 2)&amp;", "&amp;ROUND(BN177, 2)&amp;"]"</f>
        <v>[21.04, 595.03]</v>
      </c>
      <c r="BO178" s="660" t="str">
        <f t="shared" ref="BO178" si="182">"["&amp;ROUND(BO173, 2)&amp;", "&amp;ROUND(BO177, 2)&amp;"]"</f>
        <v>[99.54, 14702.56]</v>
      </c>
      <c r="BP178" s="643" t="s">
        <v>504</v>
      </c>
      <c r="BQ178" s="691" t="s">
        <v>504</v>
      </c>
      <c r="BR178" s="660" t="str">
        <f>"["&amp;ROUND(BR173, 2)&amp;", "&amp;ROUND(BR177, 2)&amp;"]"</f>
        <v>[20.6, 4.92]</v>
      </c>
      <c r="BS178" s="643" t="s">
        <v>504</v>
      </c>
      <c r="BT178" s="643" t="s">
        <v>504</v>
      </c>
      <c r="BU178" s="643" t="s">
        <v>504</v>
      </c>
      <c r="BV178" s="660" t="str">
        <f>"["&amp;ROUND(BV173, 3)&amp;", "&amp;ROUND(BV177, 3)&amp;"]"</f>
        <v>[0.996, 0.999]</v>
      </c>
      <c r="BW178" s="660" t="str">
        <f t="shared" ref="BW178" si="183">"["&amp;ROUND(BW173, 2)&amp;", "&amp;ROUND(BW177, 2)&amp;"]"</f>
        <v>[1, 1]</v>
      </c>
      <c r="BX178" s="643" t="s">
        <v>504</v>
      </c>
    </row>
  </sheetData>
  <mergeCells count="13">
    <mergeCell ref="AX1:BF1"/>
    <mergeCell ref="BG1:BJ1"/>
    <mergeCell ref="BK1:BO1"/>
    <mergeCell ref="BP1:BU1"/>
    <mergeCell ref="BV1:BW1"/>
    <mergeCell ref="B1:B6"/>
    <mergeCell ref="AO3:AQ4"/>
    <mergeCell ref="AR3:AS4"/>
    <mergeCell ref="AT4:AV5"/>
    <mergeCell ref="C3:Q3"/>
    <mergeCell ref="AH3:AL3"/>
    <mergeCell ref="R3:AG3"/>
    <mergeCell ref="AM3:AN4"/>
  </mergeCells>
  <phoneticPr fontId="163" type="noConversion"/>
  <conditionalFormatting sqref="BJ5 BP5:BW5 AZ5:BF5">
    <cfRule type="cellIs" dxfId="23" priority="5" operator="equal">
      <formula>"FN"</formula>
    </cfRule>
    <cfRule type="cellIs" dxfId="22" priority="6" operator="equal">
      <formula>"FP"</formula>
    </cfRule>
    <cfRule type="cellIs" dxfId="21" priority="7" operator="equal">
      <formula>"TN"</formula>
    </cfRule>
    <cfRule type="cellIs" dxfId="20" priority="8" operator="equal">
      <formula>"TP"</formula>
    </cfRule>
  </conditionalFormatting>
  <conditionalFormatting sqref="AM5:AN5">
    <cfRule type="cellIs" dxfId="19" priority="11" operator="equal">
      <formula>"ON"</formula>
    </cfRule>
    <cfRule type="cellIs" dxfId="18" priority="12" operator="equal">
      <formula>"OP"</formula>
    </cfRule>
  </conditionalFormatting>
  <conditionalFormatting sqref="AP5">
    <cfRule type="cellIs" dxfId="17" priority="9" operator="equal">
      <formula>"ON"</formula>
    </cfRule>
    <cfRule type="cellIs" dxfId="16" priority="10" operator="equal">
      <formula>"OP"</formula>
    </cfRule>
  </conditionalFormatting>
  <conditionalFormatting sqref="BH5:BJ5">
    <cfRule type="cellIs" dxfId="15" priority="1" operator="equal">
      <formula>"FN"</formula>
    </cfRule>
    <cfRule type="cellIs" dxfId="14" priority="2" operator="equal">
      <formula>"FP"</formula>
    </cfRule>
    <cfRule type="cellIs" dxfId="13" priority="3" operator="equal">
      <formula>"TN"</formula>
    </cfRule>
    <cfRule type="cellIs" dxfId="12" priority="4" operator="equal">
      <formula>"TP"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A1"/>
  <sheetViews>
    <sheetView workbookViewId="0"/>
  </sheetViews>
  <sheetFormatPr baseColWidth="10" defaultColWidth="8.83203125" defaultRowHeight="16" x14ac:dyDescent="0.2"/>
  <sheetData>
    <row r="1" spans="1:1" x14ac:dyDescent="0.2">
      <c r="A1" s="531" t="s">
        <v>438</v>
      </c>
    </row>
  </sheetData>
  <hyperlinks>
    <hyperlink ref="A1" r:id="rId1" xr:uid="{00000000-0004-0000-0600-000000000000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 tint="0.59999389629810485"/>
    <pageSetUpPr fitToPage="1"/>
  </sheetPr>
  <dimension ref="B1:V23"/>
  <sheetViews>
    <sheetView showGridLines="0" topLeftCell="A4" zoomScale="126" zoomScaleNormal="126" workbookViewId="0">
      <selection activeCell="AA12" sqref="AA12"/>
    </sheetView>
  </sheetViews>
  <sheetFormatPr baseColWidth="10" defaultColWidth="10.83203125" defaultRowHeight="24" x14ac:dyDescent="0.2"/>
  <cols>
    <col min="1" max="1" width="3.6640625" style="366" customWidth="1"/>
    <col min="2" max="2" width="7.33203125" style="366" customWidth="1"/>
    <col min="3" max="3" width="7.33203125" style="368" customWidth="1"/>
    <col min="4" max="4" width="8.83203125" style="369" customWidth="1"/>
    <col min="5" max="5" width="10" style="368" customWidth="1"/>
    <col min="6" max="6" width="8.1640625" style="369" customWidth="1"/>
    <col min="7" max="7" width="8.1640625" style="368" customWidth="1"/>
    <col min="8" max="8" width="4.1640625" style="358" customWidth="1"/>
    <col min="9" max="9" width="4.1640625" style="369" customWidth="1"/>
    <col min="10" max="10" width="5.5" style="368" customWidth="1"/>
    <col min="11" max="11" width="5.5" style="369" customWidth="1"/>
    <col min="12" max="12" width="7.5" style="369" customWidth="1"/>
    <col min="13" max="13" width="7.5" style="368" customWidth="1"/>
    <col min="14" max="14" width="7.5" style="369" customWidth="1"/>
    <col min="15" max="15" width="7.5" style="368" customWidth="1"/>
    <col min="16" max="16" width="7.5" style="369" customWidth="1"/>
    <col min="17" max="17" width="7.5" style="344" customWidth="1"/>
    <col min="18" max="19" width="5.5" style="344" customWidth="1"/>
    <col min="20" max="20" width="5.1640625" style="344" customWidth="1"/>
    <col min="21" max="22" width="5.1640625" style="366" customWidth="1"/>
    <col min="23" max="33" width="7.33203125" style="366" customWidth="1"/>
    <col min="34" max="16384" width="10.83203125" style="366"/>
  </cols>
  <sheetData>
    <row r="1" spans="2:22" s="344" customFormat="1" ht="25" thickBot="1" x14ac:dyDescent="0.25">
      <c r="C1" s="358"/>
      <c r="D1" s="359"/>
      <c r="E1" s="358"/>
      <c r="F1" s="359"/>
      <c r="G1" s="358"/>
      <c r="H1" s="358"/>
      <c r="I1" s="359"/>
      <c r="J1" s="358"/>
      <c r="K1" s="359"/>
      <c r="L1" s="360"/>
      <c r="M1" s="361"/>
      <c r="N1" s="360"/>
      <c r="O1" s="361"/>
      <c r="P1" s="360"/>
      <c r="Q1" s="362"/>
    </row>
    <row r="2" spans="2:22" s="344" customFormat="1" ht="47" customHeight="1" thickTop="1" x14ac:dyDescent="0.2">
      <c r="B2" s="1212" t="s">
        <v>279</v>
      </c>
      <c r="C2" s="1213"/>
      <c r="D2" s="1214"/>
      <c r="E2" s="1191" t="s">
        <v>238</v>
      </c>
      <c r="G2" s="223"/>
      <c r="H2" s="223"/>
      <c r="I2" s="357"/>
      <c r="J2" s="357"/>
      <c r="K2" s="1197" t="s">
        <v>238</v>
      </c>
      <c r="L2" s="1228" t="s">
        <v>820</v>
      </c>
      <c r="M2" s="1229"/>
      <c r="N2" s="1229"/>
      <c r="O2" s="1229"/>
      <c r="P2" s="1226" t="s">
        <v>125</v>
      </c>
      <c r="Q2" s="1227"/>
      <c r="R2" s="376"/>
      <c r="S2" s="377"/>
    </row>
    <row r="3" spans="2:22" s="344" customFormat="1" ht="44" customHeight="1" thickBot="1" x14ac:dyDescent="0.25">
      <c r="B3" s="1209"/>
      <c r="C3" s="1210"/>
      <c r="D3" s="1211"/>
      <c r="E3" s="1191"/>
      <c r="G3" s="223"/>
      <c r="H3" s="223"/>
      <c r="I3" s="357"/>
      <c r="J3" s="357"/>
      <c r="K3" s="1197"/>
      <c r="L3" s="1209" t="s">
        <v>720</v>
      </c>
      <c r="M3" s="1210"/>
      <c r="N3" s="1210"/>
      <c r="O3" s="1210"/>
      <c r="P3" s="1210"/>
      <c r="Q3" s="1211"/>
      <c r="R3" s="342"/>
      <c r="S3" s="375"/>
    </row>
    <row r="4" spans="2:22" s="344" customFormat="1" ht="42" customHeight="1" thickTop="1" thickBot="1" x14ac:dyDescent="0.25">
      <c r="B4" s="1215" t="s">
        <v>276</v>
      </c>
      <c r="C4" s="1216"/>
      <c r="D4" s="1217"/>
      <c r="E4" s="1192"/>
      <c r="F4" s="373"/>
      <c r="G4" s="223"/>
      <c r="H4" s="223"/>
      <c r="J4" s="358"/>
      <c r="K4" s="1197"/>
      <c r="L4" s="1209"/>
      <c r="M4" s="1210"/>
      <c r="N4" s="1210"/>
      <c r="O4" s="1210"/>
      <c r="P4" s="1210"/>
      <c r="Q4" s="1211"/>
      <c r="R4" s="376"/>
      <c r="S4" s="377"/>
    </row>
    <row r="5" spans="2:22" s="344" customFormat="1" ht="46" customHeight="1" thickTop="1" thickBot="1" x14ac:dyDescent="0.25">
      <c r="E5" s="378" t="s">
        <v>126</v>
      </c>
      <c r="F5" s="374"/>
      <c r="G5" s="223"/>
      <c r="H5" s="223"/>
      <c r="J5" s="358"/>
      <c r="K5" s="1197" t="s">
        <v>138</v>
      </c>
      <c r="L5" s="1223" t="s">
        <v>719</v>
      </c>
      <c r="M5" s="1224"/>
      <c r="N5" s="1224"/>
      <c r="O5" s="1224"/>
      <c r="P5" s="1224"/>
      <c r="Q5" s="1225"/>
      <c r="R5" s="376"/>
      <c r="S5" s="377"/>
    </row>
    <row r="6" spans="2:22" s="344" customFormat="1" ht="34" customHeight="1" thickTop="1" thickBot="1" x14ac:dyDescent="0.25">
      <c r="B6" s="223"/>
      <c r="C6" s="223"/>
      <c r="D6" s="223"/>
      <c r="E6" s="371"/>
      <c r="F6" s="1198" t="s">
        <v>755</v>
      </c>
      <c r="G6" s="1198"/>
      <c r="H6" s="1222" t="s">
        <v>138</v>
      </c>
      <c r="J6" s="358"/>
      <c r="K6" s="1197"/>
      <c r="L6" s="1218" t="s">
        <v>275</v>
      </c>
      <c r="M6" s="1219"/>
      <c r="N6" s="1219"/>
      <c r="O6" s="1219"/>
      <c r="P6" s="1193" t="s">
        <v>45</v>
      </c>
      <c r="Q6" s="1194"/>
      <c r="R6" s="376"/>
      <c r="S6" s="377"/>
    </row>
    <row r="7" spans="2:22" s="344" customFormat="1" ht="34" customHeight="1" thickTop="1" thickBot="1" x14ac:dyDescent="0.25">
      <c r="B7" s="223"/>
      <c r="C7" s="223"/>
      <c r="D7" s="223"/>
      <c r="E7" s="372"/>
      <c r="F7" s="1198"/>
      <c r="G7" s="1198"/>
      <c r="H7" s="1222"/>
      <c r="J7" s="358"/>
      <c r="K7" s="1197"/>
      <c r="L7" s="1220"/>
      <c r="M7" s="1221"/>
      <c r="N7" s="1221"/>
      <c r="O7" s="1221"/>
      <c r="P7" s="1195"/>
      <c r="Q7" s="1196"/>
      <c r="R7" s="376"/>
      <c r="S7" s="377"/>
    </row>
    <row r="8" spans="2:22" s="344" customFormat="1" ht="24" customHeight="1" thickTop="1" x14ac:dyDescent="0.2">
      <c r="B8" s="223"/>
      <c r="C8" s="223"/>
      <c r="D8" s="223"/>
      <c r="E8" s="363"/>
      <c r="F8" s="224"/>
      <c r="G8" s="224"/>
      <c r="H8" s="227"/>
      <c r="I8" s="364"/>
      <c r="J8" s="358"/>
      <c r="K8" s="359"/>
      <c r="L8" s="365"/>
      <c r="M8" s="1208" t="s">
        <v>239</v>
      </c>
      <c r="N8" s="1208"/>
      <c r="O8" s="1208"/>
      <c r="P8" s="1208"/>
      <c r="Q8" s="364"/>
      <c r="R8" s="364"/>
      <c r="S8" s="364"/>
      <c r="T8" s="364"/>
    </row>
    <row r="9" spans="2:22" s="344" customFormat="1" ht="24" customHeight="1" thickBot="1" x14ac:dyDescent="0.25">
      <c r="B9" s="346"/>
      <c r="C9" s="346"/>
      <c r="D9" s="346"/>
      <c r="E9" s="346"/>
      <c r="F9" s="346"/>
      <c r="G9" s="346"/>
      <c r="H9" s="346"/>
      <c r="J9" s="358"/>
      <c r="K9" s="358"/>
      <c r="L9" s="358"/>
      <c r="M9" s="1183"/>
      <c r="N9" s="1183"/>
      <c r="O9" s="1183"/>
      <c r="P9" s="1183"/>
      <c r="Q9" s="358"/>
      <c r="R9" s="358"/>
      <c r="S9" s="358"/>
      <c r="T9" s="358"/>
    </row>
    <row r="10" spans="2:22" s="344" customFormat="1" ht="35" customHeight="1" thickTop="1" thickBot="1" x14ac:dyDescent="0.25">
      <c r="B10" s="358"/>
      <c r="C10" s="359"/>
      <c r="D10" s="358"/>
      <c r="E10" s="359"/>
      <c r="F10" s="358"/>
      <c r="G10" s="359"/>
      <c r="H10" s="359"/>
      <c r="J10" s="1184" t="s">
        <v>14</v>
      </c>
      <c r="K10" s="1184"/>
      <c r="L10" s="345"/>
      <c r="M10" s="1187" t="s">
        <v>15</v>
      </c>
      <c r="N10" s="1187"/>
      <c r="O10" s="1187" t="s">
        <v>16</v>
      </c>
      <c r="P10" s="1187"/>
      <c r="Q10" s="345"/>
      <c r="R10" s="1184" t="s">
        <v>17</v>
      </c>
      <c r="S10" s="1184"/>
      <c r="U10" s="366"/>
      <c r="V10" s="366"/>
    </row>
    <row r="11" spans="2:22" s="344" customFormat="1" ht="24" customHeight="1" thickTop="1" thickBot="1" x14ac:dyDescent="0.25">
      <c r="B11" s="1207" t="s">
        <v>238</v>
      </c>
      <c r="C11" s="1207"/>
      <c r="D11" s="1207"/>
      <c r="E11" s="1207"/>
      <c r="F11" s="1207" t="s">
        <v>138</v>
      </c>
      <c r="G11" s="1207"/>
      <c r="H11" s="1206" t="s">
        <v>240</v>
      </c>
      <c r="J11" s="1185"/>
      <c r="K11" s="1185"/>
      <c r="M11" s="1188"/>
      <c r="N11" s="1188"/>
      <c r="O11" s="1188"/>
      <c r="P11" s="1188"/>
      <c r="R11" s="1186"/>
      <c r="S11" s="1186"/>
      <c r="U11" s="366"/>
      <c r="V11" s="366"/>
    </row>
    <row r="12" spans="2:22" s="344" customFormat="1" ht="35" customHeight="1" thickTop="1" thickBot="1" x14ac:dyDescent="0.25">
      <c r="B12" s="1203" t="s">
        <v>243</v>
      </c>
      <c r="C12" s="1204"/>
      <c r="D12" s="1204"/>
      <c r="E12" s="1205"/>
      <c r="F12" s="1199" t="s">
        <v>44</v>
      </c>
      <c r="G12" s="1201" t="s">
        <v>30</v>
      </c>
      <c r="H12" s="1206"/>
      <c r="J12" s="1181" t="s">
        <v>18</v>
      </c>
      <c r="K12" s="1182"/>
      <c r="M12" s="1190" t="s">
        <v>20</v>
      </c>
      <c r="N12" s="1190"/>
      <c r="O12" s="1179" t="s">
        <v>21</v>
      </c>
      <c r="P12" s="1179"/>
      <c r="U12" s="366"/>
      <c r="V12" s="366"/>
    </row>
    <row r="13" spans="2:22" s="344" customFormat="1" ht="35" customHeight="1" thickTop="1" thickBot="1" x14ac:dyDescent="0.25">
      <c r="B13" s="1203"/>
      <c r="C13" s="1204"/>
      <c r="D13" s="1204"/>
      <c r="E13" s="1205"/>
      <c r="F13" s="1200"/>
      <c r="G13" s="1202"/>
      <c r="H13" s="1206"/>
      <c r="I13" s="359"/>
      <c r="J13" s="1181" t="s">
        <v>19</v>
      </c>
      <c r="K13" s="1182"/>
      <c r="M13" s="1179" t="s">
        <v>22</v>
      </c>
      <c r="N13" s="1179"/>
      <c r="O13" s="1179" t="s">
        <v>23</v>
      </c>
      <c r="P13" s="1179"/>
      <c r="U13" s="366"/>
      <c r="V13" s="366"/>
    </row>
    <row r="14" spans="2:22" s="344" customFormat="1" ht="24" customHeight="1" thickTop="1" thickBot="1" x14ac:dyDescent="0.25">
      <c r="C14" s="358"/>
      <c r="D14" s="359"/>
      <c r="E14" s="1189"/>
      <c r="F14" s="1189"/>
      <c r="G14" s="367"/>
      <c r="H14" s="1206"/>
      <c r="I14" s="367"/>
      <c r="J14" s="1185"/>
      <c r="K14" s="1185"/>
      <c r="M14" s="1180" t="s">
        <v>242</v>
      </c>
      <c r="N14" s="1180"/>
      <c r="O14" s="1180"/>
      <c r="P14" s="1180"/>
      <c r="U14" s="366"/>
      <c r="V14" s="366"/>
    </row>
    <row r="15" spans="2:22" s="344" customFormat="1" ht="35" customHeight="1" thickTop="1" thickBot="1" x14ac:dyDescent="0.25">
      <c r="C15" s="358"/>
      <c r="D15" s="358"/>
      <c r="E15" s="358"/>
      <c r="F15" s="358"/>
      <c r="G15" s="358"/>
      <c r="H15" s="358"/>
      <c r="I15" s="358"/>
      <c r="J15" s="1184" t="s">
        <v>28</v>
      </c>
      <c r="K15" s="1184"/>
      <c r="M15" s="366"/>
      <c r="N15" s="366"/>
      <c r="O15" s="366"/>
      <c r="P15" s="366"/>
      <c r="Q15" s="366"/>
      <c r="R15" s="366"/>
      <c r="S15" s="366"/>
      <c r="U15" s="366"/>
      <c r="V15" s="366"/>
    </row>
    <row r="16" spans="2:22" ht="43" customHeight="1" thickTop="1" x14ac:dyDescent="0.2">
      <c r="F16" s="366"/>
      <c r="G16" s="366"/>
      <c r="H16" s="370"/>
      <c r="I16" s="1178" t="s">
        <v>241</v>
      </c>
      <c r="J16" s="1178"/>
      <c r="K16" s="1178"/>
      <c r="L16" s="1178"/>
      <c r="M16" s="366"/>
      <c r="N16" s="366"/>
      <c r="O16" s="366"/>
      <c r="P16" s="366"/>
      <c r="Q16" s="366"/>
      <c r="R16" s="366"/>
      <c r="S16" s="366"/>
    </row>
    <row r="17" spans="3:19" ht="35" customHeight="1" x14ac:dyDescent="0.2">
      <c r="C17" s="366"/>
      <c r="D17" s="366"/>
      <c r="E17" s="366"/>
      <c r="F17" s="366"/>
      <c r="G17" s="366"/>
      <c r="H17" s="370"/>
      <c r="I17" s="366"/>
      <c r="J17" s="366"/>
      <c r="K17" s="366"/>
      <c r="L17" s="366"/>
      <c r="M17" s="366"/>
      <c r="N17" s="366"/>
      <c r="O17" s="366"/>
      <c r="P17" s="366"/>
      <c r="Q17" s="366"/>
      <c r="R17" s="366"/>
      <c r="S17" s="366"/>
    </row>
    <row r="18" spans="3:19" x14ac:dyDescent="0.2">
      <c r="C18" s="366"/>
      <c r="D18" s="366"/>
      <c r="E18" s="366"/>
      <c r="F18" s="366"/>
      <c r="G18" s="366"/>
      <c r="H18" s="370"/>
      <c r="I18" s="366"/>
      <c r="L18" s="366"/>
      <c r="M18" s="366"/>
      <c r="N18" s="366"/>
      <c r="O18" s="366"/>
      <c r="P18" s="366"/>
      <c r="Q18" s="366"/>
      <c r="R18" s="366"/>
      <c r="S18" s="366"/>
    </row>
    <row r="19" spans="3:19" x14ac:dyDescent="0.2">
      <c r="C19" s="366"/>
      <c r="D19" s="366"/>
      <c r="E19" s="366"/>
      <c r="F19" s="366"/>
      <c r="G19" s="366"/>
      <c r="H19" s="370"/>
      <c r="I19" s="366"/>
      <c r="L19" s="366"/>
      <c r="M19" s="366"/>
      <c r="N19" s="366"/>
      <c r="O19" s="366"/>
      <c r="P19" s="366"/>
      <c r="Q19" s="366"/>
      <c r="R19" s="366"/>
      <c r="S19" s="366"/>
    </row>
    <row r="20" spans="3:19" x14ac:dyDescent="0.2">
      <c r="C20" s="366"/>
      <c r="D20" s="366"/>
      <c r="E20" s="366"/>
      <c r="F20" s="366"/>
      <c r="G20" s="366"/>
      <c r="H20" s="370"/>
      <c r="I20" s="366"/>
      <c r="L20" s="366"/>
      <c r="M20" s="366"/>
      <c r="N20" s="366"/>
      <c r="O20" s="366"/>
      <c r="P20" s="366"/>
      <c r="Q20" s="366"/>
      <c r="R20" s="366"/>
      <c r="S20" s="366"/>
    </row>
    <row r="21" spans="3:19" x14ac:dyDescent="0.2">
      <c r="C21" s="366"/>
      <c r="D21" s="366"/>
      <c r="E21" s="366"/>
      <c r="F21" s="366"/>
      <c r="G21" s="366"/>
      <c r="H21" s="370"/>
      <c r="I21" s="366"/>
      <c r="L21" s="366"/>
      <c r="M21" s="366"/>
      <c r="N21" s="366"/>
      <c r="Q21" s="366"/>
      <c r="R21" s="366"/>
    </row>
    <row r="22" spans="3:19" x14ac:dyDescent="0.2">
      <c r="C22" s="366"/>
      <c r="D22" s="366"/>
      <c r="E22" s="366"/>
      <c r="F22" s="366"/>
      <c r="G22" s="366"/>
      <c r="H22" s="370"/>
      <c r="I22" s="366"/>
      <c r="O22" s="366"/>
      <c r="P22" s="366"/>
      <c r="Q22" s="366"/>
      <c r="R22" s="366"/>
    </row>
    <row r="23" spans="3:19" x14ac:dyDescent="0.2">
      <c r="O23" s="366"/>
      <c r="P23" s="366"/>
      <c r="Q23" s="366"/>
      <c r="R23" s="366"/>
    </row>
  </sheetData>
  <mergeCells count="41">
    <mergeCell ref="K2:K4"/>
    <mergeCell ref="B2:D3"/>
    <mergeCell ref="B4:D4"/>
    <mergeCell ref="L6:O7"/>
    <mergeCell ref="H6:H7"/>
    <mergeCell ref="L5:Q5"/>
    <mergeCell ref="P2:Q2"/>
    <mergeCell ref="L2:O2"/>
    <mergeCell ref="E14:F14"/>
    <mergeCell ref="M12:N12"/>
    <mergeCell ref="O12:P12"/>
    <mergeCell ref="E2:E4"/>
    <mergeCell ref="P6:Q7"/>
    <mergeCell ref="K5:K7"/>
    <mergeCell ref="F6:G7"/>
    <mergeCell ref="F12:F13"/>
    <mergeCell ref="G12:G13"/>
    <mergeCell ref="B12:E13"/>
    <mergeCell ref="M9:N9"/>
    <mergeCell ref="H11:H14"/>
    <mergeCell ref="B11:E11"/>
    <mergeCell ref="F11:G11"/>
    <mergeCell ref="M8:P8"/>
    <mergeCell ref="L3:Q4"/>
    <mergeCell ref="R11:S11"/>
    <mergeCell ref="J10:K10"/>
    <mergeCell ref="M10:N10"/>
    <mergeCell ref="O10:P10"/>
    <mergeCell ref="R10:S10"/>
    <mergeCell ref="O11:P11"/>
    <mergeCell ref="J11:K11"/>
    <mergeCell ref="M11:N11"/>
    <mergeCell ref="I16:L16"/>
    <mergeCell ref="O13:P13"/>
    <mergeCell ref="M14:P14"/>
    <mergeCell ref="J12:K12"/>
    <mergeCell ref="O9:P9"/>
    <mergeCell ref="J15:K15"/>
    <mergeCell ref="J14:K14"/>
    <mergeCell ref="J13:K13"/>
    <mergeCell ref="M13:N13"/>
  </mergeCells>
  <pageMargins left="0.7" right="0.7" top="0.75" bottom="0.75" header="0.3" footer="0.3"/>
  <pageSetup paperSize="9" scale="67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59999389629810485"/>
    <pageSetUpPr fitToPage="1"/>
  </sheetPr>
  <dimension ref="B1:AB19"/>
  <sheetViews>
    <sheetView workbookViewId="0">
      <selection activeCell="W8" sqref="W8"/>
    </sheetView>
  </sheetViews>
  <sheetFormatPr baseColWidth="10" defaultColWidth="10.83203125" defaultRowHeight="24" x14ac:dyDescent="0.2"/>
  <cols>
    <col min="1" max="1" width="0.83203125" style="226" customWidth="1"/>
    <col min="2" max="2" width="6" style="343" customWidth="1"/>
    <col min="3" max="3" width="6" style="219" customWidth="1"/>
    <col min="4" max="4" width="6" style="343" customWidth="1"/>
    <col min="5" max="5" width="6" style="219" customWidth="1"/>
    <col min="6" max="6" width="6" style="343" customWidth="1"/>
    <col min="7" max="7" width="6" style="219" customWidth="1"/>
    <col min="8" max="8" width="6" style="343" customWidth="1"/>
    <col min="9" max="9" width="6" style="219" customWidth="1"/>
    <col min="10" max="10" width="6" style="343" customWidth="1"/>
    <col min="11" max="11" width="6" style="219" customWidth="1"/>
    <col min="12" max="12" width="6" style="343" customWidth="1"/>
    <col min="13" max="13" width="6" style="219" customWidth="1"/>
    <col min="14" max="14" width="7.5" style="343" customWidth="1"/>
    <col min="15" max="15" width="7" style="219" customWidth="1"/>
    <col min="16" max="16" width="7" style="343" customWidth="1"/>
    <col min="17" max="17" width="7" style="219" customWidth="1"/>
    <col min="18" max="18" width="6" style="343" customWidth="1"/>
    <col min="19" max="19" width="6" style="219" customWidth="1"/>
    <col min="20" max="20" width="6" style="343" customWidth="1"/>
    <col min="21" max="21" width="6" style="219" customWidth="1"/>
    <col min="22" max="22" width="5.1640625" style="343" customWidth="1"/>
    <col min="23" max="23" width="5.1640625" style="220" customWidth="1"/>
    <col min="24" max="26" width="8" style="225" customWidth="1"/>
    <col min="27" max="28" width="7.33203125" style="225" customWidth="1"/>
    <col min="29" max="41" width="7.33203125" style="226" customWidth="1"/>
    <col min="42" max="16384" width="10.83203125" style="226"/>
  </cols>
  <sheetData>
    <row r="1" spans="2:28" ht="5" customHeight="1" x14ac:dyDescent="0.2"/>
    <row r="2" spans="2:28" ht="24" customHeight="1" x14ac:dyDescent="0.2">
      <c r="B2" s="1230" t="s">
        <v>0</v>
      </c>
      <c r="C2" s="1230"/>
      <c r="U2" s="220"/>
    </row>
    <row r="3" spans="2:28" ht="24" customHeight="1" x14ac:dyDescent="0.2">
      <c r="D3" s="1231" t="s">
        <v>718</v>
      </c>
      <c r="E3" s="1232"/>
      <c r="F3" s="1232"/>
      <c r="G3" s="1233"/>
      <c r="N3" s="1237" t="s">
        <v>351</v>
      </c>
      <c r="O3" s="1238"/>
      <c r="P3" s="1239" t="s">
        <v>125</v>
      </c>
      <c r="Q3" s="1240"/>
      <c r="R3" s="1241" t="s">
        <v>721</v>
      </c>
      <c r="S3" s="1240"/>
      <c r="U3" s="220"/>
    </row>
    <row r="4" spans="2:28" x14ac:dyDescent="0.2">
      <c r="D4" s="1234"/>
      <c r="E4" s="1235"/>
      <c r="F4" s="1235"/>
      <c r="G4" s="1236"/>
      <c r="N4" s="684" t="s">
        <v>247</v>
      </c>
      <c r="O4" s="1258" t="s">
        <v>274</v>
      </c>
      <c r="P4" s="1258"/>
      <c r="Q4" s="1259"/>
      <c r="R4" s="1242"/>
      <c r="S4" s="1243"/>
      <c r="U4" s="220"/>
    </row>
    <row r="5" spans="2:28" ht="23.25" customHeight="1" x14ac:dyDescent="0.2">
      <c r="D5" s="1234"/>
      <c r="E5" s="1235"/>
      <c r="F5" s="1235"/>
      <c r="G5" s="1236"/>
      <c r="H5" s="1244"/>
      <c r="I5" s="1245"/>
      <c r="N5" s="757" t="s">
        <v>308</v>
      </c>
      <c r="O5" s="1256"/>
      <c r="P5" s="1256"/>
      <c r="Q5" s="1257"/>
      <c r="R5" s="1241" t="s">
        <v>234</v>
      </c>
      <c r="S5" s="1240"/>
      <c r="U5" s="220"/>
    </row>
    <row r="6" spans="2:28" x14ac:dyDescent="0.2">
      <c r="D6" s="221"/>
      <c r="E6" s="221"/>
      <c r="F6" s="221"/>
      <c r="G6" s="222"/>
      <c r="H6" s="1248" t="s">
        <v>229</v>
      </c>
      <c r="I6" s="1249"/>
      <c r="J6" s="1249"/>
      <c r="K6" s="1250"/>
      <c r="N6" s="1237" t="s">
        <v>237</v>
      </c>
      <c r="O6" s="1238"/>
      <c r="P6" s="1238"/>
      <c r="Q6" s="1254"/>
      <c r="R6" s="1234"/>
      <c r="S6" s="1236"/>
      <c r="T6" s="1231" t="s">
        <v>756</v>
      </c>
      <c r="U6" s="1278"/>
    </row>
    <row r="7" spans="2:28" x14ac:dyDescent="0.2">
      <c r="H7" s="1251"/>
      <c r="I7" s="1252"/>
      <c r="J7" s="1252"/>
      <c r="K7" s="1253"/>
      <c r="N7" s="1255"/>
      <c r="O7" s="1256"/>
      <c r="P7" s="1256"/>
      <c r="Q7" s="1257"/>
      <c r="R7" s="1246"/>
      <c r="S7" s="1247"/>
      <c r="T7" s="1279"/>
      <c r="U7" s="1280"/>
    </row>
    <row r="8" spans="2:28" x14ac:dyDescent="0.2">
      <c r="L8" s="1262" t="s">
        <v>14</v>
      </c>
      <c r="M8" s="1263"/>
      <c r="N8" s="1281" t="s">
        <v>15</v>
      </c>
      <c r="O8" s="1282"/>
      <c r="P8" s="1281" t="s">
        <v>16</v>
      </c>
      <c r="Q8" s="1282"/>
      <c r="R8" s="1283" t="s">
        <v>17</v>
      </c>
      <c r="S8" s="1284"/>
      <c r="U8" s="220"/>
    </row>
    <row r="9" spans="2:28" x14ac:dyDescent="0.2">
      <c r="D9" s="1267" t="s">
        <v>35</v>
      </c>
      <c r="E9" s="1290"/>
      <c r="F9" s="1290"/>
      <c r="G9" s="1268"/>
      <c r="H9" s="1260" t="s">
        <v>230</v>
      </c>
      <c r="I9" s="1249"/>
      <c r="J9" s="1249"/>
      <c r="K9" s="1250"/>
      <c r="L9" s="1262" t="s">
        <v>18</v>
      </c>
      <c r="M9" s="1263"/>
      <c r="N9" s="1264" t="s">
        <v>20</v>
      </c>
      <c r="O9" s="1264"/>
      <c r="P9" s="1265" t="s">
        <v>21</v>
      </c>
      <c r="Q9" s="1266"/>
      <c r="R9" s="1267" t="s">
        <v>30</v>
      </c>
      <c r="S9" s="1268"/>
      <c r="T9" s="1267" t="s">
        <v>44</v>
      </c>
      <c r="U9" s="1268"/>
    </row>
    <row r="10" spans="2:28" x14ac:dyDescent="0.2">
      <c r="D10" s="1286"/>
      <c r="E10" s="1291"/>
      <c r="F10" s="1291"/>
      <c r="G10" s="1287"/>
      <c r="H10" s="1261"/>
      <c r="I10" s="1252"/>
      <c r="J10" s="1252"/>
      <c r="K10" s="1253"/>
      <c r="L10" s="1262" t="s">
        <v>19</v>
      </c>
      <c r="M10" s="1263"/>
      <c r="N10" s="1271" t="s">
        <v>22</v>
      </c>
      <c r="O10" s="1272"/>
      <c r="P10" s="1264" t="s">
        <v>23</v>
      </c>
      <c r="Q10" s="1264"/>
      <c r="R10" s="1269"/>
      <c r="S10" s="1270"/>
      <c r="T10" s="1286"/>
      <c r="U10" s="1287"/>
    </row>
    <row r="11" spans="2:28" x14ac:dyDescent="0.2">
      <c r="L11" s="1304" t="s">
        <v>28</v>
      </c>
      <c r="M11" s="1305"/>
      <c r="N11" s="1238" t="s">
        <v>232</v>
      </c>
      <c r="O11" s="1238"/>
      <c r="P11" s="1238"/>
      <c r="Q11" s="1254"/>
      <c r="R11" s="1274" t="s">
        <v>233</v>
      </c>
      <c r="S11" s="1275"/>
      <c r="U11" s="220"/>
    </row>
    <row r="12" spans="2:28" x14ac:dyDescent="0.2">
      <c r="H12" s="1245"/>
      <c r="I12" s="1245"/>
      <c r="J12" s="1245"/>
      <c r="K12" s="1245"/>
      <c r="L12" s="1306"/>
      <c r="M12" s="1307"/>
      <c r="N12" s="1256"/>
      <c r="O12" s="1256"/>
      <c r="P12" s="1256"/>
      <c r="Q12" s="1257"/>
      <c r="R12" s="1276"/>
      <c r="S12" s="1277"/>
      <c r="U12" s="220"/>
    </row>
    <row r="13" spans="2:28" x14ac:dyDescent="0.2">
      <c r="D13" s="1292" t="s">
        <v>2</v>
      </c>
      <c r="E13" s="1293"/>
      <c r="F13" s="1293"/>
      <c r="G13" s="1294"/>
      <c r="H13" s="1292" t="s">
        <v>231</v>
      </c>
      <c r="I13" s="1293"/>
      <c r="J13" s="1293"/>
      <c r="K13" s="1294"/>
      <c r="N13" s="1295" t="s">
        <v>45</v>
      </c>
      <c r="O13" s="1296"/>
      <c r="P13" s="1296"/>
      <c r="Q13" s="1297"/>
      <c r="U13" s="220"/>
    </row>
    <row r="14" spans="2:28" s="118" customFormat="1" ht="5" customHeight="1" x14ac:dyDescent="0.15">
      <c r="B14" s="119"/>
      <c r="C14" s="120"/>
      <c r="D14" s="119"/>
      <c r="E14" s="120"/>
      <c r="F14" s="119"/>
      <c r="G14" s="120"/>
      <c r="H14" s="119"/>
      <c r="I14" s="119"/>
      <c r="J14" s="119"/>
      <c r="K14" s="119"/>
      <c r="L14" s="119"/>
      <c r="M14" s="120"/>
      <c r="N14" s="119"/>
      <c r="O14" s="119"/>
      <c r="P14" s="119"/>
      <c r="Q14" s="119"/>
      <c r="R14" s="119"/>
      <c r="S14" s="120"/>
      <c r="T14" s="119"/>
      <c r="U14" s="120"/>
      <c r="V14" s="119"/>
      <c r="W14" s="120"/>
      <c r="X14" s="119"/>
      <c r="Y14" s="119"/>
      <c r="Z14" s="119"/>
      <c r="AA14" s="119"/>
      <c r="AB14" s="119"/>
    </row>
    <row r="15" spans="2:28" ht="19" customHeight="1" x14ac:dyDescent="0.2">
      <c r="B15" s="1298" t="s">
        <v>92</v>
      </c>
      <c r="C15" s="1299"/>
      <c r="D15" s="1273" t="s">
        <v>91</v>
      </c>
      <c r="E15" s="1273"/>
      <c r="F15" s="1273"/>
      <c r="G15" s="1273"/>
      <c r="H15" s="1273" t="s">
        <v>128</v>
      </c>
      <c r="I15" s="1273"/>
      <c r="J15" s="1300" t="s">
        <v>235</v>
      </c>
      <c r="K15" s="1301"/>
      <c r="L15" s="1302" t="s">
        <v>236</v>
      </c>
      <c r="M15" s="1303"/>
      <c r="N15" s="1299" t="s">
        <v>128</v>
      </c>
      <c r="O15" s="1299"/>
      <c r="P15" s="1273" t="s">
        <v>91</v>
      </c>
      <c r="Q15" s="1273"/>
      <c r="R15" s="1273" t="s">
        <v>92</v>
      </c>
      <c r="S15" s="1273"/>
      <c r="T15" s="1273" t="s">
        <v>93</v>
      </c>
      <c r="U15" s="1285"/>
    </row>
    <row r="16" spans="2:28" ht="16" x14ac:dyDescent="0.2">
      <c r="B16" s="1288" t="str">
        <f>'1.PToPI plain'!B40:U40</f>
        <v>PToPI, Periodic Table of Performance Instruments: 29 measures and 28 metrics. Online: github.com/gurol/ptopi by (CC) Gürol CANBEK v4.4.13, July 2020</v>
      </c>
      <c r="C16" s="1288"/>
      <c r="D16" s="1288"/>
      <c r="E16" s="1288"/>
      <c r="F16" s="1288"/>
      <c r="G16" s="1288"/>
      <c r="H16" s="1288"/>
      <c r="I16" s="1288"/>
      <c r="J16" s="1288"/>
      <c r="K16" s="1288"/>
      <c r="L16" s="1288"/>
      <c r="M16" s="1288"/>
      <c r="N16" s="1288"/>
      <c r="O16" s="1288"/>
      <c r="P16" s="1288"/>
      <c r="Q16" s="1288"/>
      <c r="R16" s="1288"/>
      <c r="S16" s="1288"/>
      <c r="T16" s="1288"/>
      <c r="U16" s="1288"/>
      <c r="V16" s="753"/>
      <c r="W16" s="753"/>
      <c r="X16" s="355"/>
      <c r="Y16" s="355"/>
      <c r="Z16" s="355"/>
      <c r="AA16" s="355"/>
    </row>
    <row r="17" spans="2:28" ht="16" x14ac:dyDescent="0.2">
      <c r="B17" s="1289" t="str">
        <f>'1.PToPI plain'!B41:K41</f>
        <v>PToPI by Gürol Canbek is licensed under CC BY-NC-ND 4.0</v>
      </c>
      <c r="C17" s="1289"/>
      <c r="D17" s="1289"/>
      <c r="E17" s="1289"/>
      <c r="F17" s="1289"/>
      <c r="G17" s="1289"/>
      <c r="H17" s="1289"/>
      <c r="I17" s="1289"/>
      <c r="J17" s="1289"/>
      <c r="K17" s="1289"/>
      <c r="L17" s="754"/>
      <c r="M17" s="754"/>
      <c r="N17" s="532" t="s">
        <v>423</v>
      </c>
      <c r="O17" s="754"/>
      <c r="P17" s="754"/>
      <c r="Q17" s="754"/>
      <c r="R17" s="754"/>
      <c r="S17" s="754"/>
      <c r="T17" s="754"/>
      <c r="U17" s="754"/>
      <c r="V17" s="754"/>
      <c r="W17" s="754"/>
      <c r="X17" s="356"/>
      <c r="Y17" s="356"/>
      <c r="Z17" s="356"/>
      <c r="AA17" s="356"/>
    </row>
    <row r="19" spans="2:28" x14ac:dyDescent="0.2">
      <c r="S19" s="343"/>
      <c r="T19" s="220"/>
      <c r="U19" s="225"/>
      <c r="V19" s="225"/>
      <c r="W19" s="225"/>
      <c r="Z19" s="226"/>
      <c r="AA19" s="226"/>
      <c r="AB19" s="226"/>
    </row>
  </sheetData>
  <mergeCells count="44">
    <mergeCell ref="B16:U16"/>
    <mergeCell ref="B17:K17"/>
    <mergeCell ref="D9:G10"/>
    <mergeCell ref="D13:G13"/>
    <mergeCell ref="H12:I12"/>
    <mergeCell ref="J12:K12"/>
    <mergeCell ref="H13:K13"/>
    <mergeCell ref="N13:Q13"/>
    <mergeCell ref="B15:C15"/>
    <mergeCell ref="D15:G15"/>
    <mergeCell ref="H15:I15"/>
    <mergeCell ref="J15:K15"/>
    <mergeCell ref="L15:M15"/>
    <mergeCell ref="N15:O15"/>
    <mergeCell ref="L11:M12"/>
    <mergeCell ref="N11:Q12"/>
    <mergeCell ref="P15:Q15"/>
    <mergeCell ref="R11:S12"/>
    <mergeCell ref="T6:U7"/>
    <mergeCell ref="L8:M8"/>
    <mergeCell ref="N8:O8"/>
    <mergeCell ref="P8:Q8"/>
    <mergeCell ref="R8:S8"/>
    <mergeCell ref="R15:S15"/>
    <mergeCell ref="T15:U15"/>
    <mergeCell ref="T9:U10"/>
    <mergeCell ref="H9:K10"/>
    <mergeCell ref="L9:M9"/>
    <mergeCell ref="N9:O9"/>
    <mergeCell ref="P9:Q9"/>
    <mergeCell ref="R9:S10"/>
    <mergeCell ref="L10:M10"/>
    <mergeCell ref="N10:O10"/>
    <mergeCell ref="P10:Q10"/>
    <mergeCell ref="B2:C2"/>
    <mergeCell ref="D3:G5"/>
    <mergeCell ref="N3:O3"/>
    <mergeCell ref="P3:Q3"/>
    <mergeCell ref="R3:S4"/>
    <mergeCell ref="H5:I5"/>
    <mergeCell ref="R5:S7"/>
    <mergeCell ref="H6:K7"/>
    <mergeCell ref="N6:Q7"/>
    <mergeCell ref="O4:Q5"/>
  </mergeCells>
  <hyperlinks>
    <hyperlink ref="N17" location="'licence for use'!A1" display="See &quot;Licence for use&quot;" xr:uid="{00000000-0004-0000-0700-000000000000}"/>
  </hyperlinks>
  <pageMargins left="0.7" right="0.7" top="0.75" bottom="0.75" header="0.3" footer="0.3"/>
  <pageSetup paperSize="9" scale="67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Çalışma Sayfaları</vt:lpstr>
      </vt:variant>
      <vt:variant>
        <vt:i4>14</vt:i4>
      </vt:variant>
      <vt:variant>
        <vt:lpstr>Adlandırılmış Aralıklar</vt:lpstr>
      </vt:variant>
      <vt:variant>
        <vt:i4>17</vt:i4>
      </vt:variant>
    </vt:vector>
  </HeadingPairs>
  <TitlesOfParts>
    <vt:vector size="31" baseType="lpstr">
      <vt:lpstr>1.PToPI plain</vt:lpstr>
      <vt:lpstr>2.PToPI full</vt:lpstr>
      <vt:lpstr>3.1.instrument list</vt:lpstr>
      <vt:lpstr>3.2.error instruments</vt:lpstr>
      <vt:lpstr>4.1.BenchMetrics Prob</vt:lpstr>
      <vt:lpstr>4.2.simulations</vt:lpstr>
      <vt:lpstr>Sheet1</vt:lpstr>
      <vt:lpstr>0.1.PToPI geometry groups</vt:lpstr>
      <vt:lpstr>0.2.PToPI geometry levels (BW)</vt:lpstr>
      <vt:lpstr>0.3.PToPI geometry levels</vt:lpstr>
      <vt:lpstr>0.4.PToPI (names only)</vt:lpstr>
      <vt:lpstr>0.5.PToPI (names with numbers)</vt:lpstr>
      <vt:lpstr>0.6.measures &amp; additivity</vt:lpstr>
      <vt:lpstr>licence for use</vt:lpstr>
      <vt:lpstr>CN</vt:lpstr>
      <vt:lpstr>CP</vt:lpstr>
      <vt:lpstr>End_i</vt:lpstr>
      <vt:lpstr>MaxP</vt:lpstr>
      <vt:lpstr>Mean_c</vt:lpstr>
      <vt:lpstr>Mean_p</vt:lpstr>
      <vt:lpstr>MinP</vt:lpstr>
      <vt:lpstr>MinTNR</vt:lpstr>
      <vt:lpstr>MinTPR</vt:lpstr>
      <vt:lpstr>Range</vt:lpstr>
      <vt:lpstr>RangeA</vt:lpstr>
      <vt:lpstr>RangeB</vt:lpstr>
      <vt:lpstr>Start_i</vt:lpstr>
      <vt:lpstr>THETA</vt:lpstr>
      <vt:lpstr>'0.5.PToPI (names with numbers)'!Yazdırma_Alanı</vt:lpstr>
      <vt:lpstr>'1.PToPI plain'!Yazdırma_Alanı</vt:lpstr>
      <vt:lpstr>'2.PToPI full'!Yazdırma_Alanı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Gürol Canbek</dc:creator>
  <cp:lastModifiedBy>Elif Ca</cp:lastModifiedBy>
  <cp:lastPrinted>2022-09-18T14:11:11Z</cp:lastPrinted>
  <dcterms:created xsi:type="dcterms:W3CDTF">2019-11-02T10:51:43Z</dcterms:created>
  <dcterms:modified xsi:type="dcterms:W3CDTF">2022-09-18T14:12:48Z</dcterms:modified>
</cp:coreProperties>
</file>