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ingCEO\Desktop\PDF\MSCFE WorldQuant\Statistics\Case study 2\"/>
    </mc:Choice>
  </mc:AlternateContent>
  <xr:revisionPtr revIDLastSave="0" documentId="12_ncr:500000_{F8DA2410-E376-4560-8B7B-7D819CEA7B82}" xr6:coauthVersionLast="31" xr6:coauthVersionMax="31" xr10:uidLastSave="{00000000-0000-0000-0000-000000000000}"/>
  <bookViews>
    <workbookView xWindow="0" yWindow="0" windowWidth="20490" windowHeight="7695" firstSheet="6" activeTab="12" xr2:uid="{00000000-000D-0000-FFFF-FFFF00000000}"/>
  </bookViews>
  <sheets>
    <sheet name="CSCO" sheetId="15" r:id="rId1"/>
    <sheet name="EBAY" sheetId="6" r:id="rId2"/>
    <sheet name="GOOG" sheetId="8" r:id="rId3"/>
    <sheet name="MSFT" sheetId="4" r:id="rId4"/>
    <sheet name="ORCL" sheetId="7" r:id="rId5"/>
    <sheet name="Data" sheetId="14" r:id="rId6"/>
    <sheet name="Portfolio_1" sheetId="16" r:id="rId7"/>
    <sheet name="Portfolio_2" sheetId="27" r:id="rId8"/>
    <sheet name="Portfolio_3" sheetId="28" r:id="rId9"/>
    <sheet name="Portfolio_4" sheetId="29" r:id="rId10"/>
    <sheet name="Portfolio_5" sheetId="30" r:id="rId11"/>
    <sheet name="Portfolio_6" sheetId="31" r:id="rId12"/>
    <sheet name="Portfolio_7" sheetId="32" r:id="rId13"/>
    <sheet name="Portfolio_8" sheetId="33" r:id="rId14"/>
    <sheet name="Portfolio_9" sheetId="34" r:id="rId15"/>
    <sheet name="Portfolio_10" sheetId="35" r:id="rId16"/>
  </sheets>
  <calcPr calcId="162913"/>
</workbook>
</file>

<file path=xl/calcChain.xml><?xml version="1.0" encoding="utf-8"?>
<calcChain xmlns="http://schemas.openxmlformats.org/spreadsheetml/2006/main">
  <c r="B41" i="35" l="1"/>
  <c r="B40" i="35"/>
  <c r="B39" i="35"/>
  <c r="A36" i="35"/>
  <c r="A35" i="35"/>
  <c r="A34" i="35" a="1"/>
  <c r="A34" i="35" s="1"/>
  <c r="A39" i="35" s="1" a="1"/>
  <c r="D33" i="35"/>
  <c r="C33" i="35"/>
  <c r="B33" i="35" a="1"/>
  <c r="B33" i="35" s="1"/>
  <c r="D16" i="35"/>
  <c r="C16" i="35"/>
  <c r="B16" i="35"/>
  <c r="D15" i="35"/>
  <c r="D28" i="35" s="1"/>
  <c r="C15" i="35"/>
  <c r="C27" i="35" s="1"/>
  <c r="B15" i="35"/>
  <c r="B30" i="35" s="1"/>
  <c r="E13" i="35"/>
  <c r="E12" i="35"/>
  <c r="E11" i="35"/>
  <c r="E10" i="35"/>
  <c r="E9" i="35"/>
  <c r="E8" i="35"/>
  <c r="E7" i="35"/>
  <c r="E6" i="35"/>
  <c r="E5" i="35"/>
  <c r="E4" i="35"/>
  <c r="E3" i="35"/>
  <c r="F13" i="35" s="1"/>
  <c r="B41" i="34"/>
  <c r="B40" i="34"/>
  <c r="B39" i="34"/>
  <c r="A34" i="34" a="1"/>
  <c r="A34" i="34" s="1"/>
  <c r="B33" i="34" a="1"/>
  <c r="B33" i="34" s="1"/>
  <c r="D16" i="34"/>
  <c r="C16" i="34"/>
  <c r="B16" i="34"/>
  <c r="D15" i="34"/>
  <c r="D28" i="34" s="1"/>
  <c r="C15" i="34"/>
  <c r="C27" i="34" s="1"/>
  <c r="B15" i="34"/>
  <c r="B30" i="34" s="1"/>
  <c r="E13" i="34"/>
  <c r="E12" i="34"/>
  <c r="E11" i="34"/>
  <c r="E10" i="34"/>
  <c r="E9" i="34"/>
  <c r="E8" i="34"/>
  <c r="E7" i="34"/>
  <c r="E6" i="34"/>
  <c r="E5" i="34"/>
  <c r="E4" i="34"/>
  <c r="E3" i="34"/>
  <c r="F13" i="34" s="1"/>
  <c r="B41" i="33"/>
  <c r="B40" i="33"/>
  <c r="B39" i="33"/>
  <c r="A34" i="33" a="1"/>
  <c r="A34" i="33" s="1"/>
  <c r="C33" i="33"/>
  <c r="B33" i="33" a="1"/>
  <c r="B33" i="33" s="1"/>
  <c r="D27" i="33"/>
  <c r="D24" i="33"/>
  <c r="D21" i="33"/>
  <c r="B21" i="33"/>
  <c r="D16" i="33"/>
  <c r="C16" i="33"/>
  <c r="B16" i="33"/>
  <c r="D15" i="33"/>
  <c r="D28" i="33" s="1"/>
  <c r="C15" i="33"/>
  <c r="C27" i="33" s="1"/>
  <c r="B15" i="33"/>
  <c r="B30" i="33" s="1"/>
  <c r="E13" i="33"/>
  <c r="E12" i="33"/>
  <c r="E11" i="33"/>
  <c r="E10" i="33"/>
  <c r="E9" i="33"/>
  <c r="E8" i="33"/>
  <c r="E7" i="33"/>
  <c r="E6" i="33"/>
  <c r="E5" i="33"/>
  <c r="E4" i="33"/>
  <c r="E3" i="33"/>
  <c r="B41" i="32"/>
  <c r="B40" i="32"/>
  <c r="B39" i="32"/>
  <c r="A34" i="32" a="1"/>
  <c r="A34" i="32" s="1"/>
  <c r="C33" i="32"/>
  <c r="B33" i="32" a="1"/>
  <c r="B33" i="32" s="1"/>
  <c r="D16" i="32"/>
  <c r="C16" i="32"/>
  <c r="B16" i="32"/>
  <c r="D15" i="32"/>
  <c r="D28" i="32" s="1"/>
  <c r="C15" i="32"/>
  <c r="C27" i="32" s="1"/>
  <c r="B15" i="32"/>
  <c r="B30" i="32" s="1"/>
  <c r="E13" i="32"/>
  <c r="E12" i="32"/>
  <c r="E11" i="32"/>
  <c r="E10" i="32"/>
  <c r="E9" i="32"/>
  <c r="E8" i="32"/>
  <c r="E7" i="32"/>
  <c r="E6" i="32"/>
  <c r="E5" i="32"/>
  <c r="E4" i="32"/>
  <c r="E3" i="32"/>
  <c r="B41" i="31"/>
  <c r="B40" i="31"/>
  <c r="B39" i="31"/>
  <c r="A34" i="31" a="1"/>
  <c r="A34" i="31" s="1"/>
  <c r="C33" i="31"/>
  <c r="B33" i="31" a="1"/>
  <c r="B33" i="31" s="1"/>
  <c r="D16" i="31"/>
  <c r="C16" i="31"/>
  <c r="B16" i="31"/>
  <c r="D15" i="31"/>
  <c r="D28" i="31" s="1"/>
  <c r="C15" i="31"/>
  <c r="C27" i="31" s="1"/>
  <c r="B15" i="31"/>
  <c r="B30" i="31" s="1"/>
  <c r="E13" i="31"/>
  <c r="E12" i="31"/>
  <c r="E11" i="31"/>
  <c r="E10" i="31"/>
  <c r="E9" i="31"/>
  <c r="E8" i="31"/>
  <c r="E7" i="31"/>
  <c r="E6" i="31"/>
  <c r="E5" i="31"/>
  <c r="E4" i="31"/>
  <c r="E3" i="31"/>
  <c r="F13" i="31" s="1"/>
  <c r="B41" i="30"/>
  <c r="B40" i="30"/>
  <c r="B39" i="30"/>
  <c r="A34" i="30" a="1"/>
  <c r="A34" i="30" s="1"/>
  <c r="C33" i="30"/>
  <c r="B33" i="30" a="1"/>
  <c r="B33" i="30" s="1"/>
  <c r="D16" i="30"/>
  <c r="C16" i="30"/>
  <c r="B16" i="30"/>
  <c r="D15" i="30"/>
  <c r="D28" i="30" s="1"/>
  <c r="C15" i="30"/>
  <c r="C27" i="30" s="1"/>
  <c r="B15" i="30"/>
  <c r="B30" i="30" s="1"/>
  <c r="E13" i="30"/>
  <c r="E12" i="30"/>
  <c r="E11" i="30"/>
  <c r="E10" i="30"/>
  <c r="E9" i="30"/>
  <c r="E8" i="30"/>
  <c r="E7" i="30"/>
  <c r="E6" i="30"/>
  <c r="E5" i="30"/>
  <c r="E4" i="30"/>
  <c r="E3" i="30"/>
  <c r="F13" i="30" s="1"/>
  <c r="B41" i="29"/>
  <c r="B40" i="29"/>
  <c r="B39" i="29"/>
  <c r="A34" i="29" a="1"/>
  <c r="A34" i="29" s="1"/>
  <c r="C33" i="29"/>
  <c r="B33" i="29" a="1"/>
  <c r="B33" i="29" s="1"/>
  <c r="B29" i="29"/>
  <c r="B25" i="29"/>
  <c r="B21" i="29"/>
  <c r="D16" i="29"/>
  <c r="C16" i="29"/>
  <c r="B16" i="29"/>
  <c r="D15" i="29"/>
  <c r="D28" i="29" s="1"/>
  <c r="C15" i="29"/>
  <c r="C27" i="29" s="1"/>
  <c r="B15" i="29"/>
  <c r="B30" i="29" s="1"/>
  <c r="E13" i="29"/>
  <c r="E12" i="29"/>
  <c r="E11" i="29"/>
  <c r="E10" i="29"/>
  <c r="E9" i="29"/>
  <c r="E8" i="29"/>
  <c r="E7" i="29"/>
  <c r="E6" i="29"/>
  <c r="E5" i="29"/>
  <c r="E4" i="29"/>
  <c r="E3" i="29"/>
  <c r="F13" i="29" s="1"/>
  <c r="B41" i="28"/>
  <c r="B40" i="28"/>
  <c r="B39" i="28"/>
  <c r="A34" i="28" a="1"/>
  <c r="A34" i="28" s="1"/>
  <c r="C33" i="28"/>
  <c r="B33" i="28" a="1"/>
  <c r="B33" i="28" s="1"/>
  <c r="D29" i="28"/>
  <c r="D27" i="28"/>
  <c r="D25" i="28"/>
  <c r="D23" i="28"/>
  <c r="D21" i="28"/>
  <c r="D16" i="28"/>
  <c r="C16" i="28"/>
  <c r="B16" i="28"/>
  <c r="D15" i="28"/>
  <c r="D30" i="28" s="1"/>
  <c r="C15" i="28"/>
  <c r="C27" i="28" s="1"/>
  <c r="B15" i="28"/>
  <c r="B30" i="28" s="1"/>
  <c r="E13" i="28"/>
  <c r="E12" i="28"/>
  <c r="E11" i="28"/>
  <c r="E10" i="28"/>
  <c r="E9" i="28"/>
  <c r="E8" i="28"/>
  <c r="E7" i="28"/>
  <c r="E6" i="28"/>
  <c r="E5" i="28"/>
  <c r="E4" i="28"/>
  <c r="E3" i="28"/>
  <c r="B41" i="27"/>
  <c r="B40" i="27"/>
  <c r="B39" i="27"/>
  <c r="A34" i="27" a="1"/>
  <c r="A36" i="27" s="1"/>
  <c r="B33" i="27" a="1"/>
  <c r="D33" i="27" s="1"/>
  <c r="D16" i="27"/>
  <c r="C16" i="27"/>
  <c r="B16" i="27"/>
  <c r="D15" i="27"/>
  <c r="D30" i="27" s="1"/>
  <c r="C15" i="27"/>
  <c r="C29" i="27" s="1"/>
  <c r="B15" i="27"/>
  <c r="B28" i="27" s="1"/>
  <c r="E13" i="27"/>
  <c r="E12" i="27"/>
  <c r="E11" i="27"/>
  <c r="E10" i="27"/>
  <c r="E9" i="27"/>
  <c r="E8" i="27"/>
  <c r="E7" i="27"/>
  <c r="E6" i="27"/>
  <c r="E5" i="27"/>
  <c r="E4" i="27"/>
  <c r="E3" i="27"/>
  <c r="E4" i="16"/>
  <c r="E5" i="16"/>
  <c r="E6" i="16"/>
  <c r="E7" i="16"/>
  <c r="E8" i="16"/>
  <c r="E9" i="16"/>
  <c r="E10" i="16"/>
  <c r="E11" i="16"/>
  <c r="E12" i="16"/>
  <c r="E13" i="16"/>
  <c r="E3" i="16"/>
  <c r="F3" i="16" s="1"/>
  <c r="B41" i="16"/>
  <c r="B40" i="16"/>
  <c r="B39" i="16"/>
  <c r="A34" i="16" a="1"/>
  <c r="A34" i="16" s="1"/>
  <c r="B33" i="16" a="1"/>
  <c r="B33" i="16" s="1"/>
  <c r="D16" i="16"/>
  <c r="C16" i="16"/>
  <c r="B16" i="16"/>
  <c r="D15" i="16"/>
  <c r="D30" i="16" s="1"/>
  <c r="C15" i="16"/>
  <c r="C27" i="16" s="1"/>
  <c r="B15" i="16"/>
  <c r="B30" i="16" s="1"/>
  <c r="F4" i="34" l="1"/>
  <c r="D23" i="35"/>
  <c r="D27" i="35"/>
  <c r="B20" i="35"/>
  <c r="B24" i="35"/>
  <c r="B28" i="35"/>
  <c r="B21" i="35"/>
  <c r="B25" i="35"/>
  <c r="B29" i="35"/>
  <c r="B23" i="35"/>
  <c r="B27" i="35"/>
  <c r="A35" i="33"/>
  <c r="D21" i="34"/>
  <c r="B27" i="34"/>
  <c r="H6" i="34"/>
  <c r="B23" i="34"/>
  <c r="C28" i="34"/>
  <c r="F12" i="34"/>
  <c r="C24" i="34"/>
  <c r="D29" i="34"/>
  <c r="G3" i="34"/>
  <c r="I5" i="34"/>
  <c r="C20" i="34"/>
  <c r="D25" i="34"/>
  <c r="B25" i="33"/>
  <c r="B29" i="33"/>
  <c r="F13" i="33"/>
  <c r="B23" i="33"/>
  <c r="D25" i="33"/>
  <c r="D29" i="33"/>
  <c r="D20" i="33"/>
  <c r="D23" i="33"/>
  <c r="B27" i="33"/>
  <c r="A35" i="32"/>
  <c r="F13" i="32"/>
  <c r="D23" i="32"/>
  <c r="B21" i="32"/>
  <c r="B25" i="32"/>
  <c r="B29" i="32"/>
  <c r="D20" i="32"/>
  <c r="D27" i="32"/>
  <c r="D21" i="32"/>
  <c r="D25" i="32"/>
  <c r="D29" i="32"/>
  <c r="B23" i="32"/>
  <c r="B27" i="32"/>
  <c r="A35" i="31"/>
  <c r="B23" i="31"/>
  <c r="B27" i="31"/>
  <c r="D23" i="31"/>
  <c r="D27" i="31"/>
  <c r="B21" i="31"/>
  <c r="B25" i="31"/>
  <c r="B29" i="31"/>
  <c r="D21" i="31"/>
  <c r="D25" i="31"/>
  <c r="D29" i="31"/>
  <c r="A35" i="30"/>
  <c r="H4" i="30"/>
  <c r="B21" i="30"/>
  <c r="B25" i="30"/>
  <c r="B29" i="30"/>
  <c r="D21" i="30"/>
  <c r="D25" i="30"/>
  <c r="D29" i="30"/>
  <c r="B23" i="30"/>
  <c r="B27" i="30"/>
  <c r="D23" i="30"/>
  <c r="D27" i="30"/>
  <c r="A35" i="29"/>
  <c r="D27" i="29"/>
  <c r="D21" i="29"/>
  <c r="D25" i="29"/>
  <c r="D29" i="29"/>
  <c r="D23" i="29"/>
  <c r="B23" i="29"/>
  <c r="B27" i="29"/>
  <c r="A35" i="28"/>
  <c r="D20" i="28"/>
  <c r="D24" i="28"/>
  <c r="D28" i="28"/>
  <c r="F13" i="28"/>
  <c r="B21" i="28"/>
  <c r="B25" i="28"/>
  <c r="B29" i="28"/>
  <c r="H13" i="27"/>
  <c r="F13" i="27"/>
  <c r="D20" i="27"/>
  <c r="C24" i="27"/>
  <c r="C27" i="27"/>
  <c r="G3" i="27"/>
  <c r="D21" i="27"/>
  <c r="D24" i="27"/>
  <c r="C28" i="27"/>
  <c r="B23" i="27"/>
  <c r="D25" i="27"/>
  <c r="D28" i="27"/>
  <c r="F4" i="27"/>
  <c r="C20" i="27"/>
  <c r="C23" i="27"/>
  <c r="B27" i="27"/>
  <c r="D29" i="27"/>
  <c r="A39" i="35"/>
  <c r="A41" i="35"/>
  <c r="A40" i="35"/>
  <c r="I3" i="35"/>
  <c r="G5" i="35"/>
  <c r="H8" i="35"/>
  <c r="F10" i="35"/>
  <c r="I11" i="35"/>
  <c r="G13" i="35"/>
  <c r="F38" i="35" a="1"/>
  <c r="F38" i="35" s="1"/>
  <c r="H5" i="35"/>
  <c r="H9" i="35"/>
  <c r="F11" i="35"/>
  <c r="I12" i="35"/>
  <c r="C21" i="35"/>
  <c r="D22" i="35"/>
  <c r="C25" i="35"/>
  <c r="D26" i="35"/>
  <c r="G3" i="35"/>
  <c r="F4" i="35"/>
  <c r="I5" i="35"/>
  <c r="H6" i="35"/>
  <c r="G7" i="35"/>
  <c r="F8" i="35"/>
  <c r="I9" i="35"/>
  <c r="H10" i="35"/>
  <c r="G11" i="35"/>
  <c r="F12" i="35"/>
  <c r="I13" i="35"/>
  <c r="C20" i="35"/>
  <c r="D21" i="35"/>
  <c r="C24" i="35"/>
  <c r="D25" i="35"/>
  <c r="C28" i="35"/>
  <c r="D29" i="35"/>
  <c r="H4" i="35"/>
  <c r="F6" i="35"/>
  <c r="I7" i="35"/>
  <c r="G9" i="35"/>
  <c r="H12" i="35"/>
  <c r="C22" i="35"/>
  <c r="C26" i="35"/>
  <c r="C30" i="35"/>
  <c r="F3" i="35"/>
  <c r="I4" i="35"/>
  <c r="G6" i="35"/>
  <c r="F7" i="35"/>
  <c r="I8" i="35"/>
  <c r="G10" i="35"/>
  <c r="H13" i="35"/>
  <c r="C29" i="35"/>
  <c r="D30" i="35"/>
  <c r="H3" i="35"/>
  <c r="G4" i="35"/>
  <c r="F5" i="35"/>
  <c r="I6" i="35"/>
  <c r="H7" i="35"/>
  <c r="G8" i="35"/>
  <c r="F9" i="35"/>
  <c r="I10" i="35"/>
  <c r="H11" i="35"/>
  <c r="G12" i="35"/>
  <c r="D20" i="35"/>
  <c r="B22" i="35"/>
  <c r="C23" i="35"/>
  <c r="D24" i="35"/>
  <c r="B26" i="35"/>
  <c r="B34" i="35" s="1" a="1"/>
  <c r="F8" i="34"/>
  <c r="I3" i="34"/>
  <c r="H4" i="34"/>
  <c r="G5" i="34"/>
  <c r="F6" i="34"/>
  <c r="I7" i="34"/>
  <c r="H8" i="34"/>
  <c r="G9" i="34"/>
  <c r="F10" i="34"/>
  <c r="I11" i="34"/>
  <c r="H12" i="34"/>
  <c r="G13" i="34"/>
  <c r="B21" i="34"/>
  <c r="C22" i="34"/>
  <c r="D23" i="34"/>
  <c r="B25" i="34"/>
  <c r="C26" i="34"/>
  <c r="D27" i="34"/>
  <c r="B29" i="34"/>
  <c r="C30" i="34"/>
  <c r="C33" i="34"/>
  <c r="A35" i="34"/>
  <c r="A39" i="34" s="1" a="1"/>
  <c r="F38" i="34" a="1"/>
  <c r="F38" i="34" s="1"/>
  <c r="F3" i="34"/>
  <c r="I4" i="34"/>
  <c r="H5" i="34"/>
  <c r="G6" i="34"/>
  <c r="F7" i="34"/>
  <c r="I8" i="34"/>
  <c r="H9" i="34"/>
  <c r="G10" i="34"/>
  <c r="F11" i="34"/>
  <c r="I12" i="34"/>
  <c r="H13" i="34"/>
  <c r="B20" i="34"/>
  <c r="C21" i="34"/>
  <c r="D22" i="34"/>
  <c r="B24" i="34"/>
  <c r="C25" i="34"/>
  <c r="D26" i="34"/>
  <c r="B28" i="34"/>
  <c r="C29" i="34"/>
  <c r="D30" i="34"/>
  <c r="D33" i="34"/>
  <c r="A36" i="34"/>
  <c r="G7" i="34"/>
  <c r="I9" i="34"/>
  <c r="H10" i="34"/>
  <c r="G11" i="34"/>
  <c r="I13" i="34"/>
  <c r="H3" i="34"/>
  <c r="G4" i="34"/>
  <c r="F5" i="34"/>
  <c r="I6" i="34"/>
  <c r="H7" i="34"/>
  <c r="G8" i="34"/>
  <c r="F9" i="34"/>
  <c r="I10" i="34"/>
  <c r="H11" i="34"/>
  <c r="G12" i="34"/>
  <c r="D20" i="34"/>
  <c r="B22" i="34"/>
  <c r="C23" i="34"/>
  <c r="D24" i="34"/>
  <c r="B26" i="34"/>
  <c r="H4" i="33"/>
  <c r="F6" i="33"/>
  <c r="I7" i="33"/>
  <c r="F10" i="33"/>
  <c r="H12" i="33"/>
  <c r="C26" i="33"/>
  <c r="C30" i="33"/>
  <c r="F38" i="33" a="1"/>
  <c r="F38" i="33" s="1"/>
  <c r="F3" i="33"/>
  <c r="I4" i="33"/>
  <c r="H5" i="33"/>
  <c r="G6" i="33"/>
  <c r="F7" i="33"/>
  <c r="I8" i="33"/>
  <c r="H9" i="33"/>
  <c r="G10" i="33"/>
  <c r="F11" i="33"/>
  <c r="I12" i="33"/>
  <c r="H13" i="33"/>
  <c r="B20" i="33"/>
  <c r="C21" i="33"/>
  <c r="D22" i="33"/>
  <c r="B24" i="33"/>
  <c r="C25" i="33"/>
  <c r="D26" i="33"/>
  <c r="B28" i="33"/>
  <c r="C29" i="33"/>
  <c r="D30" i="33"/>
  <c r="D33" i="33"/>
  <c r="A36" i="33"/>
  <c r="A39" i="33" s="1" a="1"/>
  <c r="I3" i="33"/>
  <c r="G9" i="33"/>
  <c r="I11" i="33"/>
  <c r="G3" i="33"/>
  <c r="F4" i="33"/>
  <c r="I5" i="33"/>
  <c r="H6" i="33"/>
  <c r="G7" i="33"/>
  <c r="F8" i="33"/>
  <c r="I9" i="33"/>
  <c r="H10" i="33"/>
  <c r="G11" i="33"/>
  <c r="F12" i="33"/>
  <c r="I13" i="33"/>
  <c r="C20" i="33"/>
  <c r="C24" i="33"/>
  <c r="C28" i="33"/>
  <c r="G5" i="33"/>
  <c r="H8" i="33"/>
  <c r="G13" i="33"/>
  <c r="C22" i="33"/>
  <c r="H3" i="33"/>
  <c r="G4" i="33"/>
  <c r="F5" i="33"/>
  <c r="I6" i="33"/>
  <c r="H7" i="33"/>
  <c r="G8" i="33"/>
  <c r="F9" i="33"/>
  <c r="I10" i="33"/>
  <c r="H11" i="33"/>
  <c r="G12" i="33"/>
  <c r="B22" i="33"/>
  <c r="C23" i="33"/>
  <c r="B26" i="33"/>
  <c r="I3" i="32"/>
  <c r="F6" i="32"/>
  <c r="H8" i="32"/>
  <c r="F10" i="32"/>
  <c r="H12" i="32"/>
  <c r="C22" i="32"/>
  <c r="C26" i="32"/>
  <c r="C30" i="32"/>
  <c r="F38" i="32" a="1"/>
  <c r="F38" i="32" s="1"/>
  <c r="F3" i="32"/>
  <c r="I4" i="32"/>
  <c r="H5" i="32"/>
  <c r="G6" i="32"/>
  <c r="F7" i="32"/>
  <c r="I8" i="32"/>
  <c r="H9" i="32"/>
  <c r="G10" i="32"/>
  <c r="F11" i="32"/>
  <c r="I12" i="32"/>
  <c r="H13" i="32"/>
  <c r="B20" i="32"/>
  <c r="C21" i="32"/>
  <c r="D22" i="32"/>
  <c r="B24" i="32"/>
  <c r="C25" i="32"/>
  <c r="D26" i="32"/>
  <c r="B28" i="32"/>
  <c r="C29" i="32"/>
  <c r="D30" i="32"/>
  <c r="D33" i="32"/>
  <c r="A36" i="32"/>
  <c r="A39" i="32" s="1" a="1"/>
  <c r="H4" i="32"/>
  <c r="G9" i="32"/>
  <c r="I11" i="32"/>
  <c r="G3" i="32"/>
  <c r="F4" i="32"/>
  <c r="I5" i="32"/>
  <c r="H6" i="32"/>
  <c r="G7" i="32"/>
  <c r="F8" i="32"/>
  <c r="I9" i="32"/>
  <c r="H10" i="32"/>
  <c r="G11" i="32"/>
  <c r="F12" i="32"/>
  <c r="I13" i="32"/>
  <c r="C20" i="32"/>
  <c r="C24" i="32"/>
  <c r="C28" i="32"/>
  <c r="G5" i="32"/>
  <c r="I7" i="32"/>
  <c r="G13" i="32"/>
  <c r="H3" i="32"/>
  <c r="G4" i="32"/>
  <c r="F5" i="32"/>
  <c r="I6" i="32"/>
  <c r="H7" i="32"/>
  <c r="G8" i="32"/>
  <c r="F9" i="32"/>
  <c r="I10" i="32"/>
  <c r="H11" i="32"/>
  <c r="G12" i="32"/>
  <c r="B22" i="32"/>
  <c r="C23" i="32"/>
  <c r="D24" i="32"/>
  <c r="B26" i="32"/>
  <c r="G5" i="31"/>
  <c r="F6" i="31"/>
  <c r="H8" i="31"/>
  <c r="G13" i="31"/>
  <c r="C22" i="31"/>
  <c r="C26" i="31"/>
  <c r="C30" i="31"/>
  <c r="F38" i="31" a="1"/>
  <c r="F38" i="31" s="1"/>
  <c r="F3" i="31"/>
  <c r="I4" i="31"/>
  <c r="H5" i="31"/>
  <c r="G6" i="31"/>
  <c r="F7" i="31"/>
  <c r="I8" i="31"/>
  <c r="H9" i="31"/>
  <c r="G10" i="31"/>
  <c r="F11" i="31"/>
  <c r="I12" i="31"/>
  <c r="H13" i="31"/>
  <c r="B20" i="31"/>
  <c r="C21" i="31"/>
  <c r="D22" i="31"/>
  <c r="B24" i="31"/>
  <c r="C25" i="31"/>
  <c r="D26" i="31"/>
  <c r="B28" i="31"/>
  <c r="C29" i="31"/>
  <c r="D30" i="31"/>
  <c r="D33" i="31"/>
  <c r="A36" i="31"/>
  <c r="A39" i="31" s="1" a="1"/>
  <c r="H4" i="31"/>
  <c r="I7" i="31"/>
  <c r="H12" i="31"/>
  <c r="G3" i="31"/>
  <c r="H6" i="31"/>
  <c r="G11" i="31"/>
  <c r="C20" i="31"/>
  <c r="C24" i="31"/>
  <c r="C28" i="31"/>
  <c r="I3" i="31"/>
  <c r="G9" i="31"/>
  <c r="F10" i="31"/>
  <c r="I11" i="31"/>
  <c r="F4" i="31"/>
  <c r="I5" i="31"/>
  <c r="G7" i="31"/>
  <c r="F8" i="31"/>
  <c r="I9" i="31"/>
  <c r="H10" i="31"/>
  <c r="F12" i="31"/>
  <c r="I13" i="31"/>
  <c r="H3" i="31"/>
  <c r="G4" i="31"/>
  <c r="F5" i="31"/>
  <c r="I6" i="31"/>
  <c r="H7" i="31"/>
  <c r="G8" i="31"/>
  <c r="F9" i="31"/>
  <c r="I10" i="31"/>
  <c r="H11" i="31"/>
  <c r="G12" i="31"/>
  <c r="D20" i="31"/>
  <c r="B22" i="31"/>
  <c r="C23" i="31"/>
  <c r="D24" i="31"/>
  <c r="B26" i="31"/>
  <c r="G5" i="30"/>
  <c r="F6" i="30"/>
  <c r="H8" i="30"/>
  <c r="I11" i="30"/>
  <c r="G13" i="30"/>
  <c r="C22" i="30"/>
  <c r="C26" i="30"/>
  <c r="C30" i="30"/>
  <c r="F38" i="30" a="1"/>
  <c r="F38" i="30" s="1"/>
  <c r="F3" i="30"/>
  <c r="I4" i="30"/>
  <c r="H5" i="30"/>
  <c r="G6" i="30"/>
  <c r="F7" i="30"/>
  <c r="I8" i="30"/>
  <c r="H9" i="30"/>
  <c r="G10" i="30"/>
  <c r="F11" i="30"/>
  <c r="I12" i="30"/>
  <c r="H13" i="30"/>
  <c r="B20" i="30"/>
  <c r="C21" i="30"/>
  <c r="D22" i="30"/>
  <c r="B24" i="30"/>
  <c r="C25" i="30"/>
  <c r="D26" i="30"/>
  <c r="B28" i="30"/>
  <c r="C29" i="30"/>
  <c r="D30" i="30"/>
  <c r="D33" i="30"/>
  <c r="A36" i="30"/>
  <c r="A39" i="30" s="1" a="1"/>
  <c r="G9" i="30"/>
  <c r="G3" i="30"/>
  <c r="I5" i="30"/>
  <c r="F8" i="30"/>
  <c r="C20" i="30"/>
  <c r="C24" i="30"/>
  <c r="C28" i="30"/>
  <c r="I3" i="30"/>
  <c r="I7" i="30"/>
  <c r="F10" i="30"/>
  <c r="H12" i="30"/>
  <c r="F4" i="30"/>
  <c r="H6" i="30"/>
  <c r="G7" i="30"/>
  <c r="I9" i="30"/>
  <c r="H10" i="30"/>
  <c r="G11" i="30"/>
  <c r="F12" i="30"/>
  <c r="I13" i="30"/>
  <c r="H3" i="30"/>
  <c r="G4" i="30"/>
  <c r="F5" i="30"/>
  <c r="I6" i="30"/>
  <c r="H7" i="30"/>
  <c r="G8" i="30"/>
  <c r="F9" i="30"/>
  <c r="I10" i="30"/>
  <c r="H11" i="30"/>
  <c r="G12" i="30"/>
  <c r="D20" i="30"/>
  <c r="B22" i="30"/>
  <c r="C23" i="30"/>
  <c r="D24" i="30"/>
  <c r="B26" i="30"/>
  <c r="H4" i="29"/>
  <c r="F6" i="29"/>
  <c r="I7" i="29"/>
  <c r="C22" i="29"/>
  <c r="F38" i="29" a="1"/>
  <c r="F38" i="29" s="1"/>
  <c r="F3" i="29"/>
  <c r="I4" i="29"/>
  <c r="H5" i="29"/>
  <c r="G6" i="29"/>
  <c r="F7" i="29"/>
  <c r="I8" i="29"/>
  <c r="H9" i="29"/>
  <c r="G10" i="29"/>
  <c r="F11" i="29"/>
  <c r="I12" i="29"/>
  <c r="H13" i="29"/>
  <c r="B20" i="29"/>
  <c r="C21" i="29"/>
  <c r="D22" i="29"/>
  <c r="B24" i="29"/>
  <c r="C25" i="29"/>
  <c r="D26" i="29"/>
  <c r="B28" i="29"/>
  <c r="C29" i="29"/>
  <c r="D30" i="29"/>
  <c r="D33" i="29"/>
  <c r="A36" i="29"/>
  <c r="A39" i="29" s="1" a="1"/>
  <c r="G5" i="29"/>
  <c r="H8" i="29"/>
  <c r="F10" i="29"/>
  <c r="H12" i="29"/>
  <c r="G13" i="29"/>
  <c r="I5" i="29"/>
  <c r="G7" i="29"/>
  <c r="F8" i="29"/>
  <c r="I9" i="29"/>
  <c r="H10" i="29"/>
  <c r="G11" i="29"/>
  <c r="F12" i="29"/>
  <c r="I13" i="29"/>
  <c r="C20" i="29"/>
  <c r="C24" i="29"/>
  <c r="C28" i="29"/>
  <c r="I3" i="29"/>
  <c r="G9" i="29"/>
  <c r="I11" i="29"/>
  <c r="C26" i="29"/>
  <c r="C30" i="29"/>
  <c r="G3" i="29"/>
  <c r="F4" i="29"/>
  <c r="H6" i="29"/>
  <c r="H3" i="29"/>
  <c r="G4" i="29"/>
  <c r="F5" i="29"/>
  <c r="I6" i="29"/>
  <c r="H7" i="29"/>
  <c r="G8" i="29"/>
  <c r="F9" i="29"/>
  <c r="I10" i="29"/>
  <c r="H11" i="29"/>
  <c r="G12" i="29"/>
  <c r="D20" i="29"/>
  <c r="B22" i="29"/>
  <c r="C23" i="29"/>
  <c r="D24" i="29"/>
  <c r="B26" i="29"/>
  <c r="I3" i="28"/>
  <c r="F6" i="28"/>
  <c r="H8" i="28"/>
  <c r="F10" i="28"/>
  <c r="H12" i="28"/>
  <c r="C22" i="28"/>
  <c r="C26" i="28"/>
  <c r="C30" i="28"/>
  <c r="F38" i="28" a="1"/>
  <c r="F38" i="28" s="1"/>
  <c r="F3" i="28"/>
  <c r="I4" i="28"/>
  <c r="H5" i="28"/>
  <c r="G6" i="28"/>
  <c r="F7" i="28"/>
  <c r="I8" i="28"/>
  <c r="H9" i="28"/>
  <c r="G10" i="28"/>
  <c r="F11" i="28"/>
  <c r="I12" i="28"/>
  <c r="H13" i="28"/>
  <c r="B20" i="28"/>
  <c r="C21" i="28"/>
  <c r="D22" i="28"/>
  <c r="B24" i="28"/>
  <c r="C25" i="28"/>
  <c r="D26" i="28"/>
  <c r="B28" i="28"/>
  <c r="C29" i="28"/>
  <c r="D33" i="28"/>
  <c r="A36" i="28"/>
  <c r="A39" i="28" s="1" a="1"/>
  <c r="G5" i="28"/>
  <c r="I7" i="28"/>
  <c r="G3" i="28"/>
  <c r="F4" i="28"/>
  <c r="I5" i="28"/>
  <c r="H6" i="28"/>
  <c r="G7" i="28"/>
  <c r="F8" i="28"/>
  <c r="I9" i="28"/>
  <c r="H10" i="28"/>
  <c r="G11" i="28"/>
  <c r="F12" i="28"/>
  <c r="I13" i="28"/>
  <c r="C20" i="28"/>
  <c r="B23" i="28"/>
  <c r="C24" i="28"/>
  <c r="B27" i="28"/>
  <c r="C28" i="28"/>
  <c r="H4" i="28"/>
  <c r="G9" i="28"/>
  <c r="I11" i="28"/>
  <c r="G13" i="28"/>
  <c r="H3" i="28"/>
  <c r="G4" i="28"/>
  <c r="F5" i="28"/>
  <c r="I6" i="28"/>
  <c r="H7" i="28"/>
  <c r="G8" i="28"/>
  <c r="F9" i="28"/>
  <c r="I10" i="28"/>
  <c r="H11" i="28"/>
  <c r="G12" i="28"/>
  <c r="B22" i="28"/>
  <c r="C23" i="28"/>
  <c r="B26" i="28"/>
  <c r="I5" i="27"/>
  <c r="G7" i="27"/>
  <c r="H10" i="27"/>
  <c r="F12" i="27"/>
  <c r="H3" i="27"/>
  <c r="F5" i="27"/>
  <c r="I6" i="27"/>
  <c r="G8" i="27"/>
  <c r="I10" i="27"/>
  <c r="G12" i="27"/>
  <c r="I3" i="27"/>
  <c r="H4" i="27"/>
  <c r="G5" i="27"/>
  <c r="F6" i="27"/>
  <c r="I7" i="27"/>
  <c r="H8" i="27"/>
  <c r="G9" i="27"/>
  <c r="F10" i="27"/>
  <c r="I11" i="27"/>
  <c r="H12" i="27"/>
  <c r="G13" i="27"/>
  <c r="B21" i="27"/>
  <c r="C22" i="27"/>
  <c r="D23" i="27"/>
  <c r="B25" i="27"/>
  <c r="C26" i="27"/>
  <c r="D27" i="27"/>
  <c r="B29" i="27"/>
  <c r="C30" i="27"/>
  <c r="C33" i="27"/>
  <c r="A35" i="27"/>
  <c r="F38" i="27" a="1"/>
  <c r="F38" i="27" s="1"/>
  <c r="H6" i="27"/>
  <c r="F8" i="27"/>
  <c r="I9" i="27"/>
  <c r="G11" i="27"/>
  <c r="I13" i="27"/>
  <c r="G4" i="27"/>
  <c r="H7" i="27"/>
  <c r="F9" i="27"/>
  <c r="H11" i="27"/>
  <c r="B22" i="27"/>
  <c r="B26" i="27"/>
  <c r="B30" i="27"/>
  <c r="B33" i="27"/>
  <c r="A34" i="27"/>
  <c r="A39" i="27" s="1" a="1"/>
  <c r="F3" i="27"/>
  <c r="I4" i="27"/>
  <c r="H5" i="27"/>
  <c r="G6" i="27"/>
  <c r="F7" i="27"/>
  <c r="I8" i="27"/>
  <c r="H9" i="27"/>
  <c r="G10" i="27"/>
  <c r="F11" i="27"/>
  <c r="I12" i="27"/>
  <c r="B20" i="27"/>
  <c r="C21" i="27"/>
  <c r="D22" i="27"/>
  <c r="B24" i="27"/>
  <c r="C25" i="27"/>
  <c r="D26" i="27"/>
  <c r="I11" i="16"/>
  <c r="I7" i="16"/>
  <c r="I10" i="16"/>
  <c r="I6" i="16"/>
  <c r="I13" i="16"/>
  <c r="I9" i="16"/>
  <c r="I5" i="16"/>
  <c r="I12" i="16"/>
  <c r="I8" i="16"/>
  <c r="I4" i="16"/>
  <c r="H10" i="16"/>
  <c r="H7" i="16"/>
  <c r="I3" i="16"/>
  <c r="H11" i="16"/>
  <c r="H6" i="16"/>
  <c r="H13" i="16"/>
  <c r="H9" i="16"/>
  <c r="H5" i="16"/>
  <c r="H12" i="16"/>
  <c r="H8" i="16"/>
  <c r="H4" i="16"/>
  <c r="G13" i="16"/>
  <c r="H3" i="16"/>
  <c r="G11" i="16"/>
  <c r="G7" i="16"/>
  <c r="G10" i="16"/>
  <c r="G6" i="16"/>
  <c r="G9" i="16"/>
  <c r="G5" i="16"/>
  <c r="G12" i="16"/>
  <c r="G8" i="16"/>
  <c r="G4" i="16"/>
  <c r="F4" i="16"/>
  <c r="F7" i="16"/>
  <c r="G3" i="16"/>
  <c r="F10" i="16"/>
  <c r="F13" i="16"/>
  <c r="F11" i="16"/>
  <c r="F12" i="16"/>
  <c r="F6" i="16"/>
  <c r="F9" i="16"/>
  <c r="F5" i="16"/>
  <c r="F8" i="16"/>
  <c r="D23" i="16"/>
  <c r="D28" i="16"/>
  <c r="D21" i="16"/>
  <c r="D27" i="16"/>
  <c r="D24" i="16"/>
  <c r="D29" i="16"/>
  <c r="D20" i="16"/>
  <c r="D25" i="16"/>
  <c r="B21" i="16"/>
  <c r="C22" i="16"/>
  <c r="B25" i="16"/>
  <c r="C26" i="16"/>
  <c r="B29" i="16"/>
  <c r="C30" i="16"/>
  <c r="C33" i="16"/>
  <c r="A35" i="16"/>
  <c r="A39" i="16" s="1" a="1"/>
  <c r="F38" i="16" a="1"/>
  <c r="F38" i="16" s="1"/>
  <c r="B20" i="16"/>
  <c r="C21" i="16"/>
  <c r="D22" i="16"/>
  <c r="B24" i="16"/>
  <c r="C25" i="16"/>
  <c r="D26" i="16"/>
  <c r="B28" i="16"/>
  <c r="C29" i="16"/>
  <c r="D33" i="16"/>
  <c r="A36" i="16"/>
  <c r="C20" i="16"/>
  <c r="B23" i="16"/>
  <c r="C24" i="16"/>
  <c r="B27" i="16"/>
  <c r="C28" i="16"/>
  <c r="B22" i="16"/>
  <c r="C23" i="16"/>
  <c r="B26" i="16"/>
  <c r="B3" i="14"/>
  <c r="B4" i="14"/>
  <c r="B5" i="14"/>
  <c r="B6" i="14"/>
  <c r="B7" i="14"/>
  <c r="B8" i="14"/>
  <c r="B9" i="14"/>
  <c r="B10" i="14"/>
  <c r="B11" i="14"/>
  <c r="B12" i="14"/>
  <c r="B13" i="14"/>
  <c r="I3" i="15"/>
  <c r="I4" i="15"/>
  <c r="I5" i="15"/>
  <c r="I6" i="15"/>
  <c r="I7" i="15"/>
  <c r="I8" i="15"/>
  <c r="I9" i="15"/>
  <c r="I10" i="15"/>
  <c r="I11" i="15"/>
  <c r="I12" i="15"/>
  <c r="I2" i="15"/>
  <c r="H3" i="15"/>
  <c r="H4" i="15"/>
  <c r="H5" i="15"/>
  <c r="H6" i="15"/>
  <c r="H7" i="15"/>
  <c r="H8" i="15"/>
  <c r="H9" i="15"/>
  <c r="H10" i="15"/>
  <c r="H11" i="15"/>
  <c r="H12" i="15"/>
  <c r="H2" i="15"/>
  <c r="D36" i="35" l="1"/>
  <c r="C35" i="35"/>
  <c r="B34" i="35"/>
  <c r="F39" i="35" s="1" a="1"/>
  <c r="F39" i="35" s="1"/>
  <c r="F40" i="35" s="1"/>
  <c r="B36" i="35"/>
  <c r="D34" i="35"/>
  <c r="D35" i="35"/>
  <c r="C34" i="35"/>
  <c r="C36" i="35"/>
  <c r="B35" i="35"/>
  <c r="A39" i="34"/>
  <c r="A41" i="34"/>
  <c r="A40" i="34"/>
  <c r="B34" i="34" a="1"/>
  <c r="A39" i="33"/>
  <c r="A41" i="33"/>
  <c r="A40" i="33"/>
  <c r="B34" i="33" a="1"/>
  <c r="A39" i="32"/>
  <c r="A41" i="32"/>
  <c r="A40" i="32"/>
  <c r="B34" i="32" a="1"/>
  <c r="A39" i="31"/>
  <c r="A41" i="31"/>
  <c r="A40" i="31"/>
  <c r="B34" i="31" a="1"/>
  <c r="A39" i="30"/>
  <c r="A41" i="30"/>
  <c r="A40" i="30"/>
  <c r="B34" i="30" a="1"/>
  <c r="A39" i="29"/>
  <c r="A41" i="29"/>
  <c r="A40" i="29"/>
  <c r="B34" i="29" a="1"/>
  <c r="A39" i="28"/>
  <c r="A41" i="28"/>
  <c r="A40" i="28"/>
  <c r="B34" i="28" a="1"/>
  <c r="A41" i="27"/>
  <c r="A39" i="27"/>
  <c r="A40" i="27"/>
  <c r="B34" i="27" a="1"/>
  <c r="A39" i="16"/>
  <c r="A41" i="16"/>
  <c r="A40" i="16"/>
  <c r="B34" i="16" a="1"/>
  <c r="F6" i="14"/>
  <c r="E5" i="14"/>
  <c r="E8" i="14"/>
  <c r="E13" i="14"/>
  <c r="C12" i="14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H2" i="7"/>
  <c r="I2" i="7" s="1"/>
  <c r="H12" i="4"/>
  <c r="I12" i="4" s="1"/>
  <c r="H11" i="4"/>
  <c r="I11" i="4" s="1"/>
  <c r="E4" i="1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  <c r="E12" i="14" s="1"/>
  <c r="H2" i="4"/>
  <c r="I2" i="4" s="1"/>
  <c r="H12" i="8"/>
  <c r="I12" i="8" s="1"/>
  <c r="H11" i="8"/>
  <c r="I11" i="8" s="1"/>
  <c r="H10" i="8"/>
  <c r="I10" i="8" s="1"/>
  <c r="H9" i="8"/>
  <c r="I9" i="8" s="1"/>
  <c r="I8" i="8"/>
  <c r="H8" i="8"/>
  <c r="H7" i="8"/>
  <c r="I7" i="8" s="1"/>
  <c r="I6" i="8"/>
  <c r="H6" i="8"/>
  <c r="H5" i="8"/>
  <c r="I5" i="8" s="1"/>
  <c r="H4" i="8"/>
  <c r="I4" i="8" s="1"/>
  <c r="H3" i="8"/>
  <c r="I3" i="8" s="1"/>
  <c r="H2" i="8"/>
  <c r="I2" i="8" s="1"/>
  <c r="I3" i="6"/>
  <c r="I6" i="6"/>
  <c r="I7" i="6"/>
  <c r="I10" i="6"/>
  <c r="I11" i="6"/>
  <c r="H3" i="6"/>
  <c r="H4" i="6"/>
  <c r="I4" i="6" s="1"/>
  <c r="H5" i="6"/>
  <c r="I5" i="6" s="1"/>
  <c r="H6" i="6"/>
  <c r="H7" i="6"/>
  <c r="H8" i="6"/>
  <c r="I8" i="6" s="1"/>
  <c r="H9" i="6"/>
  <c r="I9" i="6" s="1"/>
  <c r="H10" i="6"/>
  <c r="H11" i="6"/>
  <c r="H12" i="6"/>
  <c r="I12" i="6" s="1"/>
  <c r="H2" i="6"/>
  <c r="I2" i="6" s="1"/>
  <c r="D36" i="34" l="1"/>
  <c r="C35" i="34"/>
  <c r="B34" i="34"/>
  <c r="C36" i="34"/>
  <c r="B35" i="34"/>
  <c r="B36" i="34"/>
  <c r="D34" i="34"/>
  <c r="D35" i="34"/>
  <c r="C34" i="34"/>
  <c r="D36" i="33"/>
  <c r="C35" i="33"/>
  <c r="B34" i="33"/>
  <c r="C36" i="33"/>
  <c r="B35" i="33"/>
  <c r="B36" i="33"/>
  <c r="D34" i="33"/>
  <c r="D35" i="33"/>
  <c r="C34" i="33"/>
  <c r="D36" i="32"/>
  <c r="C35" i="32"/>
  <c r="B34" i="32"/>
  <c r="C36" i="32"/>
  <c r="B35" i="32"/>
  <c r="B36" i="32"/>
  <c r="D34" i="32"/>
  <c r="D35" i="32"/>
  <c r="C34" i="32"/>
  <c r="D36" i="31"/>
  <c r="C35" i="31"/>
  <c r="B34" i="31"/>
  <c r="F39" i="31" s="1" a="1"/>
  <c r="F39" i="31" s="1"/>
  <c r="F40" i="31" s="1"/>
  <c r="C36" i="31"/>
  <c r="B35" i="31"/>
  <c r="B36" i="31"/>
  <c r="D34" i="31"/>
  <c r="D35" i="31"/>
  <c r="C34" i="31"/>
  <c r="D36" i="30"/>
  <c r="C35" i="30"/>
  <c r="B34" i="30"/>
  <c r="F39" i="30" s="1" a="1"/>
  <c r="F39" i="30" s="1"/>
  <c r="F40" i="30" s="1"/>
  <c r="C36" i="30"/>
  <c r="B35" i="30"/>
  <c r="B36" i="30"/>
  <c r="D34" i="30"/>
  <c r="D35" i="30"/>
  <c r="C34" i="30"/>
  <c r="D36" i="29"/>
  <c r="C35" i="29"/>
  <c r="B34" i="29"/>
  <c r="F39" i="29" s="1" a="1"/>
  <c r="F39" i="29" s="1"/>
  <c r="F40" i="29" s="1"/>
  <c r="C34" i="29"/>
  <c r="C36" i="29"/>
  <c r="B35" i="29"/>
  <c r="D35" i="29"/>
  <c r="B36" i="29"/>
  <c r="D34" i="29"/>
  <c r="D36" i="28"/>
  <c r="C35" i="28"/>
  <c r="B34" i="28"/>
  <c r="C36" i="28"/>
  <c r="B35" i="28"/>
  <c r="B36" i="28"/>
  <c r="D34" i="28"/>
  <c r="D35" i="28"/>
  <c r="C34" i="28"/>
  <c r="C36" i="27"/>
  <c r="B35" i="27"/>
  <c r="B36" i="27"/>
  <c r="D34" i="27"/>
  <c r="D36" i="27"/>
  <c r="C35" i="27"/>
  <c r="B34" i="27"/>
  <c r="D35" i="27"/>
  <c r="C34" i="27"/>
  <c r="D36" i="16"/>
  <c r="C35" i="16"/>
  <c r="B34" i="16"/>
  <c r="C36" i="16"/>
  <c r="B35" i="16"/>
  <c r="B36" i="16"/>
  <c r="D34" i="16"/>
  <c r="D35" i="16"/>
  <c r="C34" i="16"/>
  <c r="C3" i="14"/>
  <c r="C7" i="14"/>
  <c r="C11" i="14"/>
  <c r="C13" i="14"/>
  <c r="C10" i="14"/>
  <c r="D12" i="14"/>
  <c r="D6" i="14"/>
  <c r="C4" i="14"/>
  <c r="D11" i="14"/>
  <c r="D5" i="14"/>
  <c r="D4" i="14"/>
  <c r="E11" i="14"/>
  <c r="E17" i="14" s="1"/>
  <c r="E7" i="14"/>
  <c r="E3" i="14"/>
  <c r="F10" i="14"/>
  <c r="C6" i="14"/>
  <c r="D9" i="14"/>
  <c r="C8" i="14"/>
  <c r="D13" i="14"/>
  <c r="D3" i="14"/>
  <c r="E10" i="14"/>
  <c r="E6" i="14"/>
  <c r="F13" i="14"/>
  <c r="F9" i="14"/>
  <c r="F5" i="14"/>
  <c r="D7" i="14"/>
  <c r="C5" i="14"/>
  <c r="F12" i="14"/>
  <c r="F8" i="14"/>
  <c r="F4" i="14"/>
  <c r="C9" i="14"/>
  <c r="D8" i="14"/>
  <c r="F11" i="14"/>
  <c r="F7" i="14"/>
  <c r="F3" i="14"/>
  <c r="D10" i="14"/>
  <c r="E9" i="14"/>
  <c r="F39" i="34" l="1" a="1"/>
  <c r="F39" i="34" s="1"/>
  <c r="F40" i="34" s="1"/>
  <c r="F39" i="32" a="1"/>
  <c r="F39" i="32" s="1"/>
  <c r="F40" i="32" s="1"/>
  <c r="F39" i="27" a="1"/>
  <c r="F39" i="27" s="1"/>
  <c r="F40" i="27" s="1"/>
  <c r="F39" i="33" a="1"/>
  <c r="F39" i="33" s="1"/>
  <c r="F40" i="33" s="1"/>
  <c r="F39" i="28" a="1"/>
  <c r="F39" i="28" s="1"/>
  <c r="F40" i="28" s="1"/>
  <c r="F39" i="16" a="1"/>
  <c r="F39" i="16" s="1"/>
  <c r="F40" i="16" s="1"/>
  <c r="E16" i="14"/>
  <c r="D17" i="14"/>
  <c r="D16" i="14"/>
  <c r="F16" i="14"/>
  <c r="F17" i="14"/>
  <c r="C17" i="14"/>
  <c r="C16" i="14"/>
  <c r="B17" i="14"/>
  <c r="B16" i="14"/>
</calcChain>
</file>

<file path=xl/sharedStrings.xml><?xml version="1.0" encoding="utf-8"?>
<sst xmlns="http://schemas.openxmlformats.org/spreadsheetml/2006/main" count="320" uniqueCount="78">
  <si>
    <t>Date</t>
  </si>
  <si>
    <t>Open</t>
  </si>
  <si>
    <t>High</t>
  </si>
  <si>
    <t>Low</t>
  </si>
  <si>
    <t>Close</t>
  </si>
  <si>
    <t>Adj Close</t>
  </si>
  <si>
    <t>Volume</t>
  </si>
  <si>
    <t>null</t>
  </si>
  <si>
    <t>Diff</t>
  </si>
  <si>
    <t>-</t>
  </si>
  <si>
    <t>%Change</t>
  </si>
  <si>
    <t>CSCO</t>
  </si>
  <si>
    <t>EBAY</t>
  </si>
  <si>
    <t>GOOG</t>
  </si>
  <si>
    <t>Portfolio Return</t>
  </si>
  <si>
    <t>MSFT</t>
  </si>
  <si>
    <t>ORCL</t>
  </si>
  <si>
    <t>Mean</t>
  </si>
  <si>
    <t>SD</t>
  </si>
  <si>
    <t>Column1</t>
  </si>
  <si>
    <t>Column2</t>
  </si>
  <si>
    <t>Column3</t>
  </si>
  <si>
    <t>Column4</t>
  </si>
  <si>
    <t>Column5</t>
  </si>
  <si>
    <t>Column6</t>
  </si>
  <si>
    <t>Stock</t>
  </si>
  <si>
    <t>Monthly Returns of Stocks</t>
  </si>
  <si>
    <t>Portfolio_1.Date</t>
  </si>
  <si>
    <t>Portfolio_1.CSCO</t>
  </si>
  <si>
    <t>Portfolio_1.EBAY</t>
  </si>
  <si>
    <t>Portfolio_1.GOOG</t>
  </si>
  <si>
    <t>Average</t>
  </si>
  <si>
    <t>Stock Variance</t>
  </si>
  <si>
    <t>Stock Monthly Returns less Average Returns</t>
  </si>
  <si>
    <t>Weight</t>
  </si>
  <si>
    <t>Portfolio Variance</t>
  </si>
  <si>
    <t>Portfolio STD</t>
  </si>
  <si>
    <t>W.Returns</t>
  </si>
  <si>
    <t>C.Returns</t>
  </si>
  <si>
    <t>WPR.Mean</t>
  </si>
  <si>
    <t>WPR.Median</t>
  </si>
  <si>
    <t>WPR.STD</t>
  </si>
  <si>
    <t>Portfolio_2.CSCO</t>
  </si>
  <si>
    <t>Portfolio_2.EBAY</t>
  </si>
  <si>
    <t>Portfolio_2.MSFT</t>
  </si>
  <si>
    <t>Portfolio_3.CSCO</t>
  </si>
  <si>
    <t>Portfolio_3.EBAY</t>
  </si>
  <si>
    <t>Portfolio_3.ÖRCL</t>
  </si>
  <si>
    <t>Portfolio_4.CSCO</t>
  </si>
  <si>
    <t>Portfolio_4.GOOG</t>
  </si>
  <si>
    <t>Portfolio_4.MSFT</t>
  </si>
  <si>
    <t>Portfolio_5.CSCO</t>
  </si>
  <si>
    <t>Portfolio_5.GOOG</t>
  </si>
  <si>
    <t>Portfolio_5.ÖRCL</t>
  </si>
  <si>
    <t>Portfolio_6.CSCO</t>
  </si>
  <si>
    <t>Portfolio_6.MSFT</t>
  </si>
  <si>
    <t>Portfolio_6.ÖRCL</t>
  </si>
  <si>
    <t>Portfolio_7.EBAY</t>
  </si>
  <si>
    <t>Portfolio_7.GOOG</t>
  </si>
  <si>
    <t>Portfolio_7.MSFT</t>
  </si>
  <si>
    <t>Portfolio_8.EBAY</t>
  </si>
  <si>
    <t>Portfolio_8.GOOG</t>
  </si>
  <si>
    <t>Portfolio_8.ÖRCL</t>
  </si>
  <si>
    <t>Portfolio_9.EBAY</t>
  </si>
  <si>
    <t>Portfolio_9.MSFT</t>
  </si>
  <si>
    <t>Portfolio_9.ÖRCL</t>
  </si>
  <si>
    <t>Portfolio_10.GOOG</t>
  </si>
  <si>
    <t>Portfolio_10.MSFT</t>
  </si>
  <si>
    <t>Portfolio_10.ÖRCL</t>
  </si>
  <si>
    <t>Portfolio_2.Date</t>
  </si>
  <si>
    <t>Portfolio_3.Date</t>
  </si>
  <si>
    <t>Portfolio_4.Date</t>
  </si>
  <si>
    <t>Portfolio_5.Date</t>
  </si>
  <si>
    <t>Portfolio_6.Date</t>
  </si>
  <si>
    <t>Portfolio_7.Date</t>
  </si>
  <si>
    <t>Portfolio_8.Date</t>
  </si>
  <si>
    <t>Portfolio_9.Date</t>
  </si>
  <si>
    <t>Portfolio_10.Date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</si>
</sst>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34" borderId="10" xfId="0" applyNumberFormat="1" applyFont="1" applyFill="1" applyBorder="1" applyAlignment="1">
      <alignment horizontal="center"/>
    </xf>
    <xf numFmtId="164" fontId="0" fillId="34" borderId="0" xfId="1" applyNumberFormat="1" applyFont="1" applyFill="1" applyAlignment="1">
      <alignment horizontal="center"/>
    </xf>
    <xf numFmtId="164" fontId="0" fillId="34" borderId="11" xfId="1" applyNumberFormat="1" applyFont="1" applyFill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 applyAlignment="1">
      <alignment horizontal="center"/>
    </xf>
    <xf numFmtId="0" fontId="0" fillId="0" borderId="0" xfId="0"/>
    <xf numFmtId="14" fontId="0" fillId="0" borderId="0" xfId="0" applyNumberFormat="1"/>
    <xf numFmtId="0" fontId="0" fillId="34" borderId="10" xfId="0" applyFont="1" applyFill="1" applyBorder="1"/>
    <xf numFmtId="0" fontId="13" fillId="33" borderId="11" xfId="0" applyFont="1" applyFill="1" applyBorder="1"/>
    <xf numFmtId="0" fontId="13" fillId="33" borderId="14" xfId="0" applyFont="1" applyFill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0" fillId="37" borderId="0" xfId="0" applyFill="1"/>
    <xf numFmtId="165" fontId="0" fillId="0" borderId="0" xfId="1" applyNumberFormat="1" applyFont="1"/>
    <xf numFmtId="0" fontId="13" fillId="33" borderId="15" xfId="0" applyFont="1" applyFill="1" applyBorder="1"/>
    <xf numFmtId="0" fontId="13" fillId="33" borderId="12" xfId="0" applyFont="1" applyFill="1" applyBorder="1"/>
    <xf numFmtId="0" fontId="0" fillId="34" borderId="15" xfId="0" applyFont="1" applyFill="1" applyBorder="1"/>
    <xf numFmtId="0" fontId="0" fillId="34" borderId="12" xfId="0" applyFont="1" applyFill="1" applyBorder="1"/>
    <xf numFmtId="0" fontId="0" fillId="0" borderId="15" xfId="0" applyFont="1" applyBorder="1"/>
    <xf numFmtId="0" fontId="0" fillId="0" borderId="12" xfId="0" applyFont="1" applyBorder="1"/>
    <xf numFmtId="0" fontId="0" fillId="34" borderId="13" xfId="0" applyFont="1" applyFill="1" applyBorder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numFmt numFmtId="165" formatCode="0.00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numFmt numFmtId="165" formatCode="0.00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65" formatCode="0.00000000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numFmt numFmtId="164" formatCode="0.00000%"/>
    </dxf>
    <dxf>
      <numFmt numFmtId="164" formatCode="0.0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%"/>
      <alignment horizontal="center" vertical="bottom" textRotation="0" wrapText="0" indent="0" justifyLastLine="0" shrinkToFit="0" readingOrder="0"/>
    </dxf>
    <dxf>
      <numFmt numFmtId="164" formatCode="0.00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Portfolio_1!$F$2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Portfolio_1!$A$3:$A$13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Portfolio_1!$F$3:$F$13</c:f>
              <c:numCache>
                <c:formatCode>0.000000000</c:formatCode>
                <c:ptCount val="11"/>
                <c:pt idx="0">
                  <c:v>-1.5797728365755059</c:v>
                </c:pt>
                <c:pt idx="1">
                  <c:v>0.15172136767577737</c:v>
                </c:pt>
                <c:pt idx="2">
                  <c:v>1.9656735599175783</c:v>
                </c:pt>
                <c:pt idx="3">
                  <c:v>6.2867587220307382</c:v>
                </c:pt>
                <c:pt idx="4">
                  <c:v>8.0908983265587278</c:v>
                </c:pt>
                <c:pt idx="5">
                  <c:v>9.0063928146609982</c:v>
                </c:pt>
                <c:pt idx="6">
                  <c:v>13.667231648131395</c:v>
                </c:pt>
                <c:pt idx="7">
                  <c:v>22.930864051181985</c:v>
                </c:pt>
                <c:pt idx="8">
                  <c:v>25.813699990934573</c:v>
                </c:pt>
                <c:pt idx="9">
                  <c:v>20.168342773322056</c:v>
                </c:pt>
                <c:pt idx="10">
                  <c:v>23.107560333001341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3-48EA-919B-64603BAEC465}"/>
            </c:ext>
          </c:extLst>
        </c:ser>
        <c:ser>
          <c:idx val="1"/>
          <c:order val="1"/>
          <c:tx>
            <c:strRef>
              <c:f>Portfolio_1!$G$2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Portfolio_1!$G$3:$G$13</c:f>
              <c:numCache>
                <c:formatCode>0.000000000</c:formatCode>
                <c:ptCount val="11"/>
                <c:pt idx="0">
                  <c:v>2.1006873030001221</c:v>
                </c:pt>
                <c:pt idx="1">
                  <c:v>2.1006873030001221</c:v>
                </c:pt>
                <c:pt idx="2">
                  <c:v>2.1006873030001221</c:v>
                </c:pt>
                <c:pt idx="3">
                  <c:v>2.1006873030001221</c:v>
                </c:pt>
                <c:pt idx="4">
                  <c:v>2.1006873030001221</c:v>
                </c:pt>
                <c:pt idx="5">
                  <c:v>2.1006873030001221</c:v>
                </c:pt>
                <c:pt idx="6">
                  <c:v>2.1006873030001221</c:v>
                </c:pt>
                <c:pt idx="7">
                  <c:v>2.1006873030001221</c:v>
                </c:pt>
                <c:pt idx="8">
                  <c:v>2.1006873030001221</c:v>
                </c:pt>
                <c:pt idx="9">
                  <c:v>2.1006873030001221</c:v>
                </c:pt>
                <c:pt idx="10">
                  <c:v>2.1006873030001221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3-48EA-919B-64603BAEC465}"/>
            </c:ext>
          </c:extLst>
        </c:ser>
        <c:ser>
          <c:idx val="2"/>
          <c:order val="2"/>
          <c:tx>
            <c:strRef>
              <c:f>Portfolio_1!$H$2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Portfolio_1!$H$3:$H$13</c:f>
              <c:numCache>
                <c:formatCode>0.000000000</c:formatCode>
                <c:ptCount val="11"/>
                <c:pt idx="0">
                  <c:v>1.8139521922418009</c:v>
                </c:pt>
                <c:pt idx="1">
                  <c:v>1.8139521922418009</c:v>
                </c:pt>
                <c:pt idx="2">
                  <c:v>1.8139521922418009</c:v>
                </c:pt>
                <c:pt idx="3">
                  <c:v>1.8139521922418009</c:v>
                </c:pt>
                <c:pt idx="4">
                  <c:v>1.8139521922418009</c:v>
                </c:pt>
                <c:pt idx="5">
                  <c:v>1.8139521922418009</c:v>
                </c:pt>
                <c:pt idx="6">
                  <c:v>1.8139521922418009</c:v>
                </c:pt>
                <c:pt idx="7">
                  <c:v>1.8139521922418009</c:v>
                </c:pt>
                <c:pt idx="8">
                  <c:v>1.8139521922418009</c:v>
                </c:pt>
                <c:pt idx="9">
                  <c:v>1.8139521922418009</c:v>
                </c:pt>
                <c:pt idx="10">
                  <c:v>1.8139521922418009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F3-48EA-919B-64603BAEC465}"/>
            </c:ext>
          </c:extLst>
        </c:ser>
        <c:ser>
          <c:idx val="3"/>
          <c:order val="3"/>
          <c:tx>
            <c:strRef>
              <c:f>Portfolio_1!$I$2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Portfolio_1!$I$3:$I$13</c:f>
              <c:numCache>
                <c:formatCode>0.000000000</c:formatCode>
                <c:ptCount val="11"/>
                <c:pt idx="0">
                  <c:v>3.73316688841496</c:v>
                </c:pt>
                <c:pt idx="1">
                  <c:v>3.73316688841496</c:v>
                </c:pt>
                <c:pt idx="2">
                  <c:v>3.73316688841496</c:v>
                </c:pt>
                <c:pt idx="3">
                  <c:v>3.73316688841496</c:v>
                </c:pt>
                <c:pt idx="4">
                  <c:v>3.73316688841496</c:v>
                </c:pt>
                <c:pt idx="5">
                  <c:v>3.73316688841496</c:v>
                </c:pt>
                <c:pt idx="6">
                  <c:v>3.73316688841496</c:v>
                </c:pt>
                <c:pt idx="7">
                  <c:v>3.73316688841496</c:v>
                </c:pt>
                <c:pt idx="8">
                  <c:v>3.73316688841496</c:v>
                </c:pt>
                <c:pt idx="9">
                  <c:v>3.73316688841496</c:v>
                </c:pt>
                <c:pt idx="10">
                  <c:v>3.73316688841496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F3-48EA-919B-64603BAEC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Portfolio_2!$F$2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Portfolio_2!$A$3:$A$13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Portfolio_2!$F$3:$F$13</c:f>
              <c:numCache>
                <c:formatCode>0.000000000</c:formatCode>
                <c:ptCount val="11"/>
                <c:pt idx="0">
                  <c:v>0.11361921100000005</c:v>
                </c:pt>
                <c:pt idx="1">
                  <c:v>2.8696678873333337</c:v>
                </c:pt>
                <c:pt idx="2">
                  <c:v>5.316404304333334</c:v>
                </c:pt>
                <c:pt idx="3">
                  <c:v>8.9876734640000002</c:v>
                </c:pt>
                <c:pt idx="4">
                  <c:v>12.681057345000001</c:v>
                </c:pt>
                <c:pt idx="5">
                  <c:v>13.836885125666669</c:v>
                </c:pt>
                <c:pt idx="6">
                  <c:v>18.39486710366667</c:v>
                </c:pt>
                <c:pt idx="7">
                  <c:v>27.41338515066667</c:v>
                </c:pt>
                <c:pt idx="8">
                  <c:v>31.719106204000003</c:v>
                </c:pt>
                <c:pt idx="9">
                  <c:v>27.538295637333334</c:v>
                </c:pt>
                <c:pt idx="10">
                  <c:v>30.815557650000002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67-4ED9-9177-A3248E7F1A4B}"/>
            </c:ext>
          </c:extLst>
        </c:ser>
        <c:ser>
          <c:idx val="1"/>
          <c:order val="1"/>
          <c:tx>
            <c:strRef>
              <c:f>Portfolio_2!$G$2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Portfolio_2!$G$3:$G$13</c:f>
              <c:numCache>
                <c:formatCode>0.000000000</c:formatCode>
                <c:ptCount val="11"/>
                <c:pt idx="0">
                  <c:v>2.8014143318181821</c:v>
                </c:pt>
                <c:pt idx="1">
                  <c:v>2.8014143318181821</c:v>
                </c:pt>
                <c:pt idx="2">
                  <c:v>2.8014143318181821</c:v>
                </c:pt>
                <c:pt idx="3">
                  <c:v>2.8014143318181821</c:v>
                </c:pt>
                <c:pt idx="4">
                  <c:v>2.8014143318181821</c:v>
                </c:pt>
                <c:pt idx="5">
                  <c:v>2.8014143318181821</c:v>
                </c:pt>
                <c:pt idx="6">
                  <c:v>2.8014143318181821</c:v>
                </c:pt>
                <c:pt idx="7">
                  <c:v>2.8014143318181821</c:v>
                </c:pt>
                <c:pt idx="8">
                  <c:v>2.8014143318181821</c:v>
                </c:pt>
                <c:pt idx="9">
                  <c:v>2.8014143318181821</c:v>
                </c:pt>
                <c:pt idx="10">
                  <c:v>2.8014143318181821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67-4ED9-9177-A3248E7F1A4B}"/>
            </c:ext>
          </c:extLst>
        </c:ser>
        <c:ser>
          <c:idx val="2"/>
          <c:order val="2"/>
          <c:tx>
            <c:strRef>
              <c:f>Portfolio_2!$H$2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Portfolio_2!$H$3:$H$13</c:f>
              <c:numCache>
                <c:formatCode>0.000000000</c:formatCode>
                <c:ptCount val="11"/>
                <c:pt idx="0">
                  <c:v>3.2772620126666667</c:v>
                </c:pt>
                <c:pt idx="1">
                  <c:v>3.2772620126666667</c:v>
                </c:pt>
                <c:pt idx="2">
                  <c:v>3.2772620126666667</c:v>
                </c:pt>
                <c:pt idx="3">
                  <c:v>3.2772620126666667</c:v>
                </c:pt>
                <c:pt idx="4">
                  <c:v>3.2772620126666667</c:v>
                </c:pt>
                <c:pt idx="5">
                  <c:v>3.2772620126666667</c:v>
                </c:pt>
                <c:pt idx="6">
                  <c:v>3.2772620126666667</c:v>
                </c:pt>
                <c:pt idx="7">
                  <c:v>3.2772620126666667</c:v>
                </c:pt>
                <c:pt idx="8">
                  <c:v>3.2772620126666667</c:v>
                </c:pt>
                <c:pt idx="9">
                  <c:v>3.2772620126666667</c:v>
                </c:pt>
                <c:pt idx="10">
                  <c:v>3.2772620126666667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67-4ED9-9177-A3248E7F1A4B}"/>
            </c:ext>
          </c:extLst>
        </c:ser>
        <c:ser>
          <c:idx val="3"/>
          <c:order val="3"/>
          <c:tx>
            <c:strRef>
              <c:f>Portfolio_2!$I$2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Portfolio_2!$I$3:$I$13</c:f>
              <c:numCache>
                <c:formatCode>0.000000000</c:formatCode>
                <c:ptCount val="11"/>
                <c:pt idx="0">
                  <c:v>3.2340539889542299</c:v>
                </c:pt>
                <c:pt idx="1">
                  <c:v>3.2340539889542299</c:v>
                </c:pt>
                <c:pt idx="2">
                  <c:v>3.2340539889542299</c:v>
                </c:pt>
                <c:pt idx="3">
                  <c:v>3.2340539889542299</c:v>
                </c:pt>
                <c:pt idx="4">
                  <c:v>3.2340539889542299</c:v>
                </c:pt>
                <c:pt idx="5">
                  <c:v>3.2340539889542299</c:v>
                </c:pt>
                <c:pt idx="6">
                  <c:v>3.2340539889542299</c:v>
                </c:pt>
                <c:pt idx="7">
                  <c:v>3.2340539889542299</c:v>
                </c:pt>
                <c:pt idx="8">
                  <c:v>3.2340539889542299</c:v>
                </c:pt>
                <c:pt idx="9">
                  <c:v>3.2340539889542299</c:v>
                </c:pt>
                <c:pt idx="10">
                  <c:v>3.2340539889542299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67-4ED9-9177-A3248E7F1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Portfolio_3!$F$2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Portfolio_3!$A$3:$A$13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Portfolio_3!$F$3:$F$13</c:f>
              <c:numCache>
                <c:formatCode>0.000000000</c:formatCode>
                <c:ptCount val="11"/>
                <c:pt idx="0">
                  <c:v>3.8476563035881104</c:v>
                </c:pt>
                <c:pt idx="1">
                  <c:v>4.6409866708663001</c:v>
                </c:pt>
                <c:pt idx="2">
                  <c:v>6.53240819468376</c:v>
                </c:pt>
                <c:pt idx="3">
                  <c:v>8.8402253190965574</c:v>
                </c:pt>
                <c:pt idx="4">
                  <c:v>10.40296022322115</c:v>
                </c:pt>
                <c:pt idx="5">
                  <c:v>10.083807331541534</c:v>
                </c:pt>
                <c:pt idx="6">
                  <c:v>12.719698511113513</c:v>
                </c:pt>
                <c:pt idx="7">
                  <c:v>21.086573001066121</c:v>
                </c:pt>
                <c:pt idx="8">
                  <c:v>25.360398225026628</c:v>
                </c:pt>
                <c:pt idx="9">
                  <c:v>18.679250330626804</c:v>
                </c:pt>
                <c:pt idx="10">
                  <c:v>20.502857557111195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B-441D-BD48-ABD64A02AB0E}"/>
            </c:ext>
          </c:extLst>
        </c:ser>
        <c:ser>
          <c:idx val="1"/>
          <c:order val="1"/>
          <c:tx>
            <c:strRef>
              <c:f>Portfolio_3!$G$2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Portfolio_3!$G$3:$G$13</c:f>
              <c:numCache>
                <c:formatCode>0.000000000</c:formatCode>
                <c:ptCount val="11"/>
                <c:pt idx="0">
                  <c:v>1.8638961415555633</c:v>
                </c:pt>
                <c:pt idx="1">
                  <c:v>1.8638961415555633</c:v>
                </c:pt>
                <c:pt idx="2">
                  <c:v>1.8638961415555633</c:v>
                </c:pt>
                <c:pt idx="3">
                  <c:v>1.8638961415555633</c:v>
                </c:pt>
                <c:pt idx="4">
                  <c:v>1.8638961415555633</c:v>
                </c:pt>
                <c:pt idx="5">
                  <c:v>1.8638961415555633</c:v>
                </c:pt>
                <c:pt idx="6">
                  <c:v>1.8638961415555633</c:v>
                </c:pt>
                <c:pt idx="7">
                  <c:v>1.8638961415555633</c:v>
                </c:pt>
                <c:pt idx="8">
                  <c:v>1.8638961415555633</c:v>
                </c:pt>
                <c:pt idx="9">
                  <c:v>1.8638961415555633</c:v>
                </c:pt>
                <c:pt idx="10">
                  <c:v>1.8638961415555633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B-441D-BD48-ABD64A02AB0E}"/>
            </c:ext>
          </c:extLst>
        </c:ser>
        <c:ser>
          <c:idx val="2"/>
          <c:order val="2"/>
          <c:tx>
            <c:strRef>
              <c:f>Portfolio_3!$H$2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Portfolio_3!$H$3:$H$13</c:f>
              <c:numCache>
                <c:formatCode>0.000000000</c:formatCode>
                <c:ptCount val="11"/>
                <c:pt idx="0">
                  <c:v>1.8914215238174599</c:v>
                </c:pt>
                <c:pt idx="1">
                  <c:v>1.8914215238174599</c:v>
                </c:pt>
                <c:pt idx="2">
                  <c:v>1.8914215238174599</c:v>
                </c:pt>
                <c:pt idx="3">
                  <c:v>1.8914215238174599</c:v>
                </c:pt>
                <c:pt idx="4">
                  <c:v>1.8914215238174599</c:v>
                </c:pt>
                <c:pt idx="5">
                  <c:v>1.8914215238174599</c:v>
                </c:pt>
                <c:pt idx="6">
                  <c:v>1.8914215238174599</c:v>
                </c:pt>
                <c:pt idx="7">
                  <c:v>1.8914215238174599</c:v>
                </c:pt>
                <c:pt idx="8">
                  <c:v>1.8914215238174599</c:v>
                </c:pt>
                <c:pt idx="9">
                  <c:v>1.8914215238174599</c:v>
                </c:pt>
                <c:pt idx="10">
                  <c:v>1.8914215238174599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B-441D-BD48-ABD64A02AB0E}"/>
            </c:ext>
          </c:extLst>
        </c:ser>
        <c:ser>
          <c:idx val="3"/>
          <c:order val="3"/>
          <c:tx>
            <c:strRef>
              <c:f>Portfolio_3!$I$2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Portfolio_3!$I$3:$I$13</c:f>
              <c:numCache>
                <c:formatCode>0.000000000</c:formatCode>
                <c:ptCount val="11"/>
                <c:pt idx="0">
                  <c:v>3.6310811449127556</c:v>
                </c:pt>
                <c:pt idx="1">
                  <c:v>3.6310811449127556</c:v>
                </c:pt>
                <c:pt idx="2">
                  <c:v>3.6310811449127556</c:v>
                </c:pt>
                <c:pt idx="3">
                  <c:v>3.6310811449127556</c:v>
                </c:pt>
                <c:pt idx="4">
                  <c:v>3.6310811449127556</c:v>
                </c:pt>
                <c:pt idx="5">
                  <c:v>3.6310811449127556</c:v>
                </c:pt>
                <c:pt idx="6">
                  <c:v>3.6310811449127556</c:v>
                </c:pt>
                <c:pt idx="7">
                  <c:v>3.6310811449127556</c:v>
                </c:pt>
                <c:pt idx="8">
                  <c:v>3.6310811449127556</c:v>
                </c:pt>
                <c:pt idx="9">
                  <c:v>3.6310811449127556</c:v>
                </c:pt>
                <c:pt idx="10">
                  <c:v>3.6310811449127556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0B-441D-BD48-ABD64A02A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Portfolio_4!$F$2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Portfolio_4!$A$3:$A$13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Portfolio_4!$F$3:$F$13</c:f>
              <c:numCache>
                <c:formatCode>0.000000000</c:formatCode>
                <c:ptCount val="11"/>
                <c:pt idx="0">
                  <c:v>-2.4280481924331023</c:v>
                </c:pt>
                <c:pt idx="1">
                  <c:v>0.35335376303738109</c:v>
                </c:pt>
                <c:pt idx="2">
                  <c:v>2.7432381091562652</c:v>
                </c:pt>
                <c:pt idx="3">
                  <c:v>4.966781967939407</c:v>
                </c:pt>
                <c:pt idx="4">
                  <c:v>11.37028511044732</c:v>
                </c:pt>
                <c:pt idx="5">
                  <c:v>15.312690671058842</c:v>
                </c:pt>
                <c:pt idx="6">
                  <c:v>17.73457035660013</c:v>
                </c:pt>
                <c:pt idx="7">
                  <c:v>28.180092611465504</c:v>
                </c:pt>
                <c:pt idx="8">
                  <c:v>28.755041794320249</c:v>
                </c:pt>
                <c:pt idx="9">
                  <c:v>24.411034656590235</c:v>
                </c:pt>
                <c:pt idx="10">
                  <c:v>27.713766474987111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E-4E59-9B10-21DDE37361B8}"/>
            </c:ext>
          </c:extLst>
        </c:ser>
        <c:ser>
          <c:idx val="1"/>
          <c:order val="1"/>
          <c:tx>
            <c:strRef>
              <c:f>Portfolio_4!$G$2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Portfolio_4!$G$3:$G$13</c:f>
              <c:numCache>
                <c:formatCode>0.000000000</c:formatCode>
                <c:ptCount val="11"/>
                <c:pt idx="0">
                  <c:v>2.5194333159079192</c:v>
                </c:pt>
                <c:pt idx="1">
                  <c:v>2.5194333159079192</c:v>
                </c:pt>
                <c:pt idx="2">
                  <c:v>2.5194333159079192</c:v>
                </c:pt>
                <c:pt idx="3">
                  <c:v>2.5194333159079192</c:v>
                </c:pt>
                <c:pt idx="4">
                  <c:v>2.5194333159079192</c:v>
                </c:pt>
                <c:pt idx="5">
                  <c:v>2.5194333159079192</c:v>
                </c:pt>
                <c:pt idx="6">
                  <c:v>2.5194333159079192</c:v>
                </c:pt>
                <c:pt idx="7">
                  <c:v>2.5194333159079192</c:v>
                </c:pt>
                <c:pt idx="8">
                  <c:v>2.5194333159079192</c:v>
                </c:pt>
                <c:pt idx="9">
                  <c:v>2.5194333159079192</c:v>
                </c:pt>
                <c:pt idx="10">
                  <c:v>2.5194333159079192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E-4E59-9B10-21DDE37361B8}"/>
            </c:ext>
          </c:extLst>
        </c:ser>
        <c:ser>
          <c:idx val="2"/>
          <c:order val="2"/>
          <c:tx>
            <c:strRef>
              <c:f>Portfolio_4!$H$2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Portfolio_4!$H$3:$H$13</c:f>
              <c:numCache>
                <c:formatCode>0.000000000</c:formatCode>
                <c:ptCount val="11"/>
                <c:pt idx="0">
                  <c:v>2.421879685541287</c:v>
                </c:pt>
                <c:pt idx="1">
                  <c:v>2.421879685541287</c:v>
                </c:pt>
                <c:pt idx="2">
                  <c:v>2.421879685541287</c:v>
                </c:pt>
                <c:pt idx="3">
                  <c:v>2.421879685541287</c:v>
                </c:pt>
                <c:pt idx="4">
                  <c:v>2.421879685541287</c:v>
                </c:pt>
                <c:pt idx="5">
                  <c:v>2.421879685541287</c:v>
                </c:pt>
                <c:pt idx="6">
                  <c:v>2.421879685541287</c:v>
                </c:pt>
                <c:pt idx="7">
                  <c:v>2.421879685541287</c:v>
                </c:pt>
                <c:pt idx="8">
                  <c:v>2.421879685541287</c:v>
                </c:pt>
                <c:pt idx="9">
                  <c:v>2.421879685541287</c:v>
                </c:pt>
                <c:pt idx="10">
                  <c:v>2.421879685541287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E-4E59-9B10-21DDE37361B8}"/>
            </c:ext>
          </c:extLst>
        </c:ser>
        <c:ser>
          <c:idx val="3"/>
          <c:order val="3"/>
          <c:tx>
            <c:strRef>
              <c:f>Portfolio_4!$I$2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Portfolio_4!$I$3:$I$13</c:f>
              <c:numCache>
                <c:formatCode>0.000000000</c:formatCode>
                <c:ptCount val="11"/>
                <c:pt idx="0">
                  <c:v>3.950888195132773</c:v>
                </c:pt>
                <c:pt idx="1">
                  <c:v>3.950888195132773</c:v>
                </c:pt>
                <c:pt idx="2">
                  <c:v>3.950888195132773</c:v>
                </c:pt>
                <c:pt idx="3">
                  <c:v>3.950888195132773</c:v>
                </c:pt>
                <c:pt idx="4">
                  <c:v>3.950888195132773</c:v>
                </c:pt>
                <c:pt idx="5">
                  <c:v>3.950888195132773</c:v>
                </c:pt>
                <c:pt idx="6">
                  <c:v>3.950888195132773</c:v>
                </c:pt>
                <c:pt idx="7">
                  <c:v>3.950888195132773</c:v>
                </c:pt>
                <c:pt idx="8">
                  <c:v>3.950888195132773</c:v>
                </c:pt>
                <c:pt idx="9">
                  <c:v>3.950888195132773</c:v>
                </c:pt>
                <c:pt idx="10">
                  <c:v>3.950888195132773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E-4E59-9B10-21DDE373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Portfolio_5!$F$2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Portfolio_5!$A$3:$A$13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Portfolio_5!$F$3:$F$13</c:f>
              <c:numCache>
                <c:formatCode>0.000000000</c:formatCode>
                <c:ptCount val="11"/>
                <c:pt idx="0">
                  <c:v>1.3059889001355041</c:v>
                </c:pt>
                <c:pt idx="1">
                  <c:v>2.1246725467405403</c:v>
                </c:pt>
                <c:pt idx="2">
                  <c:v>3.9592419997976274</c:v>
                </c:pt>
                <c:pt idx="3">
                  <c:v>4.8193338229527241</c:v>
                </c:pt>
                <c:pt idx="4">
                  <c:v>9.092187990184561</c:v>
                </c:pt>
                <c:pt idx="5">
                  <c:v>11.559612878299294</c:v>
                </c:pt>
                <c:pt idx="6">
                  <c:v>12.059401765797018</c:v>
                </c:pt>
                <c:pt idx="7">
                  <c:v>21.853280464264575</c:v>
                </c:pt>
                <c:pt idx="8">
                  <c:v>22.396333817724546</c:v>
                </c:pt>
                <c:pt idx="9">
                  <c:v>15.551989352625419</c:v>
                </c:pt>
                <c:pt idx="10">
                  <c:v>17.401066384988283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0-4787-87E6-29DE49A5E0FD}"/>
            </c:ext>
          </c:extLst>
        </c:ser>
        <c:ser>
          <c:idx val="1"/>
          <c:order val="1"/>
          <c:tx>
            <c:strRef>
              <c:f>Portfolio_5!$G$2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Portfolio_5!$G$3:$G$13</c:f>
              <c:numCache>
                <c:formatCode>0.000000000</c:formatCode>
                <c:ptCount val="11"/>
                <c:pt idx="0">
                  <c:v>1.5819151259080257</c:v>
                </c:pt>
                <c:pt idx="1">
                  <c:v>1.5819151259080257</c:v>
                </c:pt>
                <c:pt idx="2">
                  <c:v>1.5819151259080257</c:v>
                </c:pt>
                <c:pt idx="3">
                  <c:v>1.5819151259080257</c:v>
                </c:pt>
                <c:pt idx="4">
                  <c:v>1.5819151259080257</c:v>
                </c:pt>
                <c:pt idx="5">
                  <c:v>1.5819151259080257</c:v>
                </c:pt>
                <c:pt idx="6">
                  <c:v>1.5819151259080257</c:v>
                </c:pt>
                <c:pt idx="7">
                  <c:v>1.5819151259080257</c:v>
                </c:pt>
                <c:pt idx="8">
                  <c:v>1.5819151259080257</c:v>
                </c:pt>
                <c:pt idx="9">
                  <c:v>1.5819151259080257</c:v>
                </c:pt>
                <c:pt idx="10">
                  <c:v>1.5819151259080257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0-4787-87E6-29DE49A5E0FD}"/>
            </c:ext>
          </c:extLst>
        </c:ser>
        <c:ser>
          <c:idx val="2"/>
          <c:order val="2"/>
          <c:tx>
            <c:strRef>
              <c:f>Portfolio_5!$H$2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Portfolio_5!$H$3:$H$13</c:f>
              <c:numCache>
                <c:formatCode>0.000000000</c:formatCode>
                <c:ptCount val="11"/>
                <c:pt idx="0">
                  <c:v>1.3059889001355041</c:v>
                </c:pt>
                <c:pt idx="1">
                  <c:v>1.3059889001355041</c:v>
                </c:pt>
                <c:pt idx="2">
                  <c:v>1.3059889001355041</c:v>
                </c:pt>
                <c:pt idx="3">
                  <c:v>1.3059889001355041</c:v>
                </c:pt>
                <c:pt idx="4">
                  <c:v>1.3059889001355041</c:v>
                </c:pt>
                <c:pt idx="5">
                  <c:v>1.3059889001355041</c:v>
                </c:pt>
                <c:pt idx="6">
                  <c:v>1.3059889001355041</c:v>
                </c:pt>
                <c:pt idx="7">
                  <c:v>1.3059889001355041</c:v>
                </c:pt>
                <c:pt idx="8">
                  <c:v>1.3059889001355041</c:v>
                </c:pt>
                <c:pt idx="9">
                  <c:v>1.3059889001355041</c:v>
                </c:pt>
                <c:pt idx="10">
                  <c:v>1.3059889001355041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0-4787-87E6-29DE49A5E0FD}"/>
            </c:ext>
          </c:extLst>
        </c:ser>
        <c:ser>
          <c:idx val="3"/>
          <c:order val="3"/>
          <c:tx>
            <c:strRef>
              <c:f>Portfolio_5!$I$2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Portfolio_5!$I$3:$I$13</c:f>
              <c:numCache>
                <c:formatCode>0.000000000</c:formatCode>
                <c:ptCount val="11"/>
                <c:pt idx="0">
                  <c:v>3.873352604657001</c:v>
                </c:pt>
                <c:pt idx="1">
                  <c:v>3.873352604657001</c:v>
                </c:pt>
                <c:pt idx="2">
                  <c:v>3.873352604657001</c:v>
                </c:pt>
                <c:pt idx="3">
                  <c:v>3.873352604657001</c:v>
                </c:pt>
                <c:pt idx="4">
                  <c:v>3.873352604657001</c:v>
                </c:pt>
                <c:pt idx="5">
                  <c:v>3.873352604657001</c:v>
                </c:pt>
                <c:pt idx="6">
                  <c:v>3.873352604657001</c:v>
                </c:pt>
                <c:pt idx="7">
                  <c:v>3.873352604657001</c:v>
                </c:pt>
                <c:pt idx="8">
                  <c:v>3.873352604657001</c:v>
                </c:pt>
                <c:pt idx="9">
                  <c:v>3.873352604657001</c:v>
                </c:pt>
                <c:pt idx="10">
                  <c:v>3.873352604657001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D0-4787-87E6-29DE49A5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Portfolio_6!$F$2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Portfolio_6!$A$3:$A$13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Portfolio_6!$F$3:$F$13</c:f>
              <c:numCache>
                <c:formatCode>0.000000000</c:formatCode>
                <c:ptCount val="11"/>
                <c:pt idx="0">
                  <c:v>2.9993809477305144</c:v>
                </c:pt>
                <c:pt idx="1">
                  <c:v>4.8426190662279041</c:v>
                </c:pt>
                <c:pt idx="2">
                  <c:v>7.3099727439224473</c:v>
                </c:pt>
                <c:pt idx="3">
                  <c:v>7.5202485650052253</c:v>
                </c:pt>
                <c:pt idx="4">
                  <c:v>13.68234700710974</c:v>
                </c:pt>
                <c:pt idx="5">
                  <c:v>16.390105187939376</c:v>
                </c:pt>
                <c:pt idx="6">
                  <c:v>16.787037219582245</c:v>
                </c:pt>
                <c:pt idx="7">
                  <c:v>26.335801561349633</c:v>
                </c:pt>
                <c:pt idx="8">
                  <c:v>28.301740028412297</c:v>
                </c:pt>
                <c:pt idx="9">
                  <c:v>22.921942213894976</c:v>
                </c:pt>
                <c:pt idx="10">
                  <c:v>25.109063699096957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9-4985-9698-122D41A5E8E2}"/>
            </c:ext>
          </c:extLst>
        </c:ser>
        <c:ser>
          <c:idx val="1"/>
          <c:order val="1"/>
          <c:tx>
            <c:strRef>
              <c:f>Portfolio_6!$G$2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Portfolio_6!$G$3:$G$13</c:f>
              <c:numCache>
                <c:formatCode>0.000000000</c:formatCode>
                <c:ptCount val="11"/>
                <c:pt idx="0">
                  <c:v>2.2826421544633599</c:v>
                </c:pt>
                <c:pt idx="1">
                  <c:v>2.2826421544633599</c:v>
                </c:pt>
                <c:pt idx="2">
                  <c:v>2.2826421544633599</c:v>
                </c:pt>
                <c:pt idx="3">
                  <c:v>2.2826421544633599</c:v>
                </c:pt>
                <c:pt idx="4">
                  <c:v>2.2826421544633599</c:v>
                </c:pt>
                <c:pt idx="5">
                  <c:v>2.2826421544633599</c:v>
                </c:pt>
                <c:pt idx="6">
                  <c:v>2.2826421544633599</c:v>
                </c:pt>
                <c:pt idx="7">
                  <c:v>2.2826421544633599</c:v>
                </c:pt>
                <c:pt idx="8">
                  <c:v>2.2826421544633599</c:v>
                </c:pt>
                <c:pt idx="9">
                  <c:v>2.2826421544633599</c:v>
                </c:pt>
                <c:pt idx="10">
                  <c:v>2.2826421544633599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9-4985-9698-122D41A5E8E2}"/>
            </c:ext>
          </c:extLst>
        </c:ser>
        <c:ser>
          <c:idx val="2"/>
          <c:order val="2"/>
          <c:tx>
            <c:strRef>
              <c:f>Portfolio_6!$H$2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Portfolio_6!$H$3:$H$13</c:f>
              <c:numCache>
                <c:formatCode>0.000000000</c:formatCode>
                <c:ptCount val="11"/>
                <c:pt idx="0">
                  <c:v>2.1871214852019802</c:v>
                </c:pt>
                <c:pt idx="1">
                  <c:v>2.1871214852019802</c:v>
                </c:pt>
                <c:pt idx="2">
                  <c:v>2.1871214852019802</c:v>
                </c:pt>
                <c:pt idx="3">
                  <c:v>2.1871214852019802</c:v>
                </c:pt>
                <c:pt idx="4">
                  <c:v>2.1871214852019802</c:v>
                </c:pt>
                <c:pt idx="5">
                  <c:v>2.1871214852019802</c:v>
                </c:pt>
                <c:pt idx="6">
                  <c:v>2.1871214852019802</c:v>
                </c:pt>
                <c:pt idx="7">
                  <c:v>2.1871214852019802</c:v>
                </c:pt>
                <c:pt idx="8">
                  <c:v>2.1871214852019802</c:v>
                </c:pt>
                <c:pt idx="9">
                  <c:v>2.1871214852019802</c:v>
                </c:pt>
                <c:pt idx="10">
                  <c:v>2.1871214852019802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9-4985-9698-122D41A5E8E2}"/>
            </c:ext>
          </c:extLst>
        </c:ser>
        <c:ser>
          <c:idx val="3"/>
          <c:order val="3"/>
          <c:tx>
            <c:strRef>
              <c:f>Portfolio_6!$I$2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Portfolio_6!$I$3:$I$13</c:f>
              <c:numCache>
                <c:formatCode>0.000000000</c:formatCode>
                <c:ptCount val="11"/>
                <c:pt idx="0">
                  <c:v>3.6802358851706019</c:v>
                </c:pt>
                <c:pt idx="1">
                  <c:v>3.6802358851706019</c:v>
                </c:pt>
                <c:pt idx="2">
                  <c:v>3.6802358851706019</c:v>
                </c:pt>
                <c:pt idx="3">
                  <c:v>3.6802358851706019</c:v>
                </c:pt>
                <c:pt idx="4">
                  <c:v>3.6802358851706019</c:v>
                </c:pt>
                <c:pt idx="5">
                  <c:v>3.6802358851706019</c:v>
                </c:pt>
                <c:pt idx="6">
                  <c:v>3.6802358851706019</c:v>
                </c:pt>
                <c:pt idx="7">
                  <c:v>3.6802358851706019</c:v>
                </c:pt>
                <c:pt idx="8">
                  <c:v>3.6802358851706019</c:v>
                </c:pt>
                <c:pt idx="9">
                  <c:v>3.6802358851706019</c:v>
                </c:pt>
                <c:pt idx="10">
                  <c:v>3.6802358851706019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9-4985-9698-122D41A5E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Portfolio_7!$F$2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Portfolio_7!$A$3:$A$13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Portfolio_7!$F$3:$F$13</c:f>
              <c:numCache>
                <c:formatCode>0.000000000</c:formatCode>
                <c:ptCount val="11"/>
                <c:pt idx="0">
                  <c:v>-1.582365447135933</c:v>
                </c:pt>
                <c:pt idx="1">
                  <c:v>1.8124890725048037</c:v>
                </c:pt>
                <c:pt idx="2">
                  <c:v>3.4510793711267045</c:v>
                </c:pt>
                <c:pt idx="3">
                  <c:v>6.3547414560233957</c:v>
                </c:pt>
                <c:pt idx="4">
                  <c:v>11.532138918262792</c:v>
                </c:pt>
                <c:pt idx="5">
                  <c:v>9.4550829275657247</c:v>
                </c:pt>
                <c:pt idx="6">
                  <c:v>13.934951332092488</c:v>
                </c:pt>
                <c:pt idx="7">
                  <c:v>24.069017224686572</c:v>
                </c:pt>
                <c:pt idx="8">
                  <c:v>23.648887152313883</c:v>
                </c:pt>
                <c:pt idx="9">
                  <c:v>18.674117332353902</c:v>
                </c:pt>
                <c:pt idx="10">
                  <c:v>22.442812958594526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4-4BAE-AE48-26C0B4DDEF82}"/>
            </c:ext>
          </c:extLst>
        </c:ser>
        <c:ser>
          <c:idx val="1"/>
          <c:order val="1"/>
          <c:tx>
            <c:strRef>
              <c:f>Portfolio_7!$G$2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Portfolio_7!$G$3:$G$13</c:f>
              <c:numCache>
                <c:formatCode>0.000000000</c:formatCode>
                <c:ptCount val="11"/>
                <c:pt idx="0">
                  <c:v>2.0402557235085932</c:v>
                </c:pt>
                <c:pt idx="1">
                  <c:v>2.0402557235085932</c:v>
                </c:pt>
                <c:pt idx="2">
                  <c:v>2.0402557235085932</c:v>
                </c:pt>
                <c:pt idx="3">
                  <c:v>2.0402557235085932</c:v>
                </c:pt>
                <c:pt idx="4">
                  <c:v>2.0402557235085932</c:v>
                </c:pt>
                <c:pt idx="5">
                  <c:v>2.0402557235085932</c:v>
                </c:pt>
                <c:pt idx="6">
                  <c:v>2.0402557235085932</c:v>
                </c:pt>
                <c:pt idx="7">
                  <c:v>2.0402557235085932</c:v>
                </c:pt>
                <c:pt idx="8">
                  <c:v>2.0402557235085932</c:v>
                </c:pt>
                <c:pt idx="9">
                  <c:v>2.0402557235085932</c:v>
                </c:pt>
                <c:pt idx="10">
                  <c:v>2.0402557235085932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4-4BAE-AE48-26C0B4DDEF82}"/>
            </c:ext>
          </c:extLst>
        </c:ser>
        <c:ser>
          <c:idx val="2"/>
          <c:order val="2"/>
          <c:tx>
            <c:strRef>
              <c:f>Portfolio_7!$H$2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Portfolio_7!$H$3:$H$13</c:f>
              <c:numCache>
                <c:formatCode>0.000000000</c:formatCode>
                <c:ptCount val="11"/>
                <c:pt idx="0">
                  <c:v>2.9036620848966916</c:v>
                </c:pt>
                <c:pt idx="1">
                  <c:v>2.9036620848966916</c:v>
                </c:pt>
                <c:pt idx="2">
                  <c:v>2.9036620848966916</c:v>
                </c:pt>
                <c:pt idx="3">
                  <c:v>2.9036620848966916</c:v>
                </c:pt>
                <c:pt idx="4">
                  <c:v>2.9036620848966916</c:v>
                </c:pt>
                <c:pt idx="5">
                  <c:v>2.9036620848966916</c:v>
                </c:pt>
                <c:pt idx="6">
                  <c:v>2.9036620848966916</c:v>
                </c:pt>
                <c:pt idx="7">
                  <c:v>2.9036620848966916</c:v>
                </c:pt>
                <c:pt idx="8">
                  <c:v>2.9036620848966916</c:v>
                </c:pt>
                <c:pt idx="9">
                  <c:v>2.9036620848966916</c:v>
                </c:pt>
                <c:pt idx="10">
                  <c:v>2.9036620848966916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4-4BAE-AE48-26C0B4DDEF82}"/>
            </c:ext>
          </c:extLst>
        </c:ser>
        <c:ser>
          <c:idx val="3"/>
          <c:order val="3"/>
          <c:tx>
            <c:strRef>
              <c:f>Portfolio_7!$I$2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Portfolio_7!$I$3:$I$13</c:f>
              <c:numCache>
                <c:formatCode>0.000000000</c:formatCode>
                <c:ptCount val="11"/>
                <c:pt idx="0">
                  <c:v>4.1517719225381962</c:v>
                </c:pt>
                <c:pt idx="1">
                  <c:v>4.1517719225381962</c:v>
                </c:pt>
                <c:pt idx="2">
                  <c:v>4.1517719225381962</c:v>
                </c:pt>
                <c:pt idx="3">
                  <c:v>4.1517719225381962</c:v>
                </c:pt>
                <c:pt idx="4">
                  <c:v>4.1517719225381962</c:v>
                </c:pt>
                <c:pt idx="5">
                  <c:v>4.1517719225381962</c:v>
                </c:pt>
                <c:pt idx="6">
                  <c:v>4.1517719225381962</c:v>
                </c:pt>
                <c:pt idx="7">
                  <c:v>4.1517719225381962</c:v>
                </c:pt>
                <c:pt idx="8">
                  <c:v>4.1517719225381962</c:v>
                </c:pt>
                <c:pt idx="9">
                  <c:v>4.1517719225381962</c:v>
                </c:pt>
                <c:pt idx="10">
                  <c:v>4.1517719225381962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E4-4BAE-AE48-26C0B4DDE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Portfolio_8!$F$2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Portfolio_8!$A$3:$A$13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Portfolio_8!$F$3:$F$13</c:f>
              <c:numCache>
                <c:formatCode>0.000000000</c:formatCode>
                <c:ptCount val="11"/>
                <c:pt idx="0">
                  <c:v>2.1516716454326734</c:v>
                </c:pt>
                <c:pt idx="1">
                  <c:v>3.5838078562079629</c:v>
                </c:pt>
                <c:pt idx="2">
                  <c:v>4.6670832617680666</c:v>
                </c:pt>
                <c:pt idx="3">
                  <c:v>6.2072933110367137</c:v>
                </c:pt>
                <c:pt idx="4">
                  <c:v>9.2540417980000349</c:v>
                </c:pt>
                <c:pt idx="5">
                  <c:v>5.7020051348061784</c:v>
                </c:pt>
                <c:pt idx="6">
                  <c:v>8.2597827412893778</c:v>
                </c:pt>
                <c:pt idx="7">
                  <c:v>17.742205077485643</c:v>
                </c:pt>
                <c:pt idx="8">
                  <c:v>17.29017917571818</c:v>
                </c:pt>
                <c:pt idx="9">
                  <c:v>9.8150720283890855</c:v>
                </c:pt>
                <c:pt idx="10">
                  <c:v>12.130112868595695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0-4593-8426-A78E9BBA9D85}"/>
            </c:ext>
          </c:extLst>
        </c:ser>
        <c:ser>
          <c:idx val="1"/>
          <c:order val="1"/>
          <c:tx>
            <c:strRef>
              <c:f>Portfolio_8!$G$2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Portfolio_8!$G$3:$G$13</c:f>
              <c:numCache>
                <c:formatCode>0.000000000</c:formatCode>
                <c:ptCount val="11"/>
                <c:pt idx="0">
                  <c:v>1.1027375335086995</c:v>
                </c:pt>
                <c:pt idx="1">
                  <c:v>1.1027375335086995</c:v>
                </c:pt>
                <c:pt idx="2">
                  <c:v>1.1027375335086995</c:v>
                </c:pt>
                <c:pt idx="3">
                  <c:v>1.1027375335086995</c:v>
                </c:pt>
                <c:pt idx="4">
                  <c:v>1.1027375335086995</c:v>
                </c:pt>
                <c:pt idx="5">
                  <c:v>1.1027375335086995</c:v>
                </c:pt>
                <c:pt idx="6">
                  <c:v>1.1027375335086995</c:v>
                </c:pt>
                <c:pt idx="7">
                  <c:v>1.1027375335086995</c:v>
                </c:pt>
                <c:pt idx="8">
                  <c:v>1.1027375335086995</c:v>
                </c:pt>
                <c:pt idx="9">
                  <c:v>1.1027375335086995</c:v>
                </c:pt>
                <c:pt idx="10">
                  <c:v>1.1027375335086995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0-4593-8426-A78E9BBA9D85}"/>
            </c:ext>
          </c:extLst>
        </c:ser>
        <c:ser>
          <c:idx val="2"/>
          <c:order val="2"/>
          <c:tx>
            <c:strRef>
              <c:f>Portfolio_8!$H$2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Portfolio_8!$H$3:$H$13</c:f>
              <c:numCache>
                <c:formatCode>0.000000000</c:formatCode>
                <c:ptCount val="11"/>
                <c:pt idx="0">
                  <c:v>1.5402100492686468</c:v>
                </c:pt>
                <c:pt idx="1">
                  <c:v>1.5402100492686468</c:v>
                </c:pt>
                <c:pt idx="2">
                  <c:v>1.5402100492686468</c:v>
                </c:pt>
                <c:pt idx="3">
                  <c:v>1.5402100492686468</c:v>
                </c:pt>
                <c:pt idx="4">
                  <c:v>1.5402100492686468</c:v>
                </c:pt>
                <c:pt idx="5">
                  <c:v>1.5402100492686468</c:v>
                </c:pt>
                <c:pt idx="6">
                  <c:v>1.5402100492686468</c:v>
                </c:pt>
                <c:pt idx="7">
                  <c:v>1.5402100492686468</c:v>
                </c:pt>
                <c:pt idx="8">
                  <c:v>1.5402100492686468</c:v>
                </c:pt>
                <c:pt idx="9">
                  <c:v>1.5402100492686468</c:v>
                </c:pt>
                <c:pt idx="10">
                  <c:v>1.5402100492686468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0-4593-8426-A78E9BBA9D85}"/>
            </c:ext>
          </c:extLst>
        </c:ser>
        <c:ser>
          <c:idx val="3"/>
          <c:order val="3"/>
          <c:tx>
            <c:strRef>
              <c:f>Portfolio_8!$I$2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Portfolio_8!$I$3:$I$13</c:f>
              <c:numCache>
                <c:formatCode>0.000000000</c:formatCode>
                <c:ptCount val="11"/>
                <c:pt idx="0">
                  <c:v>4.2029665198248489</c:v>
                </c:pt>
                <c:pt idx="1">
                  <c:v>4.2029665198248489</c:v>
                </c:pt>
                <c:pt idx="2">
                  <c:v>4.2029665198248489</c:v>
                </c:pt>
                <c:pt idx="3">
                  <c:v>4.2029665198248489</c:v>
                </c:pt>
                <c:pt idx="4">
                  <c:v>4.2029665198248489</c:v>
                </c:pt>
                <c:pt idx="5">
                  <c:v>4.2029665198248489</c:v>
                </c:pt>
                <c:pt idx="6">
                  <c:v>4.2029665198248489</c:v>
                </c:pt>
                <c:pt idx="7">
                  <c:v>4.2029665198248489</c:v>
                </c:pt>
                <c:pt idx="8">
                  <c:v>4.2029665198248489</c:v>
                </c:pt>
                <c:pt idx="9">
                  <c:v>4.2029665198248489</c:v>
                </c:pt>
                <c:pt idx="10">
                  <c:v>4.2029665198248489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40-4593-8426-A78E9BBA9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Portfolio_9!$F$2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Portfolio_9!$A$3:$A$14</c:f>
              <c:numCache>
                <c:formatCode>m/d/yyyy</c:formatCode>
                <c:ptCount val="12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Portfolio_9!$F$3:$F$14</c:f>
              <c:numCache>
                <c:formatCode>0.000000000</c:formatCode>
                <c:ptCount val="12"/>
                <c:pt idx="0">
                  <c:v>3.8450636930276834</c:v>
                </c:pt>
                <c:pt idx="1">
                  <c:v>6.3017543756953263</c:v>
                </c:pt>
                <c:pt idx="2">
                  <c:v>8.0178140058928857</c:v>
                </c:pt>
                <c:pt idx="3">
                  <c:v>8.9082080530892132</c:v>
                </c:pt>
                <c:pt idx="4">
                  <c:v>13.844200814925212</c:v>
                </c:pt>
                <c:pt idx="5">
                  <c:v>10.532497444446259</c:v>
                </c:pt>
                <c:pt idx="6">
                  <c:v>12.987418195074605</c:v>
                </c:pt>
                <c:pt idx="7">
                  <c:v>22.224726174570705</c:v>
                </c:pt>
                <c:pt idx="8">
                  <c:v>23.195585386405934</c:v>
                </c:pt>
                <c:pt idx="9">
                  <c:v>17.185024889658649</c:v>
                </c:pt>
                <c:pt idx="10">
                  <c:v>19.838110182704376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A-4EF0-846A-9FB8F05E6601}"/>
            </c:ext>
          </c:extLst>
        </c:ser>
        <c:ser>
          <c:idx val="1"/>
          <c:order val="1"/>
          <c:tx>
            <c:strRef>
              <c:f>Portfolio_9!$G$2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Portfolio_9!$G$3:$G$14</c:f>
              <c:numCache>
                <c:formatCode>0.000000000</c:formatCode>
                <c:ptCount val="12"/>
                <c:pt idx="0">
                  <c:v>1.8034645620640342</c:v>
                </c:pt>
                <c:pt idx="1">
                  <c:v>1.8034645620640342</c:v>
                </c:pt>
                <c:pt idx="2">
                  <c:v>1.8034645620640342</c:v>
                </c:pt>
                <c:pt idx="3">
                  <c:v>1.8034645620640342</c:v>
                </c:pt>
                <c:pt idx="4">
                  <c:v>1.8034645620640342</c:v>
                </c:pt>
                <c:pt idx="5">
                  <c:v>1.8034645620640342</c:v>
                </c:pt>
                <c:pt idx="6">
                  <c:v>1.8034645620640342</c:v>
                </c:pt>
                <c:pt idx="7">
                  <c:v>1.8034645620640342</c:v>
                </c:pt>
                <c:pt idx="8">
                  <c:v>1.8034645620640342</c:v>
                </c:pt>
                <c:pt idx="9">
                  <c:v>1.8034645620640342</c:v>
                </c:pt>
                <c:pt idx="10">
                  <c:v>1.8034645620640342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A-4EF0-846A-9FB8F05E6601}"/>
            </c:ext>
          </c:extLst>
        </c:ser>
        <c:ser>
          <c:idx val="2"/>
          <c:order val="2"/>
          <c:tx>
            <c:strRef>
              <c:f>Portfolio_9!$H$2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Portfolio_9!$H$3:$H$14</c:f>
              <c:numCache>
                <c:formatCode>0.000000000</c:formatCode>
                <c:ptCount val="12"/>
                <c:pt idx="0">
                  <c:v>2.454920750628347</c:v>
                </c:pt>
                <c:pt idx="1">
                  <c:v>2.454920750628347</c:v>
                </c:pt>
                <c:pt idx="2">
                  <c:v>2.454920750628347</c:v>
                </c:pt>
                <c:pt idx="3">
                  <c:v>2.454920750628347</c:v>
                </c:pt>
                <c:pt idx="4">
                  <c:v>2.454920750628347</c:v>
                </c:pt>
                <c:pt idx="5">
                  <c:v>2.454920750628347</c:v>
                </c:pt>
                <c:pt idx="6">
                  <c:v>2.454920750628347</c:v>
                </c:pt>
                <c:pt idx="7">
                  <c:v>2.454920750628347</c:v>
                </c:pt>
                <c:pt idx="8">
                  <c:v>2.454920750628347</c:v>
                </c:pt>
                <c:pt idx="9">
                  <c:v>2.454920750628347</c:v>
                </c:pt>
                <c:pt idx="10">
                  <c:v>2.454920750628347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A-4EF0-846A-9FB8F05E6601}"/>
            </c:ext>
          </c:extLst>
        </c:ser>
        <c:ser>
          <c:idx val="3"/>
          <c:order val="3"/>
          <c:tx>
            <c:strRef>
              <c:f>Portfolio_9!$I$2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Portfolio_9!$I$3:$I$14</c:f>
              <c:numCache>
                <c:formatCode>0.000000000</c:formatCode>
                <c:ptCount val="12"/>
                <c:pt idx="0">
                  <c:v>3.9946757372770576</c:v>
                </c:pt>
                <c:pt idx="1">
                  <c:v>3.9946757372770576</c:v>
                </c:pt>
                <c:pt idx="2">
                  <c:v>3.9946757372770576</c:v>
                </c:pt>
                <c:pt idx="3">
                  <c:v>3.9946757372770576</c:v>
                </c:pt>
                <c:pt idx="4">
                  <c:v>3.9946757372770576</c:v>
                </c:pt>
                <c:pt idx="5">
                  <c:v>3.9946757372770576</c:v>
                </c:pt>
                <c:pt idx="6">
                  <c:v>3.9946757372770576</c:v>
                </c:pt>
                <c:pt idx="7">
                  <c:v>3.9946757372770576</c:v>
                </c:pt>
                <c:pt idx="8">
                  <c:v>3.9946757372770576</c:v>
                </c:pt>
                <c:pt idx="9">
                  <c:v>3.9946757372770576</c:v>
                </c:pt>
                <c:pt idx="10">
                  <c:v>3.9946757372770576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DA-4EF0-846A-9FB8F05E6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Portfolio Cummulative Monthly Returns</a:t>
            </a:r>
          </a:p>
          <a:p>
            <a:pPr>
              <a:defRPr/>
            </a:pPr>
            <a:r>
              <a:rPr lang="en-GB"/>
              <a:t>(April 2017 - April 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Portfolio_10!$F$2</c:f>
              <c:strCache>
                <c:ptCount val="1"/>
                <c:pt idx="0">
                  <c:v>C.Returns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Portfolio_10!$A$3:$A$13</c:f>
              <c:numCache>
                <c:formatCode>m/d/yyyy</c:formatCode>
                <c:ptCount val="11"/>
                <c:pt idx="0">
                  <c:v>42887</c:v>
                </c:pt>
                <c:pt idx="1">
                  <c:v>42917</c:v>
                </c:pt>
                <c:pt idx="2">
                  <c:v>42948</c:v>
                </c:pt>
                <c:pt idx="3">
                  <c:v>42979</c:v>
                </c:pt>
                <c:pt idx="4">
                  <c:v>43009</c:v>
                </c:pt>
                <c:pt idx="5">
                  <c:v>43040</c:v>
                </c:pt>
                <c:pt idx="6">
                  <c:v>43070</c:v>
                </c:pt>
                <c:pt idx="7">
                  <c:v>43101</c:v>
                </c:pt>
                <c:pt idx="8">
                  <c:v>43132</c:v>
                </c:pt>
                <c:pt idx="9">
                  <c:v>43160</c:v>
                </c:pt>
                <c:pt idx="10">
                  <c:v>43191</c:v>
                </c:pt>
              </c:numCache>
            </c:numRef>
          </c:cat>
          <c:val>
            <c:numRef>
              <c:f>Portfolio_10!$F$3:$F$13</c:f>
              <c:numCache>
                <c:formatCode>0.000000000</c:formatCode>
                <c:ptCount val="11"/>
                <c:pt idx="0">
                  <c:v>1.303396289575077</c:v>
                </c:pt>
                <c:pt idx="1">
                  <c:v>3.7854402515695664</c:v>
                </c:pt>
                <c:pt idx="2">
                  <c:v>5.444647811006754</c:v>
                </c:pt>
                <c:pt idx="3">
                  <c:v>4.8873165569453825</c:v>
                </c:pt>
                <c:pt idx="4">
                  <c:v>12.533428581888625</c:v>
                </c:pt>
                <c:pt idx="5">
                  <c:v>12.008302991204021</c:v>
                </c:pt>
                <c:pt idx="6">
                  <c:v>12.32712144975811</c:v>
                </c:pt>
                <c:pt idx="7">
                  <c:v>22.991433637769163</c:v>
                </c:pt>
                <c:pt idx="8">
                  <c:v>20.231520979103855</c:v>
                </c:pt>
                <c:pt idx="9">
                  <c:v>14.057763911657265</c:v>
                </c:pt>
                <c:pt idx="10">
                  <c:v>16.736319010581465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1-41B4-B6FC-DA0D046E5732}"/>
            </c:ext>
          </c:extLst>
        </c:ser>
        <c:ser>
          <c:idx val="1"/>
          <c:order val="1"/>
          <c:tx>
            <c:strRef>
              <c:f>Portfolio_10!$G$2</c:f>
              <c:strCache>
                <c:ptCount val="1"/>
                <c:pt idx="0">
                  <c:v>WPR.Mean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Portfolio_10!$G$3:$G$13</c:f>
              <c:numCache>
                <c:formatCode>0.000000000</c:formatCode>
                <c:ptCount val="11"/>
                <c:pt idx="0">
                  <c:v>1.5214835464164969</c:v>
                </c:pt>
                <c:pt idx="1">
                  <c:v>1.5214835464164969</c:v>
                </c:pt>
                <c:pt idx="2">
                  <c:v>1.5214835464164969</c:v>
                </c:pt>
                <c:pt idx="3">
                  <c:v>1.5214835464164969</c:v>
                </c:pt>
                <c:pt idx="4">
                  <c:v>1.5214835464164969</c:v>
                </c:pt>
                <c:pt idx="5">
                  <c:v>1.5214835464164969</c:v>
                </c:pt>
                <c:pt idx="6">
                  <c:v>1.5214835464164969</c:v>
                </c:pt>
                <c:pt idx="7">
                  <c:v>1.5214835464164969</c:v>
                </c:pt>
                <c:pt idx="8">
                  <c:v>1.5214835464164969</c:v>
                </c:pt>
                <c:pt idx="9">
                  <c:v>1.5214835464164969</c:v>
                </c:pt>
                <c:pt idx="10">
                  <c:v>1.5214835464164969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1-41B4-B6FC-DA0D046E5732}"/>
            </c:ext>
          </c:extLst>
        </c:ser>
        <c:ser>
          <c:idx val="2"/>
          <c:order val="2"/>
          <c:tx>
            <c:strRef>
              <c:f>Portfolio_10!$H$2</c:f>
              <c:strCache>
                <c:ptCount val="1"/>
                <c:pt idx="0">
                  <c:v>WPR.Median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Portfolio_10!$H$3:$H$13</c:f>
              <c:numCache>
                <c:formatCode>0.000000000</c:formatCode>
                <c:ptCount val="11"/>
                <c:pt idx="0">
                  <c:v>1.303396289575077</c:v>
                </c:pt>
                <c:pt idx="1">
                  <c:v>1.303396289575077</c:v>
                </c:pt>
                <c:pt idx="2">
                  <c:v>1.303396289575077</c:v>
                </c:pt>
                <c:pt idx="3">
                  <c:v>1.303396289575077</c:v>
                </c:pt>
                <c:pt idx="4">
                  <c:v>1.303396289575077</c:v>
                </c:pt>
                <c:pt idx="5">
                  <c:v>1.303396289575077</c:v>
                </c:pt>
                <c:pt idx="6">
                  <c:v>1.303396289575077</c:v>
                </c:pt>
                <c:pt idx="7">
                  <c:v>1.303396289575077</c:v>
                </c:pt>
                <c:pt idx="8">
                  <c:v>1.303396289575077</c:v>
                </c:pt>
                <c:pt idx="9">
                  <c:v>1.303396289575077</c:v>
                </c:pt>
                <c:pt idx="10">
                  <c:v>1.303396289575077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1-41B4-B6FC-DA0D046E5732}"/>
            </c:ext>
          </c:extLst>
        </c:ser>
        <c:ser>
          <c:idx val="3"/>
          <c:order val="3"/>
          <c:tx>
            <c:strRef>
              <c:f>Portfolio_10!$I$2</c:f>
              <c:strCache>
                <c:ptCount val="1"/>
                <c:pt idx="0">
                  <c:v>WPR.STD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Portfolio_10!$I$3:$I$13</c:f>
              <c:numCache>
                <c:formatCode>0.000000000</c:formatCode>
                <c:ptCount val="11"/>
                <c:pt idx="0">
                  <c:v>4.5927548947549015</c:v>
                </c:pt>
                <c:pt idx="1">
                  <c:v>4.5927548947549015</c:v>
                </c:pt>
                <c:pt idx="2">
                  <c:v>4.5927548947549015</c:v>
                </c:pt>
                <c:pt idx="3">
                  <c:v>4.5927548947549015</c:v>
                </c:pt>
                <c:pt idx="4">
                  <c:v>4.5927548947549015</c:v>
                </c:pt>
                <c:pt idx="5">
                  <c:v>4.5927548947549015</c:v>
                </c:pt>
                <c:pt idx="6">
                  <c:v>4.5927548947549015</c:v>
                </c:pt>
                <c:pt idx="7">
                  <c:v>4.5927548947549015</c:v>
                </c:pt>
                <c:pt idx="8">
                  <c:v>4.5927548947549015</c:v>
                </c:pt>
                <c:pt idx="9">
                  <c:v>4.5927548947549015</c:v>
                </c:pt>
                <c:pt idx="10">
                  <c:v>4.5927548947549015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21-41B4-B6FC-DA0D046E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48048"/>
        <c:axId val="632279472"/>
      </c:lineChart>
      <c:dateAx>
        <c:axId val="658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79472"/>
        <c:crosses val="autoZero"/>
        <c:auto val="1"/>
        <c:lblOffset val="100"/>
        <c:baseTimeUnit val="months"/>
      </c:dateAx>
      <c:valAx>
        <c:axId val="6322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Returns(%)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314013</xdr:colOff>
      <xdr:row>0</xdr:row>
      <xdr:rowOff>164382</xdr:rowOff>
    </xdr:from>
    <xdr:to>
      <xdr:col>20</xdr:col>
      <xdr:colOff>333054</xdr:colOff>
      <xdr:row>24</xdr:row>
      <xdr:rowOff>154461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23B08-D51F-4E7F-8D17-D12104015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312071</xdr:colOff>
      <xdr:row>0</xdr:row>
      <xdr:rowOff>81809</xdr:rowOff>
    </xdr:from>
    <xdr:to>
      <xdr:col>20</xdr:col>
      <xdr:colOff>394256</xdr:colOff>
      <xdr:row>24</xdr:row>
      <xdr:rowOff>71888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E688A-03F1-4214-800D-909C7F1AA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265555</xdr:colOff>
      <xdr:row>0</xdr:row>
      <xdr:rowOff>28599</xdr:rowOff>
    </xdr:from>
    <xdr:to>
      <xdr:col>20</xdr:col>
      <xdr:colOff>309331</xdr:colOff>
      <xdr:row>24</xdr:row>
      <xdr:rowOff>18678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67820-C13F-4486-B0D5-6C8E899B2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238445</xdr:colOff>
      <xdr:row>0</xdr:row>
      <xdr:rowOff>132825</xdr:rowOff>
    </xdr:from>
    <xdr:to>
      <xdr:col>20</xdr:col>
      <xdr:colOff>286135</xdr:colOff>
      <xdr:row>24</xdr:row>
      <xdr:rowOff>122904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26D68-DCFF-440B-950B-88137E0DA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327421</xdr:colOff>
      <xdr:row>0</xdr:row>
      <xdr:rowOff>109141</xdr:rowOff>
    </xdr:from>
    <xdr:to>
      <xdr:col>20</xdr:col>
      <xdr:colOff>357189</xdr:colOff>
      <xdr:row>24</xdr:row>
      <xdr:rowOff>99220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59938-CA58-4319-9F2F-D659DF464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287734</xdr:colOff>
      <xdr:row>0</xdr:row>
      <xdr:rowOff>49609</xdr:rowOff>
    </xdr:from>
    <xdr:to>
      <xdr:col>20</xdr:col>
      <xdr:colOff>317502</xdr:colOff>
      <xdr:row>24</xdr:row>
      <xdr:rowOff>39688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31B1E-73AC-4BC0-990B-468694DEF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186269</xdr:colOff>
      <xdr:row>0</xdr:row>
      <xdr:rowOff>135725</xdr:rowOff>
    </xdr:from>
    <xdr:to>
      <xdr:col>20</xdr:col>
      <xdr:colOff>268454</xdr:colOff>
      <xdr:row>24</xdr:row>
      <xdr:rowOff>125804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450DE-2694-4542-ACD6-464701848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297224</xdr:colOff>
      <xdr:row>0</xdr:row>
      <xdr:rowOff>134162</xdr:rowOff>
    </xdr:from>
    <xdr:to>
      <xdr:col>20</xdr:col>
      <xdr:colOff>447779</xdr:colOff>
      <xdr:row>24</xdr:row>
      <xdr:rowOff>124240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3E7B5-0610-4AAE-A047-BC70FACA7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545702</xdr:colOff>
      <xdr:row>0</xdr:row>
      <xdr:rowOff>102848</xdr:rowOff>
    </xdr:from>
    <xdr:to>
      <xdr:col>21</xdr:col>
      <xdr:colOff>62436</xdr:colOff>
      <xdr:row>24</xdr:row>
      <xdr:rowOff>92927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A6DE2-7150-4227-934D-FD2330735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240184</xdr:colOff>
      <xdr:row>0</xdr:row>
      <xdr:rowOff>27894</xdr:rowOff>
    </xdr:from>
    <xdr:to>
      <xdr:col>20</xdr:col>
      <xdr:colOff>322369</xdr:colOff>
      <xdr:row>24</xdr:row>
      <xdr:rowOff>17973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6C9BB-0731-4BA2-9C9D-12ED69508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4AF65-F7D1-4D77-92AB-C337959E30FE}" name="Table1" displayName="Table1" ref="A1:I14" totalsRowShown="0">
  <autoFilter ref="A1:I14" xr:uid="{861405E2-F352-49BD-9243-4B5BD98C2BA0}"/>
  <sortState ref="A2:G14">
    <sortCondition descending="1" ref="A1:A14"/>
  </sortState>
  <tableColumns count="9">
    <tableColumn id="1" xr3:uid="{917F6639-F80E-4BBF-8ABA-4F41F3A6F597}" name="Date" dataDxfId="191"/>
    <tableColumn id="2" xr3:uid="{D251101E-4225-4F49-B401-F4408795DA33}" name="Open"/>
    <tableColumn id="3" xr3:uid="{E55C5593-73E0-4A0A-8040-344A8BF7B420}" name="High"/>
    <tableColumn id="4" xr3:uid="{35F4D426-EE5B-438A-B014-88AF9E58FB5D}" name="Low"/>
    <tableColumn id="5" xr3:uid="{609F24FD-6BAB-456C-953F-3A3F4269D880}" name="Close"/>
    <tableColumn id="6" xr3:uid="{DF39A178-5C2C-418D-AC62-564E548A8E4D}" name="Adj Close"/>
    <tableColumn id="7" xr3:uid="{FD32742B-3C5A-47FB-B26D-FB3739E3E20C}" name="Volume"/>
    <tableColumn id="8" xr3:uid="{E3EC3D7C-3899-43C6-AC23-F4AFA95DF64D}" name="Diff">
      <calculatedColumnFormula>F2-F3</calculatedColumnFormula>
    </tableColumn>
    <tableColumn id="9" xr3:uid="{2183B0F0-DFD6-4D8D-A61B-63D29B8748F4}" name="%Change">
      <calculatedColumnFormula>H2/F3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B000000}" name="Table2" displayName="Table2" ref="A1:I14" totalsRowShown="0" headerRowDxfId="190" dataDxfId="189">
  <autoFilter ref="A1:I14" xr:uid="{00000000-0009-0000-0100-000002000000}"/>
  <sortState ref="A2:G14">
    <sortCondition descending="1" ref="A1:A14"/>
  </sortState>
  <tableColumns count="9">
    <tableColumn id="1" xr3:uid="{00000000-0010-0000-0B00-000001000000}" name="Date" dataDxfId="188"/>
    <tableColumn id="2" xr3:uid="{00000000-0010-0000-0B00-000002000000}" name="Open" dataDxfId="187"/>
    <tableColumn id="3" xr3:uid="{00000000-0010-0000-0B00-000003000000}" name="High" dataDxfId="186"/>
    <tableColumn id="4" xr3:uid="{00000000-0010-0000-0B00-000004000000}" name="Low" dataDxfId="185"/>
    <tableColumn id="5" xr3:uid="{00000000-0010-0000-0B00-000005000000}" name="Close" dataDxfId="184"/>
    <tableColumn id="6" xr3:uid="{00000000-0010-0000-0B00-000006000000}" name="Adj Close" dataDxfId="183"/>
    <tableColumn id="7" xr3:uid="{00000000-0010-0000-0B00-000007000000}" name="Volume" dataDxfId="182"/>
    <tableColumn id="8" xr3:uid="{00000000-0010-0000-0B00-000008000000}" name="Diff" dataDxfId="181">
      <calculatedColumnFormula>F2-F3</calculatedColumnFormula>
    </tableColumn>
    <tableColumn id="9" xr3:uid="{00000000-0010-0000-0B00-000009000000}" name="%Change" dataDxfId="180">
      <calculatedColumnFormula>H2/F3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C000000}" name="Table3" displayName="Table3" ref="A1:I14" totalsRowShown="0" headerRowDxfId="179" dataDxfId="178">
  <autoFilter ref="A1:I14" xr:uid="{00000000-0009-0000-0100-000003000000}"/>
  <sortState ref="A2:G14">
    <sortCondition descending="1" ref="A1:A14"/>
  </sortState>
  <tableColumns count="9">
    <tableColumn id="1" xr3:uid="{00000000-0010-0000-0C00-000001000000}" name="Date" dataDxfId="177"/>
    <tableColumn id="2" xr3:uid="{00000000-0010-0000-0C00-000002000000}" name="Open" dataDxfId="176"/>
    <tableColumn id="3" xr3:uid="{00000000-0010-0000-0C00-000003000000}" name="High" dataDxfId="175"/>
    <tableColumn id="4" xr3:uid="{00000000-0010-0000-0C00-000004000000}" name="Low" dataDxfId="174"/>
    <tableColumn id="5" xr3:uid="{00000000-0010-0000-0C00-000005000000}" name="Close" dataDxfId="173"/>
    <tableColumn id="6" xr3:uid="{00000000-0010-0000-0C00-000006000000}" name="Adj Close" dataDxfId="172"/>
    <tableColumn id="7" xr3:uid="{00000000-0010-0000-0C00-000007000000}" name="Volume" dataDxfId="171"/>
    <tableColumn id="8" xr3:uid="{00000000-0010-0000-0C00-000008000000}" name="Diff" dataDxfId="170"/>
    <tableColumn id="9" xr3:uid="{00000000-0010-0000-0C00-000009000000}" name="%Change" dataDxfId="169" dataCellStyle="Perce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4" displayName="Table4" ref="A1:I14" totalsRowShown="0" headerRowDxfId="168" dataDxfId="167">
  <autoFilter ref="A1:I14" xr:uid="{00000000-0009-0000-0100-000004000000}"/>
  <sortState ref="A2:I14">
    <sortCondition descending="1" ref="A1:A14"/>
  </sortState>
  <tableColumns count="9">
    <tableColumn id="1" xr3:uid="{00000000-0010-0000-0D00-000001000000}" name="Date" dataDxfId="166"/>
    <tableColumn id="2" xr3:uid="{00000000-0010-0000-0D00-000002000000}" name="Open" dataDxfId="165"/>
    <tableColumn id="3" xr3:uid="{00000000-0010-0000-0D00-000003000000}" name="High" dataDxfId="164"/>
    <tableColumn id="4" xr3:uid="{00000000-0010-0000-0D00-000004000000}" name="Low" dataDxfId="163"/>
    <tableColumn id="5" xr3:uid="{00000000-0010-0000-0D00-000005000000}" name="Close" dataDxfId="162"/>
    <tableColumn id="6" xr3:uid="{00000000-0010-0000-0D00-000006000000}" name="Adj Close" dataDxfId="161"/>
    <tableColumn id="7" xr3:uid="{00000000-0010-0000-0D00-000007000000}" name="Volume" dataDxfId="160"/>
    <tableColumn id="8" xr3:uid="{00000000-0010-0000-0D00-000008000000}" name="Diff" dataDxfId="159"/>
    <tableColumn id="9" xr3:uid="{00000000-0010-0000-0D00-000009000000}" name="%Change" dataDxfId="15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E000000}" name="Table5" displayName="Table5" ref="A1:I14" totalsRowShown="0" headerRowDxfId="157" dataDxfId="156">
  <autoFilter ref="A1:I14" xr:uid="{00000000-0009-0000-0100-000005000000}"/>
  <sortState ref="A2:G14">
    <sortCondition descending="1" ref="A1:A14"/>
  </sortState>
  <tableColumns count="9">
    <tableColumn id="1" xr3:uid="{00000000-0010-0000-0E00-000001000000}" name="Date" dataDxfId="155"/>
    <tableColumn id="2" xr3:uid="{00000000-0010-0000-0E00-000002000000}" name="Open" dataDxfId="154"/>
    <tableColumn id="3" xr3:uid="{00000000-0010-0000-0E00-000003000000}" name="High" dataDxfId="153"/>
    <tableColumn id="4" xr3:uid="{00000000-0010-0000-0E00-000004000000}" name="Low" dataDxfId="152"/>
    <tableColumn id="5" xr3:uid="{00000000-0010-0000-0E00-000005000000}" name="Close" dataDxfId="151"/>
    <tableColumn id="6" xr3:uid="{00000000-0010-0000-0E00-000006000000}" name="Adj Close" dataDxfId="150"/>
    <tableColumn id="7" xr3:uid="{00000000-0010-0000-0E00-000007000000}" name="Volume" dataDxfId="149"/>
    <tableColumn id="8" xr3:uid="{00000000-0010-0000-0E00-000008000000}" name="Diff" dataDxfId="148"/>
    <tableColumn id="9" xr3:uid="{00000000-0010-0000-0E00-000009000000}" name="%Change" dataDxfId="14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F000000}" name="Table26" displayName="Table26" ref="A2:F13" totalsRowShown="0" headerRowDxfId="146" dataDxfId="145" tableBorderDxfId="144" headerRowCellStyle="Percent" dataCellStyle="Percent">
  <autoFilter ref="A2:F13" xr:uid="{00000000-0009-0000-0100-00001A000000}"/>
  <sortState ref="A3:F13">
    <sortCondition ref="A2:A13"/>
  </sortState>
  <tableColumns count="6">
    <tableColumn id="1" xr3:uid="{00000000-0010-0000-0F00-000001000000}" name="Date" dataDxfId="143"/>
    <tableColumn id="2" xr3:uid="{00000000-0010-0000-0F00-000002000000}" name="CSCO" dataDxfId="142" dataCellStyle="Percent"/>
    <tableColumn id="3" xr3:uid="{00000000-0010-0000-0F00-000003000000}" name="EBAY" dataDxfId="141" dataCellStyle="Percent"/>
    <tableColumn id="4" xr3:uid="{00000000-0010-0000-0F00-000004000000}" name="GOOG" dataDxfId="140" dataCellStyle="Percent"/>
    <tableColumn id="5" xr3:uid="{00000000-0010-0000-0F00-000005000000}" name="MSFT" dataDxfId="139" dataCellStyle="Percent"/>
    <tableColumn id="6" xr3:uid="{00000000-0010-0000-0F00-000006000000}" name="ORCL" dataDxfId="138" dataCellStyle="Percent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0000000}" name="Table27" displayName="Table27" ref="A15:F17" totalsRowShown="0" headerRowDxfId="137" dataDxfId="136" headerRowCellStyle="Percent" dataCellStyle="Percent">
  <autoFilter ref="A15:F17" xr:uid="{00000000-0009-0000-0100-00001B000000}"/>
  <tableColumns count="6">
    <tableColumn id="1" xr3:uid="{00000000-0010-0000-1000-000001000000}" name="Column1" dataDxfId="135"/>
    <tableColumn id="2" xr3:uid="{00000000-0010-0000-1000-000002000000}" name="Column2" dataDxfId="134" dataCellStyle="Percent">
      <calculatedColumnFormula>_xlfn.STDEV.S(B2:B10)</calculatedColumnFormula>
    </tableColumn>
    <tableColumn id="3" xr3:uid="{00000000-0010-0000-1000-000003000000}" name="Column3" dataDxfId="133" dataCellStyle="Percent">
      <calculatedColumnFormula>_xlfn.STDEV.S(C2:C10)</calculatedColumnFormula>
    </tableColumn>
    <tableColumn id="4" xr3:uid="{00000000-0010-0000-1000-000004000000}" name="Column4" dataDxfId="132" dataCellStyle="Percent">
      <calculatedColumnFormula>_xlfn.STDEV.S(D2:D10)</calculatedColumnFormula>
    </tableColumn>
    <tableColumn id="5" xr3:uid="{00000000-0010-0000-1000-000005000000}" name="Column5" dataDxfId="131" dataCellStyle="Percent">
      <calculatedColumnFormula>_xlfn.STDEV.S(E2:E10)</calculatedColumnFormula>
    </tableColumn>
    <tableColumn id="6" xr3:uid="{00000000-0010-0000-1000-000006000000}" name="Column6" dataDxfId="130" dataCellStyle="Percent">
      <calculatedColumnFormula>_xlfn.STDEV.S(F2:F10)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86D07-0F82-4201-8DF0-F36DF968F2C9}" name="Table13" displayName="Table13" ref="A2:I13" totalsRowShown="0">
  <autoFilter ref="A2:I13" xr:uid="{AC5BDD66-9848-4143-ACDB-9E86937CE53D}"/>
  <sortState ref="A3:D13">
    <sortCondition ref="A2:A13"/>
  </sortState>
  <tableColumns count="9">
    <tableColumn id="1" xr3:uid="{74F560CE-7AC6-4B7A-86FD-138B841255BF}" name="Portfolio_1.Date" dataDxfId="129"/>
    <tableColumn id="2" xr3:uid="{9FE2F3D6-E894-461E-AC27-D6A63A7CB9DB}" name="Portfolio_1.CSCO" dataDxfId="128" dataCellStyle="Percent"/>
    <tableColumn id="3" xr3:uid="{E543ECD3-0191-453D-AC3A-DD2E745FAE2F}" name="Portfolio_1.EBAY" dataDxfId="127" dataCellStyle="Percent"/>
    <tableColumn id="4" xr3:uid="{4919B2AA-BBC9-4FE3-9DFC-7A39729F47CC}" name="Portfolio_1.GOOG" dataDxfId="126" dataCellStyle="Percent"/>
    <tableColumn id="5" xr3:uid="{B0E3DCD7-82B3-4832-8CDB-F42A15556614}" name="W.Returns" dataDxfId="125" dataCellStyle="Percent">
      <calculatedColumnFormula>SUM(Table13[[#This Row],[Portfolio_1.CSCO]:[Portfolio_1.GOOG]])/3</calculatedColumnFormula>
    </tableColumn>
    <tableColumn id="6" xr3:uid="{407BBC5E-96E9-4B27-96C5-B165F6CA2DF4}" name="C.Returns" dataDxfId="124" dataCellStyle="Percent">
      <calculatedColumnFormula>SUM($E$3:E3)</calculatedColumnFormula>
    </tableColumn>
    <tableColumn id="7" xr3:uid="{A8386F7B-01BC-419D-80B1-CCC2ACA10564}" name="WPR.Mean" dataDxfId="123" dataCellStyle="Percent">
      <calculatedColumnFormula>AVERAGE(Table13[W.Returns])</calculatedColumnFormula>
    </tableColumn>
    <tableColumn id="8" xr3:uid="{CB6060C3-2BA2-4ED3-ADB4-4B11F1B1184B}" name="WPR.Median" dataDxfId="122" dataCellStyle="Percent">
      <calculatedColumnFormula>MEDIAN(Table13[W.Returns])</calculatedColumnFormula>
    </tableColumn>
    <tableColumn id="9" xr3:uid="{F0B230A4-3A20-4144-9C66-EAFAB89827EE}" name="WPR.STD" dataDxfId="121" dataCellStyle="Percent">
      <calculatedColumnFormula>_xlfn.STDEV.S(Table13[W.Returns])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78E741-3FDB-4A74-95F0-7DE56D830F02}" name="Table38" displayName="Table38" ref="A19:D30" totalsRowShown="0" headerRowDxfId="120" headerRowBorderDxfId="119" tableBorderDxfId="118">
  <autoFilter ref="A19:D30" xr:uid="{74FC6301-A931-4378-AB0E-900BC9213ACA}"/>
  <sortState ref="A20:D30">
    <sortCondition ref="A19:A30"/>
  </sortState>
  <tableColumns count="4">
    <tableColumn id="1" xr3:uid="{0B087188-5054-43C9-BE09-AF1708200A1D}" name="Portfolio_1.Date" dataDxfId="117"/>
    <tableColumn id="2" xr3:uid="{2020B3FA-6F8C-44D5-9314-E7C2846D8AA4}" name="Portfolio_1.CSCO">
      <calculatedColumnFormula>B3-$B$15</calculatedColumnFormula>
    </tableColumn>
    <tableColumn id="3" xr3:uid="{F6AD9B3F-9281-4B54-A156-F3159D21912B}" name="Portfolio_1.EBAY">
      <calculatedColumnFormula>C3-$C$15</calculatedColumnFormula>
    </tableColumn>
    <tableColumn id="4" xr3:uid="{CD12E5B1-3885-4B7D-84F5-C33A75F7B7BA}" name="Portfolio_1.GOOG">
      <calculatedColumnFormula>D3-$D$15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E16B0C-6695-401F-B82E-7898EDA6813F}" name="Table1331" displayName="Table1331" ref="A2:I13" totalsRowShown="0">
  <autoFilter ref="A2:I13" xr:uid="{AC5BDD66-9848-4143-ACDB-9E86937CE53D}"/>
  <sortState ref="A3:D13">
    <sortCondition ref="A2:A13"/>
  </sortState>
  <tableColumns count="9">
    <tableColumn id="1" xr3:uid="{782F80AD-1444-40FC-867B-8521CCF169E3}" name="Portfolio_2.Date" dataDxfId="116"/>
    <tableColumn id="2" xr3:uid="{DA897147-0435-4938-A4F0-45AF40F3C1CC}" name="Portfolio_2.CSCO" dataDxfId="115" dataCellStyle="Percent"/>
    <tableColumn id="3" xr3:uid="{F3C62868-DEC2-4E39-AC83-3ED8425021B6}" name="Portfolio_2.EBAY" dataDxfId="114" dataCellStyle="Percent"/>
    <tableColumn id="4" xr3:uid="{50C55A85-09C3-4974-85ED-1289EB0AFAF6}" name="Portfolio_2.MSFT" dataDxfId="113" dataCellStyle="Percent"/>
    <tableColumn id="5" xr3:uid="{5000DFBC-24EE-4895-817E-C5C33E36529D}" name="W.Returns" dataDxfId="112" dataCellStyle="Percent">
      <calculatedColumnFormula>SUM(Table1331[[#This Row],[Portfolio_2.CSCO]:[Portfolio_2.MSFT]])/3</calculatedColumnFormula>
    </tableColumn>
    <tableColumn id="6" xr3:uid="{8BFE287C-BC50-49E4-BACD-D5493B628802}" name="C.Returns" dataDxfId="111" dataCellStyle="Percent">
      <calculatedColumnFormula>SUM($E$3:E3)</calculatedColumnFormula>
    </tableColumn>
    <tableColumn id="7" xr3:uid="{54B5B93A-8040-4904-B37F-86FBA8DA1C1E}" name="WPR.Mean" dataDxfId="110" dataCellStyle="Percent">
      <calculatedColumnFormula>AVERAGE(Table1331[W.Returns])</calculatedColumnFormula>
    </tableColumn>
    <tableColumn id="8" xr3:uid="{B327B56E-189B-4255-9EBE-EF0CE4100948}" name="WPR.Median" dataDxfId="109" dataCellStyle="Percent">
      <calculatedColumnFormula>MEDIAN(Table1331[W.Returns])</calculatedColumnFormula>
    </tableColumn>
    <tableColumn id="9" xr3:uid="{1BB39C02-C995-42D1-B73B-8828343AF8B9}" name="WPR.STD" dataDxfId="108" dataCellStyle="Percent">
      <calculatedColumnFormula>_xlfn.STDEV.S(Table1331[W.Returns])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93DB30-FAA9-4F36-A686-77465BB32C39}" name="Table3832" displayName="Table3832" ref="A19:D30" totalsRowShown="0" headerRowDxfId="107" headerRowBorderDxfId="106" tableBorderDxfId="105">
  <autoFilter ref="A19:D30" xr:uid="{74FC6301-A931-4378-AB0E-900BC9213ACA}"/>
  <sortState ref="A20:D30">
    <sortCondition ref="A19:A30"/>
  </sortState>
  <tableColumns count="4">
    <tableColumn id="1" xr3:uid="{71C9D2A2-1BEB-4646-A510-9B70185757A0}" name="Portfolio_1.Date" dataDxfId="104"/>
    <tableColumn id="2" xr3:uid="{D52B214D-86BD-4238-8504-F3A7DFE3ECFA}" name="Portfolio_2.CSCO">
      <calculatedColumnFormula>B3-$B$15</calculatedColumnFormula>
    </tableColumn>
    <tableColumn id="3" xr3:uid="{0AD67E11-4653-4FA8-A59E-B16101D96023}" name="Portfolio_2.EBAY">
      <calculatedColumnFormula>C3-$C$15</calculatedColumnFormula>
    </tableColumn>
    <tableColumn id="4" xr3:uid="{213D5C78-16A7-4BEF-9920-5A2639816C4F}" name="Portfolio_2.MSFT">
      <calculatedColumnFormula>D3-$D$15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40EA07C-61AD-4334-BF8B-DFD9B6AA59EF}" name="Table133133" displayName="Table133133" ref="A2:I13" totalsRowShown="0">
  <autoFilter ref="A2:I13" xr:uid="{AC5BDD66-9848-4143-ACDB-9E86937CE53D}"/>
  <sortState ref="A3:D13">
    <sortCondition ref="A2:A13"/>
  </sortState>
  <tableColumns count="9">
    <tableColumn id="1" xr3:uid="{40AB2964-6010-4B9E-BDF0-DA956AD4BE71}" name="Portfolio_1.Date" dataDxfId="103"/>
    <tableColumn id="2" xr3:uid="{6EF406FB-8830-4B29-900C-A9896C2B855D}" name="Portfolio_3.CSCO" dataDxfId="102" dataCellStyle="Percent"/>
    <tableColumn id="3" xr3:uid="{906A9C88-EB95-4B24-A326-BB4B7D44D376}" name="Portfolio_3.EBAY" dataDxfId="101" dataCellStyle="Percent"/>
    <tableColumn id="4" xr3:uid="{7EDABFE7-48EE-462D-A39E-E3E6A16000C2}" name="Portfolio_3.ÖRCL" dataDxfId="100" dataCellStyle="Percent"/>
    <tableColumn id="5" xr3:uid="{66ED6C46-D99B-47B3-96D8-9B314DB423CF}" name="W.Returns" dataDxfId="99" dataCellStyle="Percent">
      <calculatedColumnFormula>SUM(Table133133[[#This Row],[Portfolio_3.CSCO]:[Portfolio_3.ÖRCL]])/3</calculatedColumnFormula>
    </tableColumn>
    <tableColumn id="6" xr3:uid="{99E4C9FB-C04C-4135-A6CE-DD22808AC5F7}" name="C.Returns" dataDxfId="98" dataCellStyle="Percent">
      <calculatedColumnFormula>SUM($E$3:E3)</calculatedColumnFormula>
    </tableColumn>
    <tableColumn id="7" xr3:uid="{DE5B9DEE-567C-4D76-B195-CF3C6AA4CC85}" name="WPR.Mean" dataDxfId="97" dataCellStyle="Percent">
      <calculatedColumnFormula>AVERAGE(Table133133[W.Returns])</calculatedColumnFormula>
    </tableColumn>
    <tableColumn id="8" xr3:uid="{6CCC90A9-1D64-4CEA-85E3-1EC0C4876E00}" name="WPR.Median" dataDxfId="96" dataCellStyle="Percent">
      <calculatedColumnFormula>MEDIAN(Table133133[W.Returns])</calculatedColumnFormula>
    </tableColumn>
    <tableColumn id="9" xr3:uid="{EA352C4E-0B39-44CE-BC04-DA3D4484C4BC}" name="WPR.STD" dataDxfId="95" dataCellStyle="Percent">
      <calculatedColumnFormula>_xlfn.STDEV.S(Table133133[W.Returns])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369026A-39B1-4BCD-8E22-587C672D0D24}" name="Table383234" displayName="Table383234" ref="A19:D30" totalsRowShown="0" headerRowDxfId="94" headerRowBorderDxfId="93" tableBorderDxfId="92">
  <autoFilter ref="A19:D30" xr:uid="{74FC6301-A931-4378-AB0E-900BC9213ACA}"/>
  <sortState ref="A20:D30">
    <sortCondition ref="A19:A30"/>
  </sortState>
  <tableColumns count="4">
    <tableColumn id="1" xr3:uid="{06DFAD49-CF7D-41C0-8880-B0AAD3A305A8}" name="Portfolio_3.Date" dataDxfId="91"/>
    <tableColumn id="2" xr3:uid="{A649FE48-62E1-4AC4-906F-7FA909668CDE}" name="Portfolio_3.CSCO">
      <calculatedColumnFormula>B3-$B$15</calculatedColumnFormula>
    </tableColumn>
    <tableColumn id="3" xr3:uid="{AB512E3E-98ED-4595-9A42-7F89EED3BD0D}" name="Portfolio_3.EBAY">
      <calculatedColumnFormula>C3-$C$15</calculatedColumnFormula>
    </tableColumn>
    <tableColumn id="4" xr3:uid="{5FB57B42-0794-42E2-8FDB-730F8FD152E7}" name="Portfolio_3.ÖRCL">
      <calculatedColumnFormula>D3-$D$15</calculatedColumnFormula>
    </tableColumn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BB3C598-FF84-49B6-8B34-243455122DDC}" name="Table13313335" displayName="Table13313335" ref="A2:I13" totalsRowShown="0">
  <autoFilter ref="A2:I13" xr:uid="{AC5BDD66-9848-4143-ACDB-9E86937CE53D}"/>
  <sortState ref="A3:D13">
    <sortCondition ref="A2:A13"/>
  </sortState>
  <tableColumns count="9">
    <tableColumn id="1" xr3:uid="{A2D0DE18-B1D6-476C-8AA1-B52BDFD3A945}" name="Portfolio_4.Date" dataDxfId="90"/>
    <tableColumn id="2" xr3:uid="{D50D1B4A-6A4B-4A81-A12D-822898C8B603}" name="Portfolio_4.CSCO" dataDxfId="89" dataCellStyle="Percent"/>
    <tableColumn id="3" xr3:uid="{2357776A-1B0A-488E-811D-C2AF978E361F}" name="Portfolio_4.GOOG" dataDxfId="88" dataCellStyle="Percent"/>
    <tableColumn id="4" xr3:uid="{E0FBF60A-0C5F-4558-8B71-3092CBF096B2}" name="Portfolio_4.MSFT" dataDxfId="87" dataCellStyle="Percent"/>
    <tableColumn id="5" xr3:uid="{124D63B6-2364-47E5-B0CE-29438D7362EE}" name="W.Returns" dataDxfId="86" dataCellStyle="Percent">
      <calculatedColumnFormula>SUM(Table13313335[[#This Row],[Portfolio_4.CSCO]:[Portfolio_4.MSFT]])/3</calculatedColumnFormula>
    </tableColumn>
    <tableColumn id="6" xr3:uid="{5F2042AD-6811-483C-8129-2DF5A4117361}" name="C.Returns" dataDxfId="85" dataCellStyle="Percent">
      <calculatedColumnFormula>SUM($E$3:E3)</calculatedColumnFormula>
    </tableColumn>
    <tableColumn id="7" xr3:uid="{7AE96AE4-850E-4D31-A094-EBBFCCE15713}" name="WPR.Mean" dataDxfId="84" dataCellStyle="Percent">
      <calculatedColumnFormula>AVERAGE(Table13313335[W.Returns])</calculatedColumnFormula>
    </tableColumn>
    <tableColumn id="8" xr3:uid="{CF0387DA-B3A1-4597-88EE-0727D0CAE8F4}" name="WPR.Median" dataDxfId="83" dataCellStyle="Percent">
      <calculatedColumnFormula>MEDIAN(Table13313335[W.Returns])</calculatedColumnFormula>
    </tableColumn>
    <tableColumn id="9" xr3:uid="{E65430EA-2D0E-4C2A-8003-05A9598BE84A}" name="WPR.STD" dataDxfId="82" dataCellStyle="Percent">
      <calculatedColumnFormula>_xlfn.STDEV.S(Table13313335[W.Returns])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4B284DA-CDA5-4376-91C7-CB0C14785C95}" name="Table38323436" displayName="Table38323436" ref="A19:D30" totalsRowShown="0" headerRowDxfId="81" headerRowBorderDxfId="80" tableBorderDxfId="79">
  <autoFilter ref="A19:D30" xr:uid="{74FC6301-A931-4378-AB0E-900BC9213ACA}"/>
  <sortState ref="A20:D30">
    <sortCondition ref="A19:A30"/>
  </sortState>
  <tableColumns count="4">
    <tableColumn id="1" xr3:uid="{32C69729-294B-4423-A61E-47A336F99C66}" name="Portfolio_1.Date" dataDxfId="78"/>
    <tableColumn id="2" xr3:uid="{8E630645-C275-4B7E-A775-CB8F298A48E0}" name="Portfolio_4.CSCO">
      <calculatedColumnFormula>B3-$B$15</calculatedColumnFormula>
    </tableColumn>
    <tableColumn id="3" xr3:uid="{583DD0F4-40E3-4442-B5A1-21ACFAEC2B06}" name="Portfolio_4.GOOG">
      <calculatedColumnFormula>C3-$C$15</calculatedColumnFormula>
    </tableColumn>
    <tableColumn id="4" xr3:uid="{629B8C0F-0EAA-4125-B6B8-F296FF9C91E0}" name="Portfolio_4.MSFT">
      <calculatedColumnFormula>D3-$D$15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965B6AD-DCAA-42DF-92D7-206EA0BEE1D4}" name="Table1331333537" displayName="Table1331333537" ref="A2:I13" totalsRowShown="0">
  <autoFilter ref="A2:I13" xr:uid="{AC5BDD66-9848-4143-ACDB-9E86937CE53D}"/>
  <sortState ref="A3:D13">
    <sortCondition ref="A2:A13"/>
  </sortState>
  <tableColumns count="9">
    <tableColumn id="1" xr3:uid="{50638A86-0062-49AC-A802-13AE34E06185}" name="Portfolio_5.Date" dataDxfId="77"/>
    <tableColumn id="2" xr3:uid="{1B51DD55-DF31-4D37-9FC4-64C10D1C6ACC}" name="Portfolio_5.CSCO" dataDxfId="76" dataCellStyle="Percent"/>
    <tableColumn id="3" xr3:uid="{26645911-0B58-4F2C-B304-141CCE514A77}" name="Portfolio_5.GOOG" dataDxfId="75" dataCellStyle="Percent"/>
    <tableColumn id="4" xr3:uid="{09D5A969-4475-4B7B-950E-74ACCE7CC039}" name="Portfolio_5.ÖRCL" dataDxfId="74" dataCellStyle="Percent"/>
    <tableColumn id="5" xr3:uid="{1E7BA7D6-4105-4BE4-93FE-A3B061722A56}" name="W.Returns" dataDxfId="73" dataCellStyle="Percent">
      <calculatedColumnFormula>SUM(Table1331333537[[#This Row],[Portfolio_5.CSCO]:[Portfolio_5.ÖRCL]])/3</calculatedColumnFormula>
    </tableColumn>
    <tableColumn id="6" xr3:uid="{F86A1093-DEBE-44F8-A571-FEC370A53218}" name="C.Returns" dataDxfId="72" dataCellStyle="Percent">
      <calculatedColumnFormula>SUM($E$3:E3)</calculatedColumnFormula>
    </tableColumn>
    <tableColumn id="7" xr3:uid="{7A55698A-082D-4E57-9B14-C125C28345A6}" name="WPR.Mean" dataDxfId="71" dataCellStyle="Percent">
      <calculatedColumnFormula>AVERAGE(Table1331333537[W.Returns])</calculatedColumnFormula>
    </tableColumn>
    <tableColumn id="8" xr3:uid="{18954339-FB1C-4E26-81C8-B5082BA0CBFE}" name="WPR.Median" dataDxfId="70" dataCellStyle="Percent">
      <calculatedColumnFormula>MEDIAN(Table1331333537[W.Returns])</calculatedColumnFormula>
    </tableColumn>
    <tableColumn id="9" xr3:uid="{8F3424A3-B99E-47D2-8A39-56FB386047C8}" name="WPR.STD" dataDxfId="69" dataCellStyle="Percent">
      <calculatedColumnFormula>_xlfn.STDEV.S(Table1331333537[W.Returns])</calculatedColumnFormula>
    </tableColumn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26DBD3E-43CF-48DF-B3FB-50B2C9588F8E}" name="Table3832343638" displayName="Table3832343638" ref="A19:D30" totalsRowShown="0" headerRowDxfId="68" headerRowBorderDxfId="67" tableBorderDxfId="66">
  <autoFilter ref="A19:D30" xr:uid="{74FC6301-A931-4378-AB0E-900BC9213ACA}"/>
  <sortState ref="A20:D30">
    <sortCondition ref="A19:A30"/>
  </sortState>
  <tableColumns count="4">
    <tableColumn id="1" xr3:uid="{9B52D3A8-17A2-4048-8577-71F9ED23AD0D}" name="Portfolio_1.Date" dataDxfId="65"/>
    <tableColumn id="2" xr3:uid="{EEE8C556-E1E5-439C-B3D2-C4955CDF534A}" name="Portfolio_5.CSCO">
      <calculatedColumnFormula>B3-$B$15</calculatedColumnFormula>
    </tableColumn>
    <tableColumn id="3" xr3:uid="{CA519DC3-6470-4E1B-8CD2-FD6C99152175}" name="Portfolio_5.GOOG">
      <calculatedColumnFormula>C3-$C$15</calculatedColumnFormula>
    </tableColumn>
    <tableColumn id="4" xr3:uid="{E0D086C6-079B-4CB2-8971-3EF33A0F8DA5}" name="Portfolio_5.ÖRCL">
      <calculatedColumnFormula>D3-$D$15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E6CEB6A-646C-45FC-AA62-ADFA626163D8}" name="Table133133353739" displayName="Table133133353739" ref="A2:I13" totalsRowShown="0">
  <autoFilter ref="A2:I13" xr:uid="{AC5BDD66-9848-4143-ACDB-9E86937CE53D}"/>
  <sortState ref="A3:D13">
    <sortCondition ref="A2:A13"/>
  </sortState>
  <tableColumns count="9">
    <tableColumn id="1" xr3:uid="{7CE8A0B5-FCB5-48E4-A695-2744DDD00E57}" name="Portfolio_6.Date" dataDxfId="64"/>
    <tableColumn id="2" xr3:uid="{16C76DB9-D9F9-4906-83A3-457B784444DD}" name="Portfolio_6.CSCO" dataDxfId="63" dataCellStyle="Percent"/>
    <tableColumn id="3" xr3:uid="{7E8EA873-2A93-4393-A4B5-15155B08F53C}" name="Portfolio_6.MSFT" dataDxfId="62" dataCellStyle="Percent"/>
    <tableColumn id="4" xr3:uid="{A6DD86A2-49A9-41F1-82F1-C6664FD17E53}" name="Portfolio_6.ÖRCL" dataDxfId="61" dataCellStyle="Percent"/>
    <tableColumn id="5" xr3:uid="{D1457112-D887-4921-8E33-6168E4491DF0}" name="W.Returns" dataDxfId="60" dataCellStyle="Percent">
      <calculatedColumnFormula>SUM(Table133133353739[[#This Row],[Portfolio_6.CSCO]:[Portfolio_6.ÖRCL]])/3</calculatedColumnFormula>
    </tableColumn>
    <tableColumn id="6" xr3:uid="{7AEF6651-80D9-40F9-9895-38CC54267261}" name="C.Returns" dataDxfId="59" dataCellStyle="Percent">
      <calculatedColumnFormula>SUM($E$3:E3)</calculatedColumnFormula>
    </tableColumn>
    <tableColumn id="7" xr3:uid="{E71893CC-C7E7-41CE-97D3-AFA35E53416E}" name="WPR.Mean" dataDxfId="58" dataCellStyle="Percent">
      <calculatedColumnFormula>AVERAGE(Table133133353739[W.Returns])</calculatedColumnFormula>
    </tableColumn>
    <tableColumn id="8" xr3:uid="{4E4315D2-4035-409F-BA45-7F3AC8133C3D}" name="WPR.Median" dataDxfId="57" dataCellStyle="Percent">
      <calculatedColumnFormula>MEDIAN(Table133133353739[W.Returns])</calculatedColumnFormula>
    </tableColumn>
    <tableColumn id="9" xr3:uid="{F07DEF9B-622F-464F-AD38-338E262700F7}" name="WPR.STD" dataDxfId="56" dataCellStyle="Percent">
      <calculatedColumnFormula>_xlfn.STDEV.S(Table133133353739[W.Returns])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2F20023-9246-41C2-8BF8-33DFF1FA9597}" name="Table383234363840" displayName="Table383234363840" ref="A19:D30" totalsRowShown="0" headerRowDxfId="55" headerRowBorderDxfId="54" tableBorderDxfId="53">
  <autoFilter ref="A19:D30" xr:uid="{74FC6301-A931-4378-AB0E-900BC9213ACA}"/>
  <sortState ref="A20:D30">
    <sortCondition ref="A19:A30"/>
  </sortState>
  <tableColumns count="4">
    <tableColumn id="1" xr3:uid="{95EE7473-68D0-482E-A6F7-AB7A68E69939}" name="Portfolio_1.Date" dataDxfId="52"/>
    <tableColumn id="2" xr3:uid="{664A35E0-E6CE-4CF5-B6E5-069DB20AC508}" name="Portfolio_6.CSCO">
      <calculatedColumnFormula>B3-$B$15</calculatedColumnFormula>
    </tableColumn>
    <tableColumn id="3" xr3:uid="{F65AC9CC-9DD9-4EA8-B1B0-49CB4A1E07F3}" name="Portfolio_6.MSFT">
      <calculatedColumnFormula>C3-$C$15</calculatedColumnFormula>
    </tableColumn>
    <tableColumn id="4" xr3:uid="{03AD488C-EB9D-40DB-B45C-26A802026ECA}" name="Portfolio_6.ÖRCL">
      <calculatedColumnFormula>D3-$D$15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B18D3D0-213C-4207-9211-934F0099B1F3}" name="Table13313335373941" displayName="Table13313335373941" ref="A2:I13" totalsRowShown="0">
  <autoFilter ref="A2:I13" xr:uid="{AC5BDD66-9848-4143-ACDB-9E86937CE53D}"/>
  <sortState ref="A3:D13">
    <sortCondition ref="A2:A13"/>
  </sortState>
  <tableColumns count="9">
    <tableColumn id="1" xr3:uid="{98891CB6-C989-4DBE-B3F2-370D32E5EE95}" name="Portfolio_7.Date" dataDxfId="51"/>
    <tableColumn id="2" xr3:uid="{39A8A630-0142-412F-AC7C-18810FEF385D}" name="Portfolio_7.EBAY" dataDxfId="50" dataCellStyle="Percent"/>
    <tableColumn id="3" xr3:uid="{B050D590-E7AC-49FB-949C-E0AFD053F6B3}" name="Portfolio_7.GOOG" dataDxfId="49" dataCellStyle="Percent"/>
    <tableColumn id="4" xr3:uid="{19B084FF-7D4C-4CEE-BCFC-DF9935BB849F}" name="Portfolio_7.MSFT" dataDxfId="48" dataCellStyle="Percent"/>
    <tableColumn id="5" xr3:uid="{BE67E7DA-1559-460F-AF44-C7D40EDBB8EA}" name="W.Returns" dataDxfId="47" dataCellStyle="Percent">
      <calculatedColumnFormula>SUM(Table13313335373941[[#This Row],[Portfolio_7.EBAY]:[Portfolio_7.MSFT]])/3</calculatedColumnFormula>
    </tableColumn>
    <tableColumn id="6" xr3:uid="{EBD1F3F1-1B9D-462F-8682-AE7FABB2D887}" name="C.Returns" dataDxfId="46" dataCellStyle="Percent">
      <calculatedColumnFormula>SUM($E$3:E3)</calculatedColumnFormula>
    </tableColumn>
    <tableColumn id="7" xr3:uid="{F27D2FFA-FFF9-445F-BEDF-5C8550525E94}" name="WPR.Mean" dataDxfId="45" dataCellStyle="Percent">
      <calculatedColumnFormula>AVERAGE(Table13313335373941[W.Returns])</calculatedColumnFormula>
    </tableColumn>
    <tableColumn id="8" xr3:uid="{DEEA6C01-B63D-4B35-806B-6C11E54F8083}" name="WPR.Median" dataDxfId="44" dataCellStyle="Percent">
      <calculatedColumnFormula>MEDIAN(Table13313335373941[W.Returns])</calculatedColumnFormula>
    </tableColumn>
    <tableColumn id="9" xr3:uid="{65AEF00D-5770-4C14-B31E-883D209902E6}" name="WPR.STD" dataDxfId="43" dataCellStyle="Percent">
      <calculatedColumnFormula>_xlfn.STDEV.S(Table13313335373941[W.Returns])</calculatedColumnFormula>
    </tableColumn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5384DCB-1CDD-4CED-B200-EBB6DE4801AA}" name="Table38323436384042" displayName="Table38323436384042" ref="A19:D30" totalsRowShown="0" headerRowDxfId="42" headerRowBorderDxfId="41" tableBorderDxfId="40">
  <autoFilter ref="A19:D30" xr:uid="{74FC6301-A931-4378-AB0E-900BC9213ACA}"/>
  <sortState ref="A20:D30">
    <sortCondition ref="A19:A30"/>
  </sortState>
  <tableColumns count="4">
    <tableColumn id="1" xr3:uid="{1403BCBB-CC3C-4D2E-841C-5E2E37228D0B}" name="Portfolio_1.Date" dataDxfId="39"/>
    <tableColumn id="2" xr3:uid="{D1019457-0302-4CB0-9F51-1E61F1C41C86}" name="Portfolio_7.EBAY">
      <calculatedColumnFormula>B3-$B$15</calculatedColumnFormula>
    </tableColumn>
    <tableColumn id="3" xr3:uid="{3BBF8A77-A0BC-4881-ACF7-C7277C4E3976}" name="Portfolio_7.GOOG">
      <calculatedColumnFormula>C3-$C$15</calculatedColumnFormula>
    </tableColumn>
    <tableColumn id="4" xr3:uid="{6892890C-11C2-4C1B-8EB5-D9BBDCC771EF}" name="Portfolio_7.MSFT">
      <calculatedColumnFormula>D3-$D$15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B09440A-7955-4932-BB6C-D5FBB91F43B7}" name="Table1331333537394143" displayName="Table1331333537394143" ref="A2:I13" totalsRowShown="0">
  <autoFilter ref="A2:I13" xr:uid="{AC5BDD66-9848-4143-ACDB-9E86937CE53D}"/>
  <sortState ref="A3:D13">
    <sortCondition ref="A2:A13"/>
  </sortState>
  <tableColumns count="9">
    <tableColumn id="1" xr3:uid="{9F80D319-0518-42A6-9EC9-2B5D53844DCB}" name="Portfolio_8.Date" dataDxfId="38"/>
    <tableColumn id="2" xr3:uid="{6A2B68A6-A3AF-47A9-9946-73EA59F72B50}" name="Portfolio_8.EBAY" dataDxfId="37" dataCellStyle="Percent"/>
    <tableColumn id="3" xr3:uid="{251404AE-E138-4F16-96B0-DCE15C555323}" name="Portfolio_8.GOOG" dataDxfId="36" dataCellStyle="Percent"/>
    <tableColumn id="4" xr3:uid="{A64D8B44-EF4B-411F-812C-6594A61D9809}" name="Portfolio_8.ÖRCL" dataDxfId="35" dataCellStyle="Percent"/>
    <tableColumn id="5" xr3:uid="{21ED0108-16FE-494A-8744-C348574241E6}" name="W.Returns" dataDxfId="34" dataCellStyle="Percent">
      <calculatedColumnFormula>SUM(Table1331333537394143[[#This Row],[Portfolio_8.EBAY]:[Portfolio_8.ÖRCL]])/3</calculatedColumnFormula>
    </tableColumn>
    <tableColumn id="6" xr3:uid="{50B5E2BA-A3C7-4617-8A55-7D1DCE0EA780}" name="C.Returns" dataDxfId="33" dataCellStyle="Percent">
      <calculatedColumnFormula>SUM($E$3:E3)</calculatedColumnFormula>
    </tableColumn>
    <tableColumn id="7" xr3:uid="{9C66F635-9A6B-4C0B-9606-88C7C61441FF}" name="WPR.Mean" dataDxfId="32" dataCellStyle="Percent">
      <calculatedColumnFormula>AVERAGE(Table1331333537394143[W.Returns])</calculatedColumnFormula>
    </tableColumn>
    <tableColumn id="8" xr3:uid="{B2F2A6FE-C98A-4A69-8BAE-AC78AC5B04CB}" name="WPR.Median" dataDxfId="31" dataCellStyle="Percent">
      <calculatedColumnFormula>MEDIAN(Table1331333537394143[W.Returns])</calculatedColumnFormula>
    </tableColumn>
    <tableColumn id="9" xr3:uid="{9589594E-A5F5-44F9-94D6-23AF5C17E856}" name="WPR.STD" dataDxfId="30" dataCellStyle="Percent">
      <calculatedColumnFormula>_xlfn.STDEV.S(Table1331333537394143[W.Returns])</calculatedColumnFormula>
    </tableColumn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6976057-5B8D-42A3-AEEE-143FB87CC00B}" name="Table3832343638404244" displayName="Table3832343638404244" ref="A19:D30" totalsRowShown="0" headerRowDxfId="29" headerRowBorderDxfId="28" tableBorderDxfId="27">
  <autoFilter ref="A19:D30" xr:uid="{74FC6301-A931-4378-AB0E-900BC9213ACA}"/>
  <sortState ref="A20:D30">
    <sortCondition ref="A19:A30"/>
  </sortState>
  <tableColumns count="4">
    <tableColumn id="1" xr3:uid="{BB210F6F-0DC7-40E3-8AD7-9938C0F7A2ED}" name="Portfolio_1.Date" dataDxfId="26"/>
    <tableColumn id="2" xr3:uid="{23356AAA-75DE-43C9-A337-E6FC57D460CE}" name="Portfolio_8.EBAY">
      <calculatedColumnFormula>B3-$B$15</calculatedColumnFormula>
    </tableColumn>
    <tableColumn id="3" xr3:uid="{D46CB70A-6DA2-4604-99C8-E694C471E495}" name="Portfolio_8.GOOG">
      <calculatedColumnFormula>C3-$C$15</calculatedColumnFormula>
    </tableColumn>
    <tableColumn id="4" xr3:uid="{3C0015D3-E229-4646-885C-AA3ADA10DC28}" name="Portfolio_8.ÖRCL">
      <calculatedColumnFormula>D3-$D$15</calculatedColumnFormula>
    </tableColumn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C28433C-1076-43A7-BDFD-828810487318}" name="Table133133353739414345" displayName="Table133133353739414345" ref="A2:I13" totalsRowShown="0">
  <autoFilter ref="A2:I13" xr:uid="{AC5BDD66-9848-4143-ACDB-9E86937CE53D}"/>
  <sortState ref="A3:D13">
    <sortCondition ref="A2:A13"/>
  </sortState>
  <tableColumns count="9">
    <tableColumn id="1" xr3:uid="{5BDC8AD0-BC52-473A-8CE9-D2C3A23B70AD}" name="Portfolio_9.Date" dataDxfId="25"/>
    <tableColumn id="2" xr3:uid="{73FD7C21-BBBD-4243-B216-8DA17F666EF0}" name="Portfolio_9.EBAY" dataDxfId="24" dataCellStyle="Percent"/>
    <tableColumn id="3" xr3:uid="{C989CC3B-A776-49AF-B061-E65086FD112E}" name="Portfolio_9.MSFT" dataDxfId="23" dataCellStyle="Percent"/>
    <tableColumn id="4" xr3:uid="{B2C7760F-9056-4B07-A6AF-1568BD7AF6ED}" name="Portfolio_9.ÖRCL" dataDxfId="22" dataCellStyle="Percent"/>
    <tableColumn id="5" xr3:uid="{A9CE270A-C3A1-4DAB-BD12-79BBC5BBB5AE}" name="W.Returns" dataDxfId="21" dataCellStyle="Percent">
      <calculatedColumnFormula>SUM(Table133133353739414345[[#This Row],[Portfolio_9.EBAY]:[Portfolio_9.ÖRCL]])/3</calculatedColumnFormula>
    </tableColumn>
    <tableColumn id="6" xr3:uid="{B5FA414C-F7F0-447D-90B5-1EF6627A6B80}" name="C.Returns" dataDxfId="20" dataCellStyle="Percent">
      <calculatedColumnFormula>SUM($E$3:E3)</calculatedColumnFormula>
    </tableColumn>
    <tableColumn id="7" xr3:uid="{9FFDAAC7-7C7B-4F27-AF2C-FB63F71B6B42}" name="WPR.Mean" dataDxfId="19" dataCellStyle="Percent">
      <calculatedColumnFormula>AVERAGE(Table133133353739414345[W.Returns])</calculatedColumnFormula>
    </tableColumn>
    <tableColumn id="8" xr3:uid="{73372794-A36A-4440-93CC-98F8819B38D2}" name="WPR.Median" dataDxfId="18" dataCellStyle="Percent">
      <calculatedColumnFormula>MEDIAN(Table133133353739414345[W.Returns])</calculatedColumnFormula>
    </tableColumn>
    <tableColumn id="9" xr3:uid="{B8143F73-D235-4C71-928A-6FE1BFF31B97}" name="WPR.STD" dataDxfId="17" dataCellStyle="Percent">
      <calculatedColumnFormula>_xlfn.STDEV.S(Table133133353739414345[W.Returns])</calculatedColumnFormula>
    </tableColumn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9A4197D-2581-4F93-A610-4ECDF6491DE5}" name="Table383234363840424446" displayName="Table383234363840424446" ref="A19:D30" totalsRowShown="0" headerRowDxfId="16" headerRowBorderDxfId="15" tableBorderDxfId="14">
  <autoFilter ref="A19:D30" xr:uid="{74FC6301-A931-4378-AB0E-900BC9213ACA}"/>
  <sortState ref="A20:D30">
    <sortCondition ref="A19:A30"/>
  </sortState>
  <tableColumns count="4">
    <tableColumn id="1" xr3:uid="{95EE4308-669F-4E1A-AB54-ACEBD6FF7CE8}" name="Portfolio_1.Date" dataDxfId="13"/>
    <tableColumn id="2" xr3:uid="{4B00AB09-671D-427C-950D-57ACD56B9C10}" name="Portfolio_9.EBAY">
      <calculatedColumnFormula>B3-$B$15</calculatedColumnFormula>
    </tableColumn>
    <tableColumn id="3" xr3:uid="{DC227F87-D9AF-41F2-AA80-D27BD007674E}" name="Portfolio_9.MSFT">
      <calculatedColumnFormula>C3-$C$15</calculatedColumnFormula>
    </tableColumn>
    <tableColumn id="4" xr3:uid="{0802AB56-E0C4-420A-9350-5A4D591C39DF}" name="Portfolio_9.ÖRCL">
      <calculatedColumnFormula>D3-$D$15</calculatedColumnFormula>
    </tableColumn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35DF604-AF62-4D6F-B92F-2F420C0CCD5C}" name="Table13313335373941434547" displayName="Table13313335373941434547" ref="A2:I13" totalsRowShown="0">
  <autoFilter ref="A2:I13" xr:uid="{AC5BDD66-9848-4143-ACDB-9E86937CE53D}"/>
  <sortState ref="A3:D13">
    <sortCondition ref="A2:A13"/>
  </sortState>
  <tableColumns count="9">
    <tableColumn id="1" xr3:uid="{9E4CD694-57F3-447C-BC6C-0FEACDAE76A9}" name="Portfolio_10.Date" dataDxfId="12"/>
    <tableColumn id="2" xr3:uid="{2190CD0E-0902-479B-B37E-C10D56D39B0A}" name="Portfolio_10.GOOG" dataDxfId="11" dataCellStyle="Percent"/>
    <tableColumn id="3" xr3:uid="{A41FD4C0-E7BB-4CB4-BF04-5C06AEA783FE}" name="Portfolio_10.MSFT" dataDxfId="10" dataCellStyle="Percent"/>
    <tableColumn id="4" xr3:uid="{6F6CE4A0-70CA-4E71-A38E-4B44D7DAD524}" name="Portfolio_10.ÖRCL" dataDxfId="9" dataCellStyle="Percent"/>
    <tableColumn id="5" xr3:uid="{E6687F2E-A03E-4910-844E-0683A4BDA139}" name="W.Returns" dataDxfId="8" dataCellStyle="Percent">
      <calculatedColumnFormula>SUM(Table13313335373941434547[[#This Row],[Portfolio_10.GOOG]:[Portfolio_10.ÖRCL]])/3</calculatedColumnFormula>
    </tableColumn>
    <tableColumn id="6" xr3:uid="{9B83FE43-1DF0-4893-A425-3CE2173A8B80}" name="C.Returns" dataDxfId="7" dataCellStyle="Percent">
      <calculatedColumnFormula>SUM($E$3:E3)</calculatedColumnFormula>
    </tableColumn>
    <tableColumn id="7" xr3:uid="{3C617033-4525-453B-94D6-4186C809F7C6}" name="WPR.Mean" dataDxfId="6" dataCellStyle="Percent">
      <calculatedColumnFormula>AVERAGE(Table13313335373941434547[W.Returns])</calculatedColumnFormula>
    </tableColumn>
    <tableColumn id="8" xr3:uid="{A4040251-59DF-4521-A32A-C4660FD66D63}" name="WPR.Median" dataDxfId="5" dataCellStyle="Percent">
      <calculatedColumnFormula>MEDIAN(Table13313335373941434547[W.Returns])</calculatedColumnFormula>
    </tableColumn>
    <tableColumn id="9" xr3:uid="{60008232-CBBD-4650-A821-7ECFD6D1082D}" name="WPR.STD" dataDxfId="4" dataCellStyle="Percent">
      <calculatedColumnFormula>_xlfn.STDEV.S(Table13313335373941434547[W.Returns])</calculatedColumnFormula>
    </tableColumn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4688873-5928-4200-A7BC-00EED84A7EA5}" name="Table38323436384042444648" displayName="Table38323436384042444648" ref="A19:D30" totalsRowShown="0" headerRowDxfId="3" headerRowBorderDxfId="2" tableBorderDxfId="1">
  <autoFilter ref="A19:D30" xr:uid="{74FC6301-A931-4378-AB0E-900BC9213ACA}"/>
  <sortState ref="A20:D30">
    <sortCondition ref="A19:A30"/>
  </sortState>
  <tableColumns count="4">
    <tableColumn id="1" xr3:uid="{1C717BFA-246B-4B5D-A464-DE3E4C894C9C}" name="Portfolio_1.Date" dataDxfId="0"/>
    <tableColumn id="2" xr3:uid="{7D6BAF86-B7C7-43CF-BED2-3CBE4DE10012}" name="Portfolio_1.CSCO">
      <calculatedColumnFormula>B3-$B$15</calculatedColumnFormula>
    </tableColumn>
    <tableColumn id="3" xr3:uid="{B4CC3F4E-AC71-41C5-8045-3F14118BBC8E}" name="Portfolio_1.EBAY">
      <calculatedColumnFormula>C3-$C$15</calculatedColumnFormula>
    </tableColumn>
    <tableColumn id="4" xr3:uid="{534D3AD0-CD21-4E12-BE95-A32810024C72}" name="Portfolio_1.GOOG">
      <calculatedColumnFormula>D3-$D$15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DC31-1005-46E5-ADFD-1ABA0E2E132F}">
  <dimension ref="A1:I14"/>
  <sheetViews>
    <sheetView workbookViewId="0">
      <selection activeCell="I2" sqref="I2"/>
    </sheetView>
  </sheetViews>
  <sheetFormatPr defaultRowHeight="15" x14ac:dyDescent="0.25"/>
  <cols>
    <col min="1" max="1" width="9.7109375" bestFit="1" customWidth="1"/>
    <col min="6" max="6" width="11.42578125" customWidth="1"/>
    <col min="7" max="7" width="10.140625" customWidth="1"/>
    <col min="9" max="9" width="10.140625" bestFit="1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" t="s">
        <v>8</v>
      </c>
      <c r="I1" s="1" t="s">
        <v>10</v>
      </c>
    </row>
    <row r="2" spans="1:9" x14ac:dyDescent="0.25">
      <c r="A2" s="14">
        <v>43191</v>
      </c>
      <c r="B2" s="13">
        <v>42.52</v>
      </c>
      <c r="C2" s="13">
        <v>44.950001</v>
      </c>
      <c r="D2" s="13">
        <v>40.189999</v>
      </c>
      <c r="E2" s="13">
        <v>43.740001999999997</v>
      </c>
      <c r="F2" s="13">
        <v>43.391182000000001</v>
      </c>
      <c r="G2" s="13">
        <v>409125400</v>
      </c>
      <c r="H2">
        <f>F2-F3</f>
        <v>0.84322399999999931</v>
      </c>
      <c r="I2" s="11">
        <f>H2/F3</f>
        <v>1.9818201381133244E-2</v>
      </c>
    </row>
    <row r="3" spans="1:9" x14ac:dyDescent="0.25">
      <c r="A3" s="14">
        <v>43160</v>
      </c>
      <c r="B3" s="13">
        <v>44.68</v>
      </c>
      <c r="C3" s="13">
        <v>46.16</v>
      </c>
      <c r="D3" s="13">
        <v>41.580002</v>
      </c>
      <c r="E3" s="13">
        <v>42.889999000000003</v>
      </c>
      <c r="F3" s="13">
        <v>42.547958000000001</v>
      </c>
      <c r="G3" s="13">
        <v>597830400</v>
      </c>
      <c r="H3" s="13">
        <f t="shared" ref="H3:H12" si="0">F3-F4</f>
        <v>-1.874927999999997</v>
      </c>
      <c r="I3" s="11">
        <f t="shared" ref="I3:I12" si="1">H3/F4</f>
        <v>-4.2206352824532764E-2</v>
      </c>
    </row>
    <row r="4" spans="1:9" x14ac:dyDescent="0.25">
      <c r="A4" s="14">
        <v>43132</v>
      </c>
      <c r="B4" s="13">
        <v>41.09</v>
      </c>
      <c r="C4" s="13">
        <v>45.889999000000003</v>
      </c>
      <c r="D4" s="13">
        <v>37.349997999999999</v>
      </c>
      <c r="E4" s="13">
        <v>44.779998999999997</v>
      </c>
      <c r="F4" s="13">
        <v>44.422885999999998</v>
      </c>
      <c r="G4" s="13">
        <v>703752400</v>
      </c>
      <c r="H4" s="13">
        <f t="shared" si="0"/>
        <v>3.5192529999999991</v>
      </c>
      <c r="I4" s="11">
        <f t="shared" si="1"/>
        <v>8.6037663207079895E-2</v>
      </c>
    </row>
    <row r="5" spans="1:9" x14ac:dyDescent="0.25">
      <c r="A5" s="14">
        <v>43101</v>
      </c>
      <c r="B5" s="13">
        <v>38.669998</v>
      </c>
      <c r="C5" s="13">
        <v>42.98</v>
      </c>
      <c r="D5" s="13">
        <v>38.43</v>
      </c>
      <c r="E5" s="13">
        <v>41.540000999999997</v>
      </c>
      <c r="F5" s="13">
        <v>40.903632999999999</v>
      </c>
      <c r="G5" s="13">
        <v>504812100</v>
      </c>
      <c r="H5" s="13">
        <f t="shared" si="0"/>
        <v>3.1903689999999969</v>
      </c>
      <c r="I5" s="11">
        <f t="shared" si="1"/>
        <v>8.4595409190782234E-2</v>
      </c>
    </row>
    <row r="6" spans="1:9" x14ac:dyDescent="0.25">
      <c r="A6" s="14">
        <v>43070</v>
      </c>
      <c r="B6" s="13">
        <v>37.090000000000003</v>
      </c>
      <c r="C6" s="13">
        <v>38.990001999999997</v>
      </c>
      <c r="D6" s="13">
        <v>36.729999999999997</v>
      </c>
      <c r="E6" s="13">
        <v>38.299999</v>
      </c>
      <c r="F6" s="13">
        <v>37.713264000000002</v>
      </c>
      <c r="G6" s="13">
        <v>373030900</v>
      </c>
      <c r="H6" s="13">
        <f t="shared" si="0"/>
        <v>0.98468000000000444</v>
      </c>
      <c r="I6" s="11">
        <f t="shared" si="1"/>
        <v>2.6809636875737015E-2</v>
      </c>
    </row>
    <row r="7" spans="1:9" x14ac:dyDescent="0.25">
      <c r="A7" s="14">
        <v>43040</v>
      </c>
      <c r="B7" s="13">
        <v>34.290000999999997</v>
      </c>
      <c r="C7" s="13">
        <v>38.029998999999997</v>
      </c>
      <c r="D7" s="13">
        <v>33.669998</v>
      </c>
      <c r="E7" s="13">
        <v>37.299999</v>
      </c>
      <c r="F7" s="13">
        <v>36.728583999999998</v>
      </c>
      <c r="G7" s="13">
        <v>476356800</v>
      </c>
      <c r="H7" s="13">
        <f t="shared" si="0"/>
        <v>3.3898310000000009</v>
      </c>
      <c r="I7" s="11">
        <f t="shared" si="1"/>
        <v>0.10167839810925146</v>
      </c>
    </row>
    <row r="8" spans="1:9" x14ac:dyDescent="0.25">
      <c r="A8" s="14">
        <v>43009</v>
      </c>
      <c r="B8" s="13">
        <v>33.610000999999997</v>
      </c>
      <c r="C8" s="13">
        <v>34.729999999999997</v>
      </c>
      <c r="D8" s="13">
        <v>33.169998</v>
      </c>
      <c r="E8" s="13">
        <v>34.150002000000001</v>
      </c>
      <c r="F8" s="13">
        <v>33.338752999999997</v>
      </c>
      <c r="G8" s="13">
        <v>336242900</v>
      </c>
      <c r="H8" s="13">
        <f t="shared" si="0"/>
        <v>0.50764499999999657</v>
      </c>
      <c r="I8" s="11">
        <f t="shared" si="1"/>
        <v>1.5462317019577791E-2</v>
      </c>
    </row>
    <row r="9" spans="1:9" x14ac:dyDescent="0.25">
      <c r="A9" s="14">
        <v>42979</v>
      </c>
      <c r="B9" s="13">
        <v>32.220001000000003</v>
      </c>
      <c r="C9" s="13">
        <v>34.099997999999999</v>
      </c>
      <c r="D9" s="13">
        <v>31.459999</v>
      </c>
      <c r="E9" s="13">
        <v>33.630001</v>
      </c>
      <c r="F9" s="13">
        <v>32.831108</v>
      </c>
      <c r="G9" s="13">
        <v>415433800</v>
      </c>
      <c r="H9" s="13">
        <f t="shared" si="0"/>
        <v>1.3862689999999986</v>
      </c>
      <c r="I9" s="11">
        <f t="shared" si="1"/>
        <v>4.4085740111437635E-2</v>
      </c>
    </row>
    <row r="10" spans="1:9" x14ac:dyDescent="0.25">
      <c r="A10" s="14">
        <v>42948</v>
      </c>
      <c r="B10" s="13">
        <v>31.59</v>
      </c>
      <c r="C10" s="13">
        <v>32.470001000000003</v>
      </c>
      <c r="D10" s="13">
        <v>30.360001</v>
      </c>
      <c r="E10" s="13">
        <v>32.209999000000003</v>
      </c>
      <c r="F10" s="13">
        <v>31.444839000000002</v>
      </c>
      <c r="G10" s="13">
        <v>505595400</v>
      </c>
      <c r="H10" s="13">
        <f t="shared" si="0"/>
        <v>1.0261420000000001</v>
      </c>
      <c r="I10" s="11">
        <f t="shared" si="1"/>
        <v>3.3733923579961363E-2</v>
      </c>
    </row>
    <row r="11" spans="1:9" x14ac:dyDescent="0.25">
      <c r="A11" s="14">
        <v>42917</v>
      </c>
      <c r="B11" s="13">
        <v>31.09</v>
      </c>
      <c r="C11" s="13">
        <v>32.25</v>
      </c>
      <c r="D11" s="13">
        <v>30.67</v>
      </c>
      <c r="E11" s="13">
        <v>31.450001</v>
      </c>
      <c r="F11" s="13">
        <v>30.418697000000002</v>
      </c>
      <c r="G11" s="13">
        <v>344250200</v>
      </c>
      <c r="H11" s="13">
        <f t="shared" si="0"/>
        <v>0.14508200000000215</v>
      </c>
      <c r="I11" s="11">
        <f t="shared" si="1"/>
        <v>4.7923579658393015E-3</v>
      </c>
    </row>
    <row r="12" spans="1:9" x14ac:dyDescent="0.25">
      <c r="A12" s="14">
        <v>42887</v>
      </c>
      <c r="B12" s="13">
        <v>31.52</v>
      </c>
      <c r="C12" s="13">
        <v>32.5</v>
      </c>
      <c r="D12" s="13">
        <v>31.09</v>
      </c>
      <c r="E12" s="13">
        <v>31.299999</v>
      </c>
      <c r="F12" s="13">
        <v>30.273614999999999</v>
      </c>
      <c r="G12" s="13">
        <v>480696300</v>
      </c>
      <c r="H12" s="13">
        <f t="shared" si="0"/>
        <v>-0.22246000000000166</v>
      </c>
      <c r="I12" s="11">
        <f t="shared" si="1"/>
        <v>-7.2947092371723789E-3</v>
      </c>
    </row>
    <row r="13" spans="1:9" x14ac:dyDescent="0.25">
      <c r="A13" s="14">
        <v>42856</v>
      </c>
      <c r="B13" s="13">
        <v>34.110000999999997</v>
      </c>
      <c r="C13" s="13">
        <v>34.599997999999999</v>
      </c>
      <c r="D13" s="13">
        <v>30.370000999999998</v>
      </c>
      <c r="E13" s="13">
        <v>31.530000999999999</v>
      </c>
      <c r="F13" s="13">
        <v>30.496075000000001</v>
      </c>
      <c r="G13" s="13">
        <v>548285400</v>
      </c>
      <c r="H13" s="1" t="s">
        <v>9</v>
      </c>
      <c r="I13" s="1" t="s">
        <v>9</v>
      </c>
    </row>
    <row r="14" spans="1:9" x14ac:dyDescent="0.25">
      <c r="A14" s="14">
        <v>42826</v>
      </c>
      <c r="B14" s="13" t="s">
        <v>7</v>
      </c>
      <c r="C14" s="13" t="s">
        <v>7</v>
      </c>
      <c r="D14" s="13" t="s">
        <v>7</v>
      </c>
      <c r="E14" s="13" t="s">
        <v>7</v>
      </c>
      <c r="F14" s="13" t="s">
        <v>7</v>
      </c>
      <c r="G14" s="13" t="s">
        <v>7</v>
      </c>
      <c r="H14" s="1" t="s">
        <v>9</v>
      </c>
      <c r="I14" s="1" t="s">
        <v>9</v>
      </c>
    </row>
  </sheetData>
  <pageMargins left="0.7" right="0.7" top="0.75" bottom="0.75" header="0.3" footer="0.3"/>
  <ignoredErrors>
    <ignoredError sqref="H13:I1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I2" sqref="I2:I14"/>
    </sheetView>
  </sheetViews>
  <sheetFormatPr defaultRowHeight="15" x14ac:dyDescent="0.25"/>
  <cols>
    <col min="1" max="1" width="9.7109375" style="1" bestFit="1" customWidth="1"/>
    <col min="2" max="5" width="9.140625" style="1"/>
    <col min="6" max="6" width="11.42578125" style="1" customWidth="1"/>
    <col min="7" max="7" width="10.140625" style="1" customWidth="1"/>
    <col min="8" max="8" width="9.140625" style="1"/>
    <col min="9" max="9" width="9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25">
      <c r="A2" s="2">
        <v>43191</v>
      </c>
      <c r="B2" s="1">
        <v>40.040000999999997</v>
      </c>
      <c r="C2" s="1">
        <v>43</v>
      </c>
      <c r="D2" s="1">
        <v>38.82</v>
      </c>
      <c r="E2" s="1">
        <v>41.599997999999999</v>
      </c>
      <c r="F2" s="1">
        <v>41.599997999999999</v>
      </c>
      <c r="G2" s="1">
        <v>161183600</v>
      </c>
      <c r="H2" s="1">
        <f>F2-F3</f>
        <v>1.3599960000000024</v>
      </c>
      <c r="I2" s="3">
        <f>H2/F3</f>
        <v>3.3797115616445605E-2</v>
      </c>
    </row>
    <row r="3" spans="1:9" x14ac:dyDescent="0.25">
      <c r="A3" s="2">
        <v>43160</v>
      </c>
      <c r="B3" s="1">
        <v>43.009998000000003</v>
      </c>
      <c r="C3" s="1">
        <v>44.299999</v>
      </c>
      <c r="D3" s="1">
        <v>39.590000000000003</v>
      </c>
      <c r="E3" s="1">
        <v>40.240001999999997</v>
      </c>
      <c r="F3" s="1">
        <v>40.240001999999997</v>
      </c>
      <c r="G3" s="1">
        <v>199402700</v>
      </c>
      <c r="H3" s="1">
        <f t="shared" ref="H3:H12" si="0">F3-F4</f>
        <v>-2.619999</v>
      </c>
      <c r="I3" s="3">
        <f t="shared" ref="I3:I12" si="1">H3/F4</f>
        <v>-6.11292332914318E-2</v>
      </c>
    </row>
    <row r="4" spans="1:9" x14ac:dyDescent="0.25">
      <c r="A4" s="2">
        <v>43132</v>
      </c>
      <c r="B4" s="1">
        <v>45.5</v>
      </c>
      <c r="C4" s="1">
        <v>46.990001999999997</v>
      </c>
      <c r="D4" s="1">
        <v>40.43</v>
      </c>
      <c r="E4" s="1">
        <v>42.860000999999997</v>
      </c>
      <c r="F4" s="1">
        <v>42.860000999999997</v>
      </c>
      <c r="G4" s="1">
        <v>252196500</v>
      </c>
      <c r="H4" s="1">
        <f t="shared" si="0"/>
        <v>2.2799989999999966</v>
      </c>
      <c r="I4" s="3">
        <f t="shared" si="1"/>
        <v>5.6185285550256911E-2</v>
      </c>
    </row>
    <row r="5" spans="1:9" x14ac:dyDescent="0.25">
      <c r="A5" s="2">
        <v>43101</v>
      </c>
      <c r="B5" s="1">
        <v>38.169998</v>
      </c>
      <c r="C5" s="1">
        <v>41.34</v>
      </c>
      <c r="D5" s="1">
        <v>37.380001</v>
      </c>
      <c r="E5" s="1">
        <v>40.580002</v>
      </c>
      <c r="F5" s="1">
        <v>40.580002</v>
      </c>
      <c r="G5" s="1">
        <v>211507400</v>
      </c>
      <c r="H5" s="1">
        <f t="shared" si="0"/>
        <v>2.8400000000000034</v>
      </c>
      <c r="I5" s="3">
        <f t="shared" si="1"/>
        <v>7.5251718322643532E-2</v>
      </c>
    </row>
    <row r="6" spans="1:9" x14ac:dyDescent="0.25">
      <c r="A6" s="2">
        <v>43070</v>
      </c>
      <c r="B6" s="1">
        <v>34.380001</v>
      </c>
      <c r="C6" s="1">
        <v>38.659999999999997</v>
      </c>
      <c r="D6" s="1">
        <v>34.310001</v>
      </c>
      <c r="E6" s="1">
        <v>37.740001999999997</v>
      </c>
      <c r="F6" s="1">
        <v>37.740001999999997</v>
      </c>
      <c r="G6" s="1">
        <v>168580100</v>
      </c>
      <c r="H6" s="1">
        <f t="shared" si="0"/>
        <v>3.0700039999999973</v>
      </c>
      <c r="I6" s="3">
        <f t="shared" si="1"/>
        <v>8.8549298445301253E-2</v>
      </c>
    </row>
    <row r="7" spans="1:9" x14ac:dyDescent="0.25">
      <c r="A7" s="2">
        <v>43040</v>
      </c>
      <c r="B7" s="1">
        <v>37.849997999999999</v>
      </c>
      <c r="C7" s="1">
        <v>38.090000000000003</v>
      </c>
      <c r="D7" s="1">
        <v>33.950001</v>
      </c>
      <c r="E7" s="1">
        <v>34.669998</v>
      </c>
      <c r="F7" s="1">
        <v>34.669998</v>
      </c>
      <c r="G7" s="1">
        <v>179743700</v>
      </c>
      <c r="H7" s="1">
        <f t="shared" si="0"/>
        <v>-2.9700010000000034</v>
      </c>
      <c r="I7" s="3">
        <f t="shared" si="1"/>
        <v>-7.8905448430006686E-2</v>
      </c>
    </row>
    <row r="8" spans="1:9" x14ac:dyDescent="0.25">
      <c r="A8" s="2">
        <v>43009</v>
      </c>
      <c r="B8" s="1">
        <v>38.509998000000003</v>
      </c>
      <c r="C8" s="1">
        <v>39.279998999999997</v>
      </c>
      <c r="D8" s="1">
        <v>36.189999</v>
      </c>
      <c r="E8" s="1">
        <v>37.639999000000003</v>
      </c>
      <c r="F8" s="1">
        <v>37.639999000000003</v>
      </c>
      <c r="G8" s="1">
        <v>214499000</v>
      </c>
      <c r="H8" s="1">
        <f t="shared" si="0"/>
        <v>-0.82000000000000028</v>
      </c>
      <c r="I8" s="3">
        <f t="shared" si="1"/>
        <v>-2.1320853388477733E-2</v>
      </c>
    </row>
    <row r="9" spans="1:9" x14ac:dyDescent="0.25">
      <c r="A9" s="2">
        <v>42979</v>
      </c>
      <c r="B9" s="1">
        <v>36.200001</v>
      </c>
      <c r="C9" s="1">
        <v>38.869999</v>
      </c>
      <c r="D9" s="1">
        <v>35.770000000000003</v>
      </c>
      <c r="E9" s="1">
        <v>38.459999000000003</v>
      </c>
      <c r="F9" s="1">
        <v>38.459999000000003</v>
      </c>
      <c r="G9" s="1">
        <v>149752800</v>
      </c>
      <c r="H9" s="1">
        <f t="shared" si="0"/>
        <v>2.3299980000000033</v>
      </c>
      <c r="I9" s="3">
        <f t="shared" si="1"/>
        <v>6.4489286894844081E-2</v>
      </c>
    </row>
    <row r="10" spans="1:9" x14ac:dyDescent="0.25">
      <c r="A10" s="2">
        <v>42948</v>
      </c>
      <c r="B10" s="1">
        <v>35.82</v>
      </c>
      <c r="C10" s="1">
        <v>36.639999000000003</v>
      </c>
      <c r="D10" s="1">
        <v>34.090000000000003</v>
      </c>
      <c r="E10" s="1">
        <v>36.130001</v>
      </c>
      <c r="F10" s="1">
        <v>36.130001</v>
      </c>
      <c r="G10" s="1">
        <v>158918000</v>
      </c>
      <c r="H10" s="1">
        <f t="shared" si="0"/>
        <v>0.40000100000000316</v>
      </c>
      <c r="I10" s="3">
        <f t="shared" si="1"/>
        <v>1.1195102155051867E-2</v>
      </c>
    </row>
    <row r="11" spans="1:9" x14ac:dyDescent="0.25">
      <c r="A11" s="2">
        <v>42917</v>
      </c>
      <c r="B11" s="1">
        <v>35.150002000000001</v>
      </c>
      <c r="C11" s="1">
        <v>37.479999999999997</v>
      </c>
      <c r="D11" s="1">
        <v>33.950001</v>
      </c>
      <c r="E11" s="1">
        <v>35.729999999999997</v>
      </c>
      <c r="F11" s="1">
        <v>35.729999999999997</v>
      </c>
      <c r="G11" s="1">
        <v>210354100</v>
      </c>
      <c r="H11" s="1">
        <f t="shared" si="0"/>
        <v>0.81000199999999722</v>
      </c>
      <c r="I11" s="3">
        <f t="shared" si="1"/>
        <v>2.3195934890946936E-2</v>
      </c>
    </row>
    <row r="12" spans="1:9" x14ac:dyDescent="0.25">
      <c r="A12" s="2">
        <v>42887</v>
      </c>
      <c r="B12" s="1">
        <v>34.439999</v>
      </c>
      <c r="C12" s="1">
        <v>36.5</v>
      </c>
      <c r="D12" s="1">
        <v>33.889999000000003</v>
      </c>
      <c r="E12" s="1">
        <v>34.919998</v>
      </c>
      <c r="F12" s="1">
        <v>34.919998</v>
      </c>
      <c r="G12" s="1">
        <v>184614800</v>
      </c>
      <c r="H12" s="1">
        <f t="shared" si="0"/>
        <v>0.61999899999999997</v>
      </c>
      <c r="I12" s="3">
        <f t="shared" si="1"/>
        <v>1.8075773121742657E-2</v>
      </c>
    </row>
    <row r="13" spans="1:9" x14ac:dyDescent="0.25">
      <c r="A13" s="2">
        <v>42856</v>
      </c>
      <c r="B13" s="1">
        <v>33.459999000000003</v>
      </c>
      <c r="C13" s="1">
        <v>35.299999</v>
      </c>
      <c r="D13" s="1">
        <v>32.990001999999997</v>
      </c>
      <c r="E13" s="1">
        <v>34.299999</v>
      </c>
      <c r="F13" s="1">
        <v>34.299999</v>
      </c>
      <c r="G13" s="1">
        <v>173454600</v>
      </c>
      <c r="H13" s="1" t="s">
        <v>9</v>
      </c>
      <c r="I13" s="12" t="s">
        <v>9</v>
      </c>
    </row>
    <row r="14" spans="1:9" x14ac:dyDescent="0.25">
      <c r="A14" s="2">
        <v>42826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9</v>
      </c>
      <c r="I14" s="12" t="s">
        <v>9</v>
      </c>
    </row>
  </sheetData>
  <pageMargins left="0.7" right="0.7" top="0.75" bottom="0.75" header="0.3" footer="0.3"/>
  <ignoredErrors>
    <ignoredError sqref="H14 H13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I2" sqref="I2:I14"/>
    </sheetView>
  </sheetViews>
  <sheetFormatPr defaultRowHeight="15" x14ac:dyDescent="0.25"/>
  <cols>
    <col min="1" max="1" width="9.7109375" style="1" bestFit="1" customWidth="1"/>
    <col min="2" max="5" width="9.140625" style="1"/>
    <col min="6" max="6" width="11.42578125" style="1" customWidth="1"/>
    <col min="7" max="7" width="10.140625" style="1" customWidth="1"/>
    <col min="8" max="8" width="9.140625" style="1"/>
    <col min="9" max="9" width="10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25">
      <c r="A2" s="2">
        <v>43191</v>
      </c>
      <c r="B2" s="1">
        <v>1022.820007</v>
      </c>
      <c r="C2" s="1">
        <v>1094.165039</v>
      </c>
      <c r="D2" s="1">
        <v>990.36999500000002</v>
      </c>
      <c r="E2" s="1">
        <v>1067.4499510000001</v>
      </c>
      <c r="F2" s="1">
        <v>1067.4499510000001</v>
      </c>
      <c r="G2" s="1">
        <v>28999200</v>
      </c>
      <c r="H2" s="1">
        <f>F2-F3</f>
        <v>35.659912000000077</v>
      </c>
      <c r="I2" s="3">
        <f>H2/F3</f>
        <v>3.4561209792799794E-2</v>
      </c>
    </row>
    <row r="3" spans="1:9" x14ac:dyDescent="0.25">
      <c r="A3" s="2">
        <v>43160</v>
      </c>
      <c r="B3" s="1">
        <v>1107.869995</v>
      </c>
      <c r="C3" s="1">
        <v>1177.0500489999999</v>
      </c>
      <c r="D3" s="1">
        <v>980.64001499999995</v>
      </c>
      <c r="E3" s="1">
        <v>1031.790039</v>
      </c>
      <c r="F3" s="1">
        <v>1031.790039</v>
      </c>
      <c r="G3" s="1">
        <v>45353300</v>
      </c>
      <c r="H3" s="1">
        <f t="shared" ref="H3:H12" si="0">F3-F4</f>
        <v>-72.93994100000009</v>
      </c>
      <c r="I3" s="3">
        <f t="shared" ref="I3:I12" si="1">H3/F4</f>
        <v>-6.6025130412410898E-2</v>
      </c>
    </row>
    <row r="4" spans="1:9" x14ac:dyDescent="0.25">
      <c r="A4" s="2">
        <v>43132</v>
      </c>
      <c r="B4" s="1">
        <v>1162.6099850000001</v>
      </c>
      <c r="C4" s="1">
        <v>1174</v>
      </c>
      <c r="D4" s="1">
        <v>992.55999799999995</v>
      </c>
      <c r="E4" s="1">
        <v>1104.7299800000001</v>
      </c>
      <c r="F4" s="1">
        <v>1104.7299800000001</v>
      </c>
      <c r="G4" s="1">
        <v>42384100</v>
      </c>
      <c r="H4" s="1">
        <f t="shared" si="0"/>
        <v>-65.209961000000021</v>
      </c>
      <c r="I4" s="3">
        <f t="shared" si="1"/>
        <v>-5.57378705647592E-2</v>
      </c>
    </row>
    <row r="5" spans="1:9" x14ac:dyDescent="0.25">
      <c r="A5" s="2">
        <v>43101</v>
      </c>
      <c r="B5" s="1">
        <v>1048.339966</v>
      </c>
      <c r="C5" s="1">
        <v>1186.8900149999999</v>
      </c>
      <c r="D5" s="1">
        <v>1045.2299800000001</v>
      </c>
      <c r="E5" s="1">
        <v>1169.9399410000001</v>
      </c>
      <c r="F5" s="1">
        <v>1169.9399410000001</v>
      </c>
      <c r="G5" s="1">
        <v>28738400</v>
      </c>
      <c r="H5" s="1">
        <f t="shared" si="0"/>
        <v>123.53991700000006</v>
      </c>
      <c r="I5" s="3">
        <f t="shared" si="1"/>
        <v>0.11806184457809231</v>
      </c>
    </row>
    <row r="6" spans="1:9" x14ac:dyDescent="0.25">
      <c r="A6" s="2">
        <v>43070</v>
      </c>
      <c r="B6" s="1">
        <v>1015.799988</v>
      </c>
      <c r="C6" s="1">
        <v>1078.48999</v>
      </c>
      <c r="D6" s="1">
        <v>988.28002900000001</v>
      </c>
      <c r="E6" s="1">
        <v>1046.400024</v>
      </c>
      <c r="F6" s="1">
        <v>1046.400024</v>
      </c>
      <c r="G6" s="1">
        <v>28163700</v>
      </c>
      <c r="H6" s="1">
        <f t="shared" si="0"/>
        <v>24.990050999999994</v>
      </c>
      <c r="I6" s="3">
        <f t="shared" si="1"/>
        <v>2.446622968307359E-2</v>
      </c>
    </row>
    <row r="7" spans="1:9" x14ac:dyDescent="0.25">
      <c r="A7" s="2">
        <v>43040</v>
      </c>
      <c r="B7" s="1">
        <v>1017.210022</v>
      </c>
      <c r="C7" s="1">
        <v>1062.375</v>
      </c>
      <c r="D7" s="1">
        <v>1013.01001</v>
      </c>
      <c r="E7" s="1">
        <v>1021.409973</v>
      </c>
      <c r="F7" s="1">
        <v>1021.409973</v>
      </c>
      <c r="G7" s="1">
        <v>24265500</v>
      </c>
      <c r="H7" s="1">
        <f t="shared" si="0"/>
        <v>4.7699580000000878</v>
      </c>
      <c r="I7" s="3">
        <f t="shared" si="1"/>
        <v>4.6918849638237859E-3</v>
      </c>
    </row>
    <row r="8" spans="1:9" x14ac:dyDescent="0.25">
      <c r="A8" s="2">
        <v>43009</v>
      </c>
      <c r="B8" s="1">
        <v>959.97997999999995</v>
      </c>
      <c r="C8" s="1">
        <v>1048.3900149999999</v>
      </c>
      <c r="D8" s="1">
        <v>947.84002699999996</v>
      </c>
      <c r="E8" s="1">
        <v>1016.6400149999999</v>
      </c>
      <c r="F8" s="1">
        <v>1016.6400149999999</v>
      </c>
      <c r="G8" s="1">
        <v>31779700</v>
      </c>
      <c r="H8" s="1">
        <f t="shared" si="0"/>
        <v>57.530029999999897</v>
      </c>
      <c r="I8" s="3">
        <f t="shared" si="1"/>
        <v>5.9982724504739564E-2</v>
      </c>
    </row>
    <row r="9" spans="1:9" x14ac:dyDescent="0.25">
      <c r="A9" s="2">
        <v>42979</v>
      </c>
      <c r="B9" s="1">
        <v>941.13000499999998</v>
      </c>
      <c r="C9" s="1">
        <v>959.78601100000003</v>
      </c>
      <c r="D9" s="1">
        <v>909.70001200000002</v>
      </c>
      <c r="E9" s="1">
        <v>959.10998500000005</v>
      </c>
      <c r="F9" s="1">
        <v>959.10998500000005</v>
      </c>
      <c r="G9" s="1">
        <v>28053800</v>
      </c>
      <c r="H9" s="1">
        <f t="shared" si="0"/>
        <v>19.779968000000054</v>
      </c>
      <c r="I9" s="3">
        <f t="shared" si="1"/>
        <v>2.1057527857113133E-2</v>
      </c>
    </row>
    <row r="10" spans="1:9" x14ac:dyDescent="0.25">
      <c r="A10" s="2">
        <v>42948</v>
      </c>
      <c r="B10" s="1">
        <v>932.38000499999998</v>
      </c>
      <c r="C10" s="1">
        <v>941.97997999999995</v>
      </c>
      <c r="D10" s="1">
        <v>903.40002400000003</v>
      </c>
      <c r="E10" s="1">
        <v>939.330017</v>
      </c>
      <c r="F10" s="1">
        <v>939.330017</v>
      </c>
      <c r="G10" s="1">
        <v>27958000</v>
      </c>
      <c r="H10" s="1">
        <f t="shared" si="0"/>
        <v>8.830016999999998</v>
      </c>
      <c r="I10" s="3">
        <f t="shared" si="1"/>
        <v>9.4895400322407286E-3</v>
      </c>
    </row>
    <row r="11" spans="1:9" x14ac:dyDescent="0.25">
      <c r="A11" s="2">
        <v>42917</v>
      </c>
      <c r="B11" s="1">
        <v>912.17999299999997</v>
      </c>
      <c r="C11" s="1">
        <v>986.20001200000002</v>
      </c>
      <c r="D11" s="1">
        <v>894.78997800000002</v>
      </c>
      <c r="E11" s="1">
        <v>930.5</v>
      </c>
      <c r="F11" s="1">
        <v>930.5</v>
      </c>
      <c r="G11" s="1">
        <v>36679200</v>
      </c>
      <c r="H11" s="1">
        <f t="shared" si="0"/>
        <v>21.770020000000045</v>
      </c>
      <c r="I11" s="3">
        <f t="shared" si="1"/>
        <v>2.395653327075227E-2</v>
      </c>
    </row>
    <row r="12" spans="1:9" x14ac:dyDescent="0.25">
      <c r="A12" s="2">
        <v>42887</v>
      </c>
      <c r="B12" s="1">
        <v>968.95001200000002</v>
      </c>
      <c r="C12" s="1">
        <v>988.25</v>
      </c>
      <c r="D12" s="1">
        <v>908.30999799999995</v>
      </c>
      <c r="E12" s="1">
        <v>908.72997999999995</v>
      </c>
      <c r="F12" s="1">
        <v>908.72997999999995</v>
      </c>
      <c r="G12" s="1">
        <v>43577200</v>
      </c>
      <c r="H12" s="1">
        <f t="shared" si="0"/>
        <v>-56.130005000000097</v>
      </c>
      <c r="I12" s="3">
        <f t="shared" si="1"/>
        <v>-5.8174248981835527E-2</v>
      </c>
    </row>
    <row r="13" spans="1:9" x14ac:dyDescent="0.25">
      <c r="A13" s="2">
        <v>42856</v>
      </c>
      <c r="B13" s="1">
        <v>901.94000200000005</v>
      </c>
      <c r="C13" s="1">
        <v>979.27002000000005</v>
      </c>
      <c r="D13" s="1">
        <v>901.45001200000002</v>
      </c>
      <c r="E13" s="1">
        <v>964.85998500000005</v>
      </c>
      <c r="F13" s="1">
        <v>964.85998500000005</v>
      </c>
      <c r="G13" s="1">
        <v>32180100</v>
      </c>
      <c r="H13" s="1" t="s">
        <v>9</v>
      </c>
      <c r="I13" s="3" t="s">
        <v>9</v>
      </c>
    </row>
    <row r="14" spans="1:9" x14ac:dyDescent="0.25">
      <c r="A14" s="2">
        <v>42826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9</v>
      </c>
      <c r="I14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I2" sqref="I2:I12"/>
    </sheetView>
  </sheetViews>
  <sheetFormatPr defaultRowHeight="15" x14ac:dyDescent="0.25"/>
  <cols>
    <col min="1" max="1" width="9.7109375" style="1" bestFit="1" customWidth="1"/>
    <col min="2" max="5" width="9.140625" style="1"/>
    <col min="6" max="6" width="11.42578125" style="1" customWidth="1"/>
    <col min="7" max="7" width="10.140625" style="1" customWidth="1"/>
    <col min="8" max="8" width="9.140625" style="1"/>
    <col min="9" max="9" width="10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25">
      <c r="A2" s="2">
        <v>43191</v>
      </c>
      <c r="B2" s="1">
        <v>90.470000999999996</v>
      </c>
      <c r="C2" s="1">
        <v>97.07</v>
      </c>
      <c r="D2" s="1">
        <v>87.510002</v>
      </c>
      <c r="E2" s="1">
        <v>95.349997999999999</v>
      </c>
      <c r="F2" s="1">
        <v>95.349997999999999</v>
      </c>
      <c r="G2" s="1">
        <v>466763000</v>
      </c>
      <c r="H2" s="1">
        <f>F2-F3</f>
        <v>4.0800009999999958</v>
      </c>
      <c r="I2" s="3">
        <f>H2/F3</f>
        <v>4.4702543377973331E-2</v>
      </c>
    </row>
    <row r="3" spans="1:9" x14ac:dyDescent="0.25">
      <c r="A3" s="2">
        <v>43160</v>
      </c>
      <c r="B3" s="1">
        <v>93.989998</v>
      </c>
      <c r="C3" s="1">
        <v>97.239998</v>
      </c>
      <c r="D3" s="1">
        <v>87.080001999999993</v>
      </c>
      <c r="E3" s="1">
        <v>91.269997000000004</v>
      </c>
      <c r="F3" s="1">
        <v>91.269997000000004</v>
      </c>
      <c r="G3" s="1">
        <v>750754800</v>
      </c>
      <c r="H3" s="1">
        <f t="shared" ref="H3:H12" si="0">F3-F4</f>
        <v>-2.0615760000000023</v>
      </c>
      <c r="I3" s="3">
        <f t="shared" ref="I3:I12" si="1">H3/F4</f>
        <v>-2.2088730894956651E-2</v>
      </c>
    </row>
    <row r="4" spans="1:9" x14ac:dyDescent="0.25">
      <c r="A4" s="2">
        <v>43132</v>
      </c>
      <c r="B4" s="1">
        <v>94.790001000000004</v>
      </c>
      <c r="C4" s="1">
        <v>96.07</v>
      </c>
      <c r="D4" s="1">
        <v>83.830001999999993</v>
      </c>
      <c r="E4" s="1">
        <v>93.769997000000004</v>
      </c>
      <c r="F4" s="1">
        <v>93.331573000000006</v>
      </c>
      <c r="G4" s="1">
        <v>725663300</v>
      </c>
      <c r="H4" s="1">
        <f t="shared" si="0"/>
        <v>-1.2342079999999953</v>
      </c>
      <c r="I4" s="3">
        <f t="shared" si="1"/>
        <v>-1.3051317156678432E-2</v>
      </c>
    </row>
    <row r="5" spans="1:9" x14ac:dyDescent="0.25">
      <c r="A5" s="2">
        <v>43101</v>
      </c>
      <c r="B5" s="1">
        <v>86.129997000000003</v>
      </c>
      <c r="C5" s="1">
        <v>95.449996999999996</v>
      </c>
      <c r="D5" s="1">
        <v>85.5</v>
      </c>
      <c r="E5" s="1">
        <v>95.010002</v>
      </c>
      <c r="F5" s="1">
        <v>94.565781000000001</v>
      </c>
      <c r="G5" s="1">
        <v>574258400</v>
      </c>
      <c r="H5" s="1">
        <f t="shared" si="0"/>
        <v>9.4257209999999958</v>
      </c>
      <c r="I5" s="3">
        <f t="shared" si="1"/>
        <v>0.11070841387708671</v>
      </c>
    </row>
    <row r="6" spans="1:9" x14ac:dyDescent="0.25">
      <c r="A6" s="2">
        <v>43070</v>
      </c>
      <c r="B6" s="1">
        <v>83.599997999999999</v>
      </c>
      <c r="C6" s="1">
        <v>87.5</v>
      </c>
      <c r="D6" s="1">
        <v>80.699996999999996</v>
      </c>
      <c r="E6" s="1">
        <v>85.540001000000004</v>
      </c>
      <c r="F6" s="1">
        <v>85.140060000000005</v>
      </c>
      <c r="G6" s="1">
        <v>466203300</v>
      </c>
      <c r="H6" s="1">
        <f t="shared" si="0"/>
        <v>1.7822340000000025</v>
      </c>
      <c r="I6" s="3">
        <f t="shared" si="1"/>
        <v>2.1380524007427959E-2</v>
      </c>
    </row>
    <row r="7" spans="1:9" x14ac:dyDescent="0.25">
      <c r="A7" s="2">
        <v>43040</v>
      </c>
      <c r="B7" s="1">
        <v>83.68</v>
      </c>
      <c r="C7" s="1">
        <v>85.059997999999993</v>
      </c>
      <c r="D7" s="1">
        <v>82.239998</v>
      </c>
      <c r="E7" s="1">
        <v>84.169998000000007</v>
      </c>
      <c r="F7" s="1">
        <v>83.357826000000003</v>
      </c>
      <c r="G7" s="1">
        <v>421926000</v>
      </c>
      <c r="H7" s="1">
        <f t="shared" si="0"/>
        <v>0.98044600000000059</v>
      </c>
      <c r="I7" s="3">
        <f t="shared" si="1"/>
        <v>1.1901883745270857E-2</v>
      </c>
    </row>
    <row r="8" spans="1:9" x14ac:dyDescent="0.25">
      <c r="A8" s="2">
        <v>43009</v>
      </c>
      <c r="B8" s="1">
        <v>74.709998999999996</v>
      </c>
      <c r="C8" s="1">
        <v>86.199996999999996</v>
      </c>
      <c r="D8" s="1">
        <v>73.709998999999996</v>
      </c>
      <c r="E8" s="1">
        <v>83.18</v>
      </c>
      <c r="F8" s="1">
        <v>82.377380000000002</v>
      </c>
      <c r="G8" s="1">
        <v>449950000</v>
      </c>
      <c r="H8" s="1">
        <f t="shared" si="0"/>
        <v>8.6061550000000011</v>
      </c>
      <c r="I8" s="3">
        <f t="shared" si="1"/>
        <v>0.11666005275092017</v>
      </c>
    </row>
    <row r="9" spans="1:9" x14ac:dyDescent="0.25">
      <c r="A9" s="2">
        <v>42979</v>
      </c>
      <c r="B9" s="1">
        <v>74.709998999999996</v>
      </c>
      <c r="C9" s="1">
        <v>75.970000999999996</v>
      </c>
      <c r="D9" s="1">
        <v>72.919998000000007</v>
      </c>
      <c r="E9" s="1">
        <v>74.489998</v>
      </c>
      <c r="F9" s="1">
        <v>73.771225000000001</v>
      </c>
      <c r="G9" s="1">
        <v>375983900</v>
      </c>
      <c r="H9" s="1">
        <f t="shared" si="0"/>
        <v>0.11512799999999856</v>
      </c>
      <c r="I9" s="3">
        <f t="shared" si="1"/>
        <v>1.5630477949435545E-3</v>
      </c>
    </row>
    <row r="10" spans="1:9" x14ac:dyDescent="0.25">
      <c r="A10" s="2">
        <v>42948</v>
      </c>
      <c r="B10" s="1">
        <v>73.099997999999999</v>
      </c>
      <c r="C10" s="1">
        <v>74.959998999999996</v>
      </c>
      <c r="D10" s="1">
        <v>71.279999000000004</v>
      </c>
      <c r="E10" s="1">
        <v>74.769997000000004</v>
      </c>
      <c r="F10" s="1">
        <v>73.656097000000003</v>
      </c>
      <c r="G10" s="1">
        <v>444041200</v>
      </c>
      <c r="H10" s="1">
        <f t="shared" si="0"/>
        <v>2.0391539999999964</v>
      </c>
      <c r="I10" s="3">
        <f t="shared" si="1"/>
        <v>2.847306677136437E-2</v>
      </c>
    </row>
    <row r="11" spans="1:9" x14ac:dyDescent="0.25">
      <c r="A11" s="2">
        <v>42917</v>
      </c>
      <c r="B11" s="1">
        <v>69.330001999999993</v>
      </c>
      <c r="C11" s="1">
        <v>74.419998000000007</v>
      </c>
      <c r="D11" s="1">
        <v>68.019997000000004</v>
      </c>
      <c r="E11" s="1">
        <v>72.699996999999996</v>
      </c>
      <c r="F11" s="1">
        <v>71.616943000000006</v>
      </c>
      <c r="G11" s="1">
        <v>469851200</v>
      </c>
      <c r="H11" s="1">
        <f t="shared" si="0"/>
        <v>3.7138360000000006</v>
      </c>
      <c r="I11" s="3">
        <f t="shared" si="1"/>
        <v>5.4693167427522872E-2</v>
      </c>
    </row>
    <row r="12" spans="1:9" x14ac:dyDescent="0.25">
      <c r="A12" s="2">
        <v>42887</v>
      </c>
      <c r="B12" s="1">
        <v>70.239998</v>
      </c>
      <c r="C12" s="1">
        <v>72.889999000000003</v>
      </c>
      <c r="D12" s="1">
        <v>68.089995999999999</v>
      </c>
      <c r="E12" s="1">
        <v>68.930000000000007</v>
      </c>
      <c r="F12" s="1">
        <v>67.903107000000006</v>
      </c>
      <c r="G12" s="1">
        <v>629584800</v>
      </c>
      <c r="H12" s="1">
        <f t="shared" si="0"/>
        <v>-0.50433299999998837</v>
      </c>
      <c r="I12" s="3">
        <f t="shared" si="1"/>
        <v>-7.3724875539851863E-3</v>
      </c>
    </row>
    <row r="13" spans="1:9" x14ac:dyDescent="0.25">
      <c r="A13" s="2">
        <v>42856</v>
      </c>
      <c r="B13" s="1">
        <v>68.680000000000007</v>
      </c>
      <c r="C13" s="1">
        <v>70.739998</v>
      </c>
      <c r="D13" s="1">
        <v>67.139999000000003</v>
      </c>
      <c r="E13" s="1">
        <v>69.839995999999999</v>
      </c>
      <c r="F13" s="1">
        <v>68.407439999999994</v>
      </c>
      <c r="G13" s="1">
        <v>517218500</v>
      </c>
      <c r="H13" s="1" t="s">
        <v>9</v>
      </c>
      <c r="I13" s="1" t="s">
        <v>9</v>
      </c>
    </row>
    <row r="14" spans="1:9" x14ac:dyDescent="0.25">
      <c r="A14" s="2">
        <v>42826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9</v>
      </c>
      <c r="I1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I2" sqref="I2:I14"/>
    </sheetView>
  </sheetViews>
  <sheetFormatPr defaultRowHeight="15" x14ac:dyDescent="0.25"/>
  <cols>
    <col min="1" max="1" width="9.7109375" style="1" bestFit="1" customWidth="1"/>
    <col min="2" max="5" width="9.140625" style="1"/>
    <col min="6" max="6" width="11.42578125" style="1" customWidth="1"/>
    <col min="7" max="7" width="10.140625" style="1" customWidth="1"/>
    <col min="8" max="8" width="9.140625" style="1"/>
    <col min="9" max="9" width="10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25">
      <c r="A2" s="2">
        <v>43191</v>
      </c>
      <c r="B2" s="1">
        <v>45.650002000000001</v>
      </c>
      <c r="C2" s="1">
        <v>47.290000999999997</v>
      </c>
      <c r="D2" s="1">
        <v>44.040000999999997</v>
      </c>
      <c r="E2" s="1">
        <v>45.799999</v>
      </c>
      <c r="F2" s="1">
        <v>45.611153000000002</v>
      </c>
      <c r="G2" s="1">
        <v>219585700</v>
      </c>
      <c r="H2" s="1">
        <f>F2-F3</f>
        <v>4.9793999999998562E-2</v>
      </c>
      <c r="I2" s="3">
        <f>H2/F3</f>
        <v>1.0928997969529082E-3</v>
      </c>
    </row>
    <row r="3" spans="1:9" x14ac:dyDescent="0.25">
      <c r="A3" s="2">
        <v>43160</v>
      </c>
      <c r="B3" s="1">
        <v>50.959999000000003</v>
      </c>
      <c r="C3" s="1">
        <v>53.48</v>
      </c>
      <c r="D3" s="1">
        <v>44.509998000000003</v>
      </c>
      <c r="E3" s="1">
        <v>45.75</v>
      </c>
      <c r="F3" s="1">
        <v>45.561359000000003</v>
      </c>
      <c r="G3" s="1">
        <v>435423200</v>
      </c>
      <c r="H3" s="1">
        <f t="shared" ref="H3:H12" si="0">F3-F4</f>
        <v>-4.8997119999999938</v>
      </c>
      <c r="I3" s="3">
        <f t="shared" ref="I3:I12" si="1">H3/F4</f>
        <v>-9.7098850716030069E-2</v>
      </c>
    </row>
    <row r="4" spans="1:9" x14ac:dyDescent="0.25">
      <c r="A4" s="2">
        <v>43132</v>
      </c>
      <c r="B4" s="1">
        <v>51.360000999999997</v>
      </c>
      <c r="C4" s="1">
        <v>51.98</v>
      </c>
      <c r="D4" s="1">
        <v>45.919998</v>
      </c>
      <c r="E4" s="1">
        <v>50.669998</v>
      </c>
      <c r="F4" s="1">
        <v>50.461070999999997</v>
      </c>
      <c r="G4" s="1">
        <v>290684300</v>
      </c>
      <c r="H4" s="1">
        <f t="shared" si="0"/>
        <v>-0.71691100000000318</v>
      </c>
      <c r="I4" s="3">
        <f t="shared" si="1"/>
        <v>-1.4008192038521628E-2</v>
      </c>
    </row>
    <row r="5" spans="1:9" x14ac:dyDescent="0.25">
      <c r="A5" s="2">
        <v>43101</v>
      </c>
      <c r="B5" s="1">
        <v>47.57</v>
      </c>
      <c r="C5" s="1">
        <v>52.790000999999997</v>
      </c>
      <c r="D5" s="1">
        <v>46.169998</v>
      </c>
      <c r="E5" s="1">
        <v>51.59</v>
      </c>
      <c r="F5" s="1">
        <v>51.177982</v>
      </c>
      <c r="G5" s="1">
        <v>348599900</v>
      </c>
      <c r="H5" s="1">
        <f t="shared" si="0"/>
        <v>4.2755810000000025</v>
      </c>
      <c r="I5" s="3">
        <f t="shared" si="1"/>
        <v>9.115910718515248E-2</v>
      </c>
    </row>
    <row r="6" spans="1:9" x14ac:dyDescent="0.25">
      <c r="A6" s="2">
        <v>43070</v>
      </c>
      <c r="B6" s="1">
        <v>49.049999</v>
      </c>
      <c r="C6" s="1">
        <v>50.709999000000003</v>
      </c>
      <c r="D6" s="1">
        <v>47</v>
      </c>
      <c r="E6" s="1">
        <v>47.279998999999997</v>
      </c>
      <c r="F6" s="1">
        <v>46.902400999999998</v>
      </c>
      <c r="G6" s="1">
        <v>364528300</v>
      </c>
      <c r="H6" s="1">
        <f t="shared" si="0"/>
        <v>-1.7657890000000052</v>
      </c>
      <c r="I6" s="3">
        <f t="shared" si="1"/>
        <v>-3.6282199933878885E-2</v>
      </c>
    </row>
    <row r="7" spans="1:9" x14ac:dyDescent="0.25">
      <c r="A7" s="2">
        <v>43040</v>
      </c>
      <c r="B7" s="1">
        <v>51.099997999999999</v>
      </c>
      <c r="C7" s="1">
        <v>51.169998</v>
      </c>
      <c r="D7" s="1">
        <v>48.200001</v>
      </c>
      <c r="E7" s="1">
        <v>49.060001</v>
      </c>
      <c r="F7" s="1">
        <v>48.668190000000003</v>
      </c>
      <c r="G7" s="1">
        <v>246059100</v>
      </c>
      <c r="H7" s="1">
        <f t="shared" si="0"/>
        <v>-1.6269229999999979</v>
      </c>
      <c r="I7" s="3">
        <f t="shared" si="1"/>
        <v>-3.2347536429632791E-2</v>
      </c>
    </row>
    <row r="8" spans="1:9" x14ac:dyDescent="0.25">
      <c r="A8" s="2">
        <v>43009</v>
      </c>
      <c r="B8" s="1">
        <v>48.720001000000003</v>
      </c>
      <c r="C8" s="1">
        <v>51.279998999999997</v>
      </c>
      <c r="D8" s="1">
        <v>48</v>
      </c>
      <c r="E8" s="1">
        <v>50.900002000000001</v>
      </c>
      <c r="F8" s="1">
        <v>50.295113000000001</v>
      </c>
      <c r="G8" s="1">
        <v>314059300</v>
      </c>
      <c r="H8" s="1">
        <f t="shared" si="0"/>
        <v>2.5197029999999998</v>
      </c>
      <c r="I8" s="3">
        <f t="shared" si="1"/>
        <v>5.2740583492637737E-2</v>
      </c>
    </row>
    <row r="9" spans="1:9" x14ac:dyDescent="0.25">
      <c r="A9" s="2">
        <v>42979</v>
      </c>
      <c r="B9" s="1">
        <v>50.349997999999999</v>
      </c>
      <c r="C9" s="1">
        <v>53.139999000000003</v>
      </c>
      <c r="D9" s="1">
        <v>47.639999000000003</v>
      </c>
      <c r="E9" s="1">
        <v>48.349997999999999</v>
      </c>
      <c r="F9" s="1">
        <v>47.775410000000001</v>
      </c>
      <c r="G9" s="1">
        <v>405925500</v>
      </c>
      <c r="H9" s="1">
        <f t="shared" si="0"/>
        <v>-1.9564779999999971</v>
      </c>
      <c r="I9" s="3">
        <f t="shared" si="1"/>
        <v>-3.9340513273897766E-2</v>
      </c>
    </row>
    <row r="10" spans="1:9" x14ac:dyDescent="0.25">
      <c r="A10" s="2">
        <v>42948</v>
      </c>
      <c r="B10" s="1">
        <v>50.150002000000001</v>
      </c>
      <c r="C10" s="1">
        <v>50.52</v>
      </c>
      <c r="D10" s="1">
        <v>47.98</v>
      </c>
      <c r="E10" s="1">
        <v>50.330002</v>
      </c>
      <c r="F10" s="1">
        <v>49.731887999999998</v>
      </c>
      <c r="G10" s="1">
        <v>216473200</v>
      </c>
      <c r="H10" s="1">
        <f t="shared" si="0"/>
        <v>0.58065399999999556</v>
      </c>
      <c r="I10" s="3">
        <f t="shared" si="1"/>
        <v>1.1813619979510494E-2</v>
      </c>
    </row>
    <row r="11" spans="1:9" x14ac:dyDescent="0.25">
      <c r="A11" s="2">
        <v>42917</v>
      </c>
      <c r="B11" s="1">
        <v>50.049999</v>
      </c>
      <c r="C11" s="1">
        <v>51.360000999999997</v>
      </c>
      <c r="D11" s="1">
        <v>48.77</v>
      </c>
      <c r="E11" s="1">
        <v>49.93</v>
      </c>
      <c r="F11" s="1">
        <v>49.151234000000002</v>
      </c>
      <c r="G11" s="1">
        <v>220653800</v>
      </c>
      <c r="H11" s="1">
        <f t="shared" si="0"/>
        <v>-0.2067300000000003</v>
      </c>
      <c r="I11" s="3">
        <f t="shared" si="1"/>
        <v>-4.188381838440506E-3</v>
      </c>
    </row>
    <row r="12" spans="1:9" x14ac:dyDescent="0.25">
      <c r="A12" s="2">
        <v>42887</v>
      </c>
      <c r="B12" s="1">
        <v>45.52</v>
      </c>
      <c r="C12" s="1">
        <v>51.849997999999999</v>
      </c>
      <c r="D12" s="1">
        <v>43.740001999999997</v>
      </c>
      <c r="E12" s="1">
        <v>50.139999000000003</v>
      </c>
      <c r="F12" s="1">
        <v>49.357964000000003</v>
      </c>
      <c r="G12" s="1">
        <v>389200100</v>
      </c>
      <c r="H12" s="1">
        <f t="shared" si="0"/>
        <v>4.6759150000000034</v>
      </c>
      <c r="I12" s="3">
        <f t="shared" si="1"/>
        <v>0.10464862522307344</v>
      </c>
    </row>
    <row r="13" spans="1:9" x14ac:dyDescent="0.25">
      <c r="A13" s="2">
        <v>42856</v>
      </c>
      <c r="B13" s="1">
        <v>45.009998000000003</v>
      </c>
      <c r="C13" s="1">
        <v>45.779998999999997</v>
      </c>
      <c r="D13" s="1">
        <v>43.599997999999999</v>
      </c>
      <c r="E13" s="1">
        <v>45.389999000000003</v>
      </c>
      <c r="F13" s="1">
        <v>44.682048999999999</v>
      </c>
      <c r="G13" s="1">
        <v>218152500</v>
      </c>
      <c r="H13" s="1" t="s">
        <v>9</v>
      </c>
      <c r="I13" s="12" t="s">
        <v>9</v>
      </c>
    </row>
    <row r="14" spans="1:9" x14ac:dyDescent="0.25">
      <c r="A14" s="2">
        <v>42826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9</v>
      </c>
      <c r="I14" s="12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I10" sqref="I10"/>
    </sheetView>
  </sheetViews>
  <sheetFormatPr defaultRowHeight="15" x14ac:dyDescent="0.25"/>
  <cols>
    <col min="1" max="1" width="11" style="1" bestFit="1" customWidth="1"/>
    <col min="2" max="4" width="11" style="3" customWidth="1"/>
    <col min="5" max="6" width="11" customWidth="1"/>
  </cols>
  <sheetData>
    <row r="1" spans="1:6" x14ac:dyDescent="0.25">
      <c r="A1" s="31" t="s">
        <v>25</v>
      </c>
      <c r="B1" s="31"/>
      <c r="C1" s="31"/>
      <c r="D1" s="31"/>
      <c r="E1" s="31"/>
      <c r="F1" s="31"/>
    </row>
    <row r="2" spans="1:6" x14ac:dyDescent="0.25">
      <c r="A2" s="8" t="s">
        <v>0</v>
      </c>
      <c r="B2" s="7" t="s">
        <v>11</v>
      </c>
      <c r="C2" s="7" t="s">
        <v>12</v>
      </c>
      <c r="D2" s="7" t="s">
        <v>13</v>
      </c>
      <c r="E2" t="s">
        <v>15</v>
      </c>
      <c r="F2" t="s">
        <v>16</v>
      </c>
    </row>
    <row r="3" spans="1:6" x14ac:dyDescent="0.25">
      <c r="A3" s="9">
        <v>42887</v>
      </c>
      <c r="B3" s="5">
        <f>CSCO!$I$12</f>
        <v>-7.2947092371723789E-3</v>
      </c>
      <c r="C3" s="5">
        <f>EBAY!$I$12</f>
        <v>1.8075773121742657E-2</v>
      </c>
      <c r="D3" s="5">
        <f>GOOG!$I$12</f>
        <v>-5.8174248981835527E-2</v>
      </c>
      <c r="E3" s="11">
        <f>MSFT!$I$12</f>
        <v>-7.3724875539851863E-3</v>
      </c>
      <c r="F3" s="11">
        <f>ORCL!$I$12</f>
        <v>0.10464862522307344</v>
      </c>
    </row>
    <row r="4" spans="1:6" x14ac:dyDescent="0.25">
      <c r="A4" s="10">
        <v>42917</v>
      </c>
      <c r="B4" s="3">
        <f>CSCO!$I$11</f>
        <v>4.7923579658393015E-3</v>
      </c>
      <c r="C4" s="3">
        <f>EBAY!$I$11</f>
        <v>2.3195934890946936E-2</v>
      </c>
      <c r="D4" s="3">
        <f>GOOG!$I$11</f>
        <v>2.395653327075227E-2</v>
      </c>
      <c r="E4" s="11">
        <f>MSFT!$I$11</f>
        <v>5.4693167427522872E-2</v>
      </c>
      <c r="F4" s="11">
        <f>ORCL!$I$11</f>
        <v>-4.188381838440506E-3</v>
      </c>
    </row>
    <row r="5" spans="1:6" x14ac:dyDescent="0.25">
      <c r="A5" s="9">
        <v>42948</v>
      </c>
      <c r="B5" s="5">
        <f>CSCO!$I$10</f>
        <v>3.3733923579961363E-2</v>
      </c>
      <c r="C5" s="5">
        <f>EBAY!$I$10</f>
        <v>1.1195102155051867E-2</v>
      </c>
      <c r="D5" s="5">
        <f>GOOG!$I$10</f>
        <v>9.4895400322407286E-3</v>
      </c>
      <c r="E5" s="11">
        <f>MSFT!$I$10</f>
        <v>2.847306677136437E-2</v>
      </c>
      <c r="F5" s="11">
        <f>ORCL!$I$10</f>
        <v>1.1813619979510494E-2</v>
      </c>
    </row>
    <row r="6" spans="1:6" x14ac:dyDescent="0.25">
      <c r="A6" s="10">
        <v>42979</v>
      </c>
      <c r="B6" s="3">
        <f>CSCO!$I$9</f>
        <v>4.4085740111437635E-2</v>
      </c>
      <c r="C6" s="3">
        <f>EBAY!$I$9</f>
        <v>6.4489286894844081E-2</v>
      </c>
      <c r="D6" s="3">
        <f>GOOG!$I$9</f>
        <v>2.1057527857113133E-2</v>
      </c>
      <c r="E6" s="11">
        <f>MSFT!$I$9</f>
        <v>1.5630477949435545E-3</v>
      </c>
      <c r="F6" s="11">
        <f>ORCL!$I$9</f>
        <v>-3.9340513273897766E-2</v>
      </c>
    </row>
    <row r="7" spans="1:6" x14ac:dyDescent="0.25">
      <c r="A7" s="9">
        <v>43009</v>
      </c>
      <c r="B7" s="5">
        <f>CSCO!$I$8</f>
        <v>1.5462317019577791E-2</v>
      </c>
      <c r="C7" s="5">
        <f>EBAY!$I$8</f>
        <v>-2.1320853388477733E-2</v>
      </c>
      <c r="D7" s="5">
        <f>GOOG!$I$8</f>
        <v>5.9982724504739564E-2</v>
      </c>
      <c r="E7" s="11">
        <f>MSFT!$I$8</f>
        <v>0.11666005275092017</v>
      </c>
      <c r="F7" s="11">
        <f>ORCL!$I$8</f>
        <v>5.2740583492637737E-2</v>
      </c>
    </row>
    <row r="8" spans="1:6" x14ac:dyDescent="0.25">
      <c r="A8" s="10">
        <v>43040</v>
      </c>
      <c r="B8" s="3">
        <f>CSCO!$I$7</f>
        <v>0.10167839810925146</v>
      </c>
      <c r="C8" s="3">
        <f>EBAY!$I$7</f>
        <v>-7.8905448430006686E-2</v>
      </c>
      <c r="D8" s="3">
        <f>GOOG!$I$7</f>
        <v>4.6918849638237859E-3</v>
      </c>
      <c r="E8" s="11">
        <f>MSFT!$I$7</f>
        <v>1.1901883745270857E-2</v>
      </c>
      <c r="F8" s="11">
        <f>ORCL!$I$7</f>
        <v>-3.2347536429632791E-2</v>
      </c>
    </row>
    <row r="9" spans="1:6" x14ac:dyDescent="0.25">
      <c r="A9" s="9">
        <v>43070</v>
      </c>
      <c r="B9" s="5">
        <f>CSCO!$I$6</f>
        <v>2.6809636875737015E-2</v>
      </c>
      <c r="C9" s="5">
        <f>EBAY!$I$6</f>
        <v>8.8549298445301253E-2</v>
      </c>
      <c r="D9" s="5">
        <f>GOOG!$I$6</f>
        <v>2.446622968307359E-2</v>
      </c>
      <c r="E9" s="11">
        <f>MSFT!$I$6</f>
        <v>2.1380524007427959E-2</v>
      </c>
      <c r="F9" s="11">
        <f>ORCL!$I$6</f>
        <v>-3.6282199933878885E-2</v>
      </c>
    </row>
    <row r="10" spans="1:6" x14ac:dyDescent="0.25">
      <c r="A10" s="10">
        <v>43101</v>
      </c>
      <c r="B10" s="3">
        <f>CSCO!$I$5</f>
        <v>8.4595409190782234E-2</v>
      </c>
      <c r="C10" s="3">
        <f>EBAY!$I$5</f>
        <v>7.5251718322643532E-2</v>
      </c>
      <c r="D10" s="3">
        <f>GOOG!$I$5</f>
        <v>0.11806184457809231</v>
      </c>
      <c r="E10" s="11">
        <f>MSFT!$I$5</f>
        <v>0.11070841387708671</v>
      </c>
      <c r="F10" s="11">
        <f>ORCL!$I$5</f>
        <v>9.115910718515248E-2</v>
      </c>
    </row>
    <row r="11" spans="1:6" x14ac:dyDescent="0.25">
      <c r="A11" s="9">
        <v>43132</v>
      </c>
      <c r="B11" s="5">
        <f>CSCO!$I$4</f>
        <v>8.6037663207079895E-2</v>
      </c>
      <c r="C11" s="5">
        <f>EBAY!$I$4</f>
        <v>5.6185285550256911E-2</v>
      </c>
      <c r="D11" s="5">
        <f>GOOG!$I$4</f>
        <v>-5.57378705647592E-2</v>
      </c>
      <c r="E11" s="11">
        <f>MSFT!$I$4</f>
        <v>-1.3051317156678432E-2</v>
      </c>
      <c r="F11" s="11">
        <f>ORCL!$I$4</f>
        <v>-1.4008192038521628E-2</v>
      </c>
    </row>
    <row r="12" spans="1:6" x14ac:dyDescent="0.25">
      <c r="A12" s="10">
        <v>43160</v>
      </c>
      <c r="B12" s="3">
        <f>CSCO!$I$3</f>
        <v>-4.2206352824532764E-2</v>
      </c>
      <c r="C12" s="3">
        <f>EBAY!$I$3</f>
        <v>-6.11292332914318E-2</v>
      </c>
      <c r="D12" s="3">
        <f>GOOG!$I$3</f>
        <v>-6.6025130412410898E-2</v>
      </c>
      <c r="E12" s="11">
        <f>MSFT!$I$3</f>
        <v>-2.2088730894956651E-2</v>
      </c>
      <c r="F12" s="11">
        <f>ORCL!$I$3</f>
        <v>-9.7098850716030069E-2</v>
      </c>
    </row>
    <row r="13" spans="1:6" x14ac:dyDescent="0.25">
      <c r="A13" s="4">
        <v>43191</v>
      </c>
      <c r="B13" s="6">
        <f>CSCO!$I$2</f>
        <v>1.9818201381133244E-2</v>
      </c>
      <c r="C13" s="6">
        <f>EBAY!$I$2</f>
        <v>3.3797115616445605E-2</v>
      </c>
      <c r="D13" s="6">
        <f>GOOG!$I$2</f>
        <v>3.4561209792799794E-2</v>
      </c>
      <c r="E13" s="11">
        <f>MSFT!$I$2</f>
        <v>4.4702543377973331E-2</v>
      </c>
      <c r="F13" s="11">
        <f>ORCL!$I$2</f>
        <v>1.0928997969529082E-3</v>
      </c>
    </row>
    <row r="15" spans="1:6" x14ac:dyDescent="0.25">
      <c r="A15" s="1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6" x14ac:dyDescent="0.25">
      <c r="A16" s="1" t="s">
        <v>17</v>
      </c>
      <c r="B16" s="3">
        <f>AVERAGE(B3:B11)</f>
        <v>4.3322304091388257E-2</v>
      </c>
      <c r="C16" s="3">
        <f>AVERAGE(C3:C11)</f>
        <v>2.6301788618033648E-2</v>
      </c>
      <c r="D16" s="3">
        <f>AVERAGE(D3:D11)</f>
        <v>1.6421573927026738E-2</v>
      </c>
      <c r="E16" s="3">
        <f>AVERAGE(E3:E11)</f>
        <v>3.6106261295985875E-2</v>
      </c>
      <c r="F16" s="3">
        <f>AVERAGE(F3:F11)</f>
        <v>1.4910568040666955E-2</v>
      </c>
    </row>
    <row r="17" spans="1:6" x14ac:dyDescent="0.25">
      <c r="A17" s="1" t="s">
        <v>18</v>
      </c>
      <c r="B17" s="3">
        <f>_xlfn.STDEV.S(B3:B11)</f>
        <v>3.8925426359733215E-2</v>
      </c>
      <c r="C17" s="3">
        <f>_xlfn.STDEV.S(C3:C11)</f>
        <v>5.2754337386245582E-2</v>
      </c>
      <c r="D17" s="3">
        <f>_xlfn.STDEV.S(D3:D11)</f>
        <v>5.4000536510029506E-2</v>
      </c>
      <c r="E17" s="3">
        <f>_xlfn.STDEV.S(E3:E11)</f>
        <v>4.842640702249737E-2</v>
      </c>
      <c r="F17" s="3">
        <f>_xlfn.STDEV.S(F3:F11)</f>
        <v>5.5120019174926531E-2</v>
      </c>
    </row>
  </sheetData>
  <mergeCells count="1">
    <mergeCell ref="A1:F1"/>
  </mergeCells>
  <pageMargins left="0.7" right="0.7" top="0.75" bottom="0.75" header="0.3" footer="0.3"/>
  <ignoredErrors>
    <ignoredError sqref="B16" calculatedColumn="1"/>
  </ignoredErrors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8DE6-AE55-475D-8A21-3F349885841F}">
  <dimension ref="A1:I41"/>
  <sheetViews>
    <sheetView zoomScale="37" zoomScaleNormal="37" workbookViewId="0">
      <selection activeCell="A2" sqref="A2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23">
        <v>-0.72947092371723798</v>
      </c>
      <c r="C3" s="23">
        <v>1.80757731217427</v>
      </c>
      <c r="D3" s="23">
        <v>-5.8174248981835497</v>
      </c>
      <c r="E3" s="23">
        <f>SUM(Table13[[#This Row],[Portfolio_1.CSCO]:[Portfolio_1.GOOG]])/3</f>
        <v>-1.5797728365755059</v>
      </c>
      <c r="F3" s="23">
        <f>SUM($E$3:E3)</f>
        <v>-1.5797728365755059</v>
      </c>
      <c r="G3" s="23">
        <f>AVERAGE(Table13[W.Returns])</f>
        <v>2.1006873030001221</v>
      </c>
      <c r="H3" s="23">
        <f>MEDIAN(Table13[W.Returns])</f>
        <v>1.8139521922418009</v>
      </c>
      <c r="I3" s="23">
        <f>_xlfn.STDEV.S(Table13[W.Returns])</f>
        <v>3.73316688841496</v>
      </c>
    </row>
    <row r="4" spans="1:9" x14ac:dyDescent="0.25">
      <c r="A4" s="14">
        <v>42917</v>
      </c>
      <c r="B4" s="23">
        <v>0.47923579658393001</v>
      </c>
      <c r="C4" s="23">
        <v>2.3195934890946899</v>
      </c>
      <c r="D4" s="23">
        <v>2.3956533270752298</v>
      </c>
      <c r="E4" s="23">
        <f>SUM(Table13[[#This Row],[Portfolio_1.CSCO]:[Portfolio_1.GOOG]])/3</f>
        <v>1.7314942042512833</v>
      </c>
      <c r="F4" s="23">
        <f>SUM($E$3:E4)</f>
        <v>0.15172136767577737</v>
      </c>
      <c r="G4" s="23">
        <f>AVERAGE(Table13[W.Returns])</f>
        <v>2.1006873030001221</v>
      </c>
      <c r="H4" s="23">
        <f>MEDIAN(Table13[W.Returns])</f>
        <v>1.8139521922418009</v>
      </c>
      <c r="I4" s="23">
        <f>_xlfn.STDEV.S(Table13[W.Returns])</f>
        <v>3.73316688841496</v>
      </c>
    </row>
    <row r="5" spans="1:9" x14ac:dyDescent="0.25">
      <c r="A5" s="14">
        <v>42948</v>
      </c>
      <c r="B5" s="23">
        <v>3.3733923579961398</v>
      </c>
      <c r="C5" s="23">
        <v>1.1195102155051899</v>
      </c>
      <c r="D5" s="23">
        <v>0.94895400322407297</v>
      </c>
      <c r="E5" s="23">
        <f>SUM(Table13[[#This Row],[Portfolio_1.CSCO]:[Portfolio_1.GOOG]])/3</f>
        <v>1.8139521922418009</v>
      </c>
      <c r="F5" s="23">
        <f>SUM($E$3:E5)</f>
        <v>1.9656735599175783</v>
      </c>
      <c r="G5" s="23">
        <f>AVERAGE(Table13[W.Returns])</f>
        <v>2.1006873030001221</v>
      </c>
      <c r="H5" s="23">
        <f>MEDIAN(Table13[W.Returns])</f>
        <v>1.8139521922418009</v>
      </c>
      <c r="I5" s="23">
        <f>_xlfn.STDEV.S(Table13[W.Returns])</f>
        <v>3.73316688841496</v>
      </c>
    </row>
    <row r="6" spans="1:9" x14ac:dyDescent="0.25">
      <c r="A6" s="14">
        <v>42979</v>
      </c>
      <c r="B6" s="23">
        <v>4.4085740111437604</v>
      </c>
      <c r="C6" s="23">
        <v>6.4489286894844096</v>
      </c>
      <c r="D6" s="23">
        <v>2.1057527857113101</v>
      </c>
      <c r="E6" s="23">
        <f>SUM(Table13[[#This Row],[Portfolio_1.CSCO]:[Portfolio_1.GOOG]])/3</f>
        <v>4.3210851621131603</v>
      </c>
      <c r="F6" s="23">
        <f>SUM($E$3:E6)</f>
        <v>6.2867587220307382</v>
      </c>
      <c r="G6" s="23">
        <f>AVERAGE(Table13[W.Returns])</f>
        <v>2.1006873030001221</v>
      </c>
      <c r="H6" s="23">
        <f>MEDIAN(Table13[W.Returns])</f>
        <v>1.8139521922418009</v>
      </c>
      <c r="I6" s="23">
        <f>_xlfn.STDEV.S(Table13[W.Returns])</f>
        <v>3.73316688841496</v>
      </c>
    </row>
    <row r="7" spans="1:9" x14ac:dyDescent="0.25">
      <c r="A7" s="14">
        <v>43009</v>
      </c>
      <c r="B7" s="23">
        <v>1.54623170195778</v>
      </c>
      <c r="C7" s="23">
        <v>-2.1320853388477699</v>
      </c>
      <c r="D7" s="23">
        <v>5.9982724504739604</v>
      </c>
      <c r="E7" s="23">
        <f>SUM(Table13[[#This Row],[Portfolio_1.CSCO]:[Portfolio_1.GOOG]])/3</f>
        <v>1.8041396045279903</v>
      </c>
      <c r="F7" s="23">
        <f>SUM($E$3:E7)</f>
        <v>8.0908983265587278</v>
      </c>
      <c r="G7" s="23">
        <f>AVERAGE(Table13[W.Returns])</f>
        <v>2.1006873030001221</v>
      </c>
      <c r="H7" s="23">
        <f>MEDIAN(Table13[W.Returns])</f>
        <v>1.8139521922418009</v>
      </c>
      <c r="I7" s="23">
        <f>_xlfn.STDEV.S(Table13[W.Returns])</f>
        <v>3.73316688841496</v>
      </c>
    </row>
    <row r="8" spans="1:9" x14ac:dyDescent="0.25">
      <c r="A8" s="14">
        <v>43040</v>
      </c>
      <c r="B8" s="23">
        <v>10.1678398109251</v>
      </c>
      <c r="C8" s="23">
        <v>-7.8905448430006704</v>
      </c>
      <c r="D8" s="23">
        <v>0.46918849638237897</v>
      </c>
      <c r="E8" s="23">
        <f>SUM(Table13[[#This Row],[Portfolio_1.CSCO]:[Portfolio_1.GOOG]])/3</f>
        <v>0.91549448810226963</v>
      </c>
      <c r="F8" s="23">
        <f>SUM($E$3:E8)</f>
        <v>9.0063928146609982</v>
      </c>
      <c r="G8" s="23">
        <f>AVERAGE(Table13[W.Returns])</f>
        <v>2.1006873030001221</v>
      </c>
      <c r="H8" s="23">
        <f>MEDIAN(Table13[W.Returns])</f>
        <v>1.8139521922418009</v>
      </c>
      <c r="I8" s="23">
        <f>_xlfn.STDEV.S(Table13[W.Returns])</f>
        <v>3.73316688841496</v>
      </c>
    </row>
    <row r="9" spans="1:9" x14ac:dyDescent="0.25">
      <c r="A9" s="14">
        <v>43070</v>
      </c>
      <c r="B9" s="23">
        <v>2.6809636875737</v>
      </c>
      <c r="C9" s="23">
        <v>8.8549298445301297</v>
      </c>
      <c r="D9" s="23">
        <v>2.4466229683073601</v>
      </c>
      <c r="E9" s="23">
        <f>SUM(Table13[[#This Row],[Portfolio_1.CSCO]:[Portfolio_1.GOOG]])/3</f>
        <v>4.6608388334703967</v>
      </c>
      <c r="F9" s="23">
        <f>SUM($E$3:E9)</f>
        <v>13.667231648131395</v>
      </c>
      <c r="G9" s="23">
        <f>AVERAGE(Table13[W.Returns])</f>
        <v>2.1006873030001221</v>
      </c>
      <c r="H9" s="23">
        <f>MEDIAN(Table13[W.Returns])</f>
        <v>1.8139521922418009</v>
      </c>
      <c r="I9" s="23">
        <f>_xlfn.STDEV.S(Table13[W.Returns])</f>
        <v>3.73316688841496</v>
      </c>
    </row>
    <row r="10" spans="1:9" x14ac:dyDescent="0.25">
      <c r="A10" s="14">
        <v>43101</v>
      </c>
      <c r="B10" s="23">
        <v>8.4595409190782203</v>
      </c>
      <c r="C10" s="23">
        <v>7.5251718322643502</v>
      </c>
      <c r="D10" s="23">
        <v>11.8061844578092</v>
      </c>
      <c r="E10" s="23">
        <f>SUM(Table13[[#This Row],[Portfolio_1.CSCO]:[Portfolio_1.GOOG]])/3</f>
        <v>9.2636324030505914</v>
      </c>
      <c r="F10" s="23">
        <f>SUM($E$3:E10)</f>
        <v>22.930864051181985</v>
      </c>
      <c r="G10" s="23">
        <f>AVERAGE(Table13[W.Returns])</f>
        <v>2.1006873030001221</v>
      </c>
      <c r="H10" s="23">
        <f>MEDIAN(Table13[W.Returns])</f>
        <v>1.8139521922418009</v>
      </c>
      <c r="I10" s="23">
        <f>_xlfn.STDEV.S(Table13[W.Returns])</f>
        <v>3.73316688841496</v>
      </c>
    </row>
    <row r="11" spans="1:9" x14ac:dyDescent="0.25">
      <c r="A11" s="14">
        <v>43132</v>
      </c>
      <c r="B11" s="23">
        <v>8.6037663207079902</v>
      </c>
      <c r="C11" s="23">
        <v>5.6185285550256898</v>
      </c>
      <c r="D11" s="23">
        <v>-5.5737870564759202</v>
      </c>
      <c r="E11" s="23">
        <f>SUM(Table13[[#This Row],[Portfolio_1.CSCO]:[Portfolio_1.GOOG]])/3</f>
        <v>2.8828359397525869</v>
      </c>
      <c r="F11" s="23">
        <f>SUM($E$3:E11)</f>
        <v>25.813699990934573</v>
      </c>
      <c r="G11" s="23">
        <f>AVERAGE(Table13[W.Returns])</f>
        <v>2.1006873030001221</v>
      </c>
      <c r="H11" s="23">
        <f>MEDIAN(Table13[W.Returns])</f>
        <v>1.8139521922418009</v>
      </c>
      <c r="I11" s="23">
        <f>_xlfn.STDEV.S(Table13[W.Returns])</f>
        <v>3.73316688841496</v>
      </c>
    </row>
    <row r="12" spans="1:9" x14ac:dyDescent="0.25">
      <c r="A12" s="14">
        <v>43160</v>
      </c>
      <c r="B12" s="23">
        <v>-4.22063528245328</v>
      </c>
      <c r="C12" s="23">
        <v>-6.1129233291431797</v>
      </c>
      <c r="D12" s="23">
        <v>-6.6025130412410897</v>
      </c>
      <c r="E12" s="23">
        <f>SUM(Table13[[#This Row],[Portfolio_1.CSCO]:[Portfolio_1.GOOG]])/3</f>
        <v>-5.6453572176125162</v>
      </c>
      <c r="F12" s="23">
        <f>SUM($E$3:E12)</f>
        <v>20.168342773322056</v>
      </c>
      <c r="G12" s="23">
        <f>AVERAGE(Table13[W.Returns])</f>
        <v>2.1006873030001221</v>
      </c>
      <c r="H12" s="23">
        <f>MEDIAN(Table13[W.Returns])</f>
        <v>1.8139521922418009</v>
      </c>
      <c r="I12" s="23">
        <f>_xlfn.STDEV.S(Table13[W.Returns])</f>
        <v>3.73316688841496</v>
      </c>
    </row>
    <row r="13" spans="1:9" x14ac:dyDescent="0.25">
      <c r="A13" s="14">
        <v>43191</v>
      </c>
      <c r="B13" s="23">
        <v>1.98182013811332</v>
      </c>
      <c r="C13" s="23">
        <v>3.3797115616445601</v>
      </c>
      <c r="D13" s="23">
        <v>3.4561209792799801</v>
      </c>
      <c r="E13" s="23">
        <f>SUM(Table13[[#This Row],[Portfolio_1.CSCO]:[Portfolio_1.GOOG]])/3</f>
        <v>2.9392175596792867</v>
      </c>
      <c r="F13" s="23">
        <f>SUM($E$3:E13)</f>
        <v>23.107560333001341</v>
      </c>
      <c r="G13" s="23">
        <f>AVERAGE(Table13[W.Returns])</f>
        <v>2.1006873030001221</v>
      </c>
      <c r="H13" s="23">
        <f>MEDIAN(Table13[W.Returns])</f>
        <v>1.8139521922418009</v>
      </c>
      <c r="I13" s="23">
        <f>_xlfn.STDEV.S(Table13[W.Returns])</f>
        <v>3.73316688841496</v>
      </c>
    </row>
    <row r="15" spans="1:9" x14ac:dyDescent="0.25">
      <c r="A15" s="13" t="s">
        <v>31</v>
      </c>
      <c r="B15" s="13">
        <f>AVERAGE(Table13[Portfolio_1.CSCO])</f>
        <v>3.3410235034463116</v>
      </c>
      <c r="C15" s="13">
        <f>AVERAGE(Table13[Portfolio_1.EBAY])</f>
        <v>1.9034907262483336</v>
      </c>
      <c r="D15" s="13">
        <f>AVERAGE(Table13[Portfolio_1.GOOG])</f>
        <v>1.0575476793057212</v>
      </c>
    </row>
    <row r="16" spans="1:9" x14ac:dyDescent="0.25">
      <c r="A16" s="13" t="s">
        <v>32</v>
      </c>
      <c r="B16" s="13">
        <f>_xlfn.VAR.S(Table13[Portfolio_1.CSCO])</f>
        <v>18.908364293469816</v>
      </c>
      <c r="C16" s="13">
        <f>_xlfn.VAR.S(Table13[Portfolio_1.EBAY])</f>
        <v>29.383641212449096</v>
      </c>
      <c r="D16" s="13">
        <f>_xlfn.VAR.S(Table13[Portfolio_1.GOOG])</f>
        <v>30.079023624047785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28</v>
      </c>
      <c r="C19" s="13" t="s">
        <v>29</v>
      </c>
      <c r="D19" s="13" t="s">
        <v>30</v>
      </c>
    </row>
    <row r="20" spans="1:4" x14ac:dyDescent="0.25">
      <c r="A20" s="18">
        <v>42887</v>
      </c>
      <c r="B20" s="13">
        <f t="shared" ref="B20:B30" si="0">B3-$B$15</f>
        <v>-4.0704944271635499</v>
      </c>
      <c r="C20" s="13">
        <f t="shared" ref="C20:C30" si="1">C3-$C$15</f>
        <v>-9.5913414074063619E-2</v>
      </c>
      <c r="D20" s="13">
        <f t="shared" ref="D20:D30" si="2">D3-$D$15</f>
        <v>-6.8749725774892712</v>
      </c>
    </row>
    <row r="21" spans="1:4" x14ac:dyDescent="0.25">
      <c r="A21" s="19">
        <v>42917</v>
      </c>
      <c r="B21" s="13">
        <f t="shared" si="0"/>
        <v>-2.8617877068623816</v>
      </c>
      <c r="C21" s="13">
        <f t="shared" si="1"/>
        <v>0.41610276284635628</v>
      </c>
      <c r="D21" s="13">
        <f t="shared" si="2"/>
        <v>1.3381056477695086</v>
      </c>
    </row>
    <row r="22" spans="1:4" x14ac:dyDescent="0.25">
      <c r="A22" s="18">
        <v>42948</v>
      </c>
      <c r="B22" s="13">
        <f t="shared" si="0"/>
        <v>3.2368854549828185E-2</v>
      </c>
      <c r="C22" s="13">
        <f t="shared" si="1"/>
        <v>-0.78398051074314368</v>
      </c>
      <c r="D22" s="13">
        <f t="shared" si="2"/>
        <v>-0.10859367608164827</v>
      </c>
    </row>
    <row r="23" spans="1:4" x14ac:dyDescent="0.25">
      <c r="A23" s="19">
        <v>42979</v>
      </c>
      <c r="B23" s="13">
        <f t="shared" si="0"/>
        <v>1.0675505076974487</v>
      </c>
      <c r="C23" s="13">
        <f t="shared" si="1"/>
        <v>4.5454379632360755</v>
      </c>
      <c r="D23" s="13">
        <f t="shared" si="2"/>
        <v>1.0482051064055888</v>
      </c>
    </row>
    <row r="24" spans="1:4" x14ac:dyDescent="0.25">
      <c r="A24" s="18">
        <v>43009</v>
      </c>
      <c r="B24" s="13">
        <f t="shared" si="0"/>
        <v>-1.7947918014885316</v>
      </c>
      <c r="C24" s="13">
        <f t="shared" si="1"/>
        <v>-4.0355760650961034</v>
      </c>
      <c r="D24" s="13">
        <f t="shared" si="2"/>
        <v>4.9407247711682389</v>
      </c>
    </row>
    <row r="25" spans="1:4" x14ac:dyDescent="0.25">
      <c r="A25" s="19">
        <v>43040</v>
      </c>
      <c r="B25" s="13">
        <f t="shared" si="0"/>
        <v>6.8268163074787882</v>
      </c>
      <c r="C25" s="13">
        <f t="shared" si="1"/>
        <v>-9.7940355692490044</v>
      </c>
      <c r="D25" s="13">
        <f t="shared" si="2"/>
        <v>-0.58835918292334233</v>
      </c>
    </row>
    <row r="26" spans="1:4" x14ac:dyDescent="0.25">
      <c r="A26" s="18">
        <v>43070</v>
      </c>
      <c r="B26" s="13">
        <f t="shared" si="0"/>
        <v>-0.66005981587261164</v>
      </c>
      <c r="C26" s="13">
        <f t="shared" si="1"/>
        <v>6.9514391182817956</v>
      </c>
      <c r="D26" s="13">
        <f t="shared" si="2"/>
        <v>1.3890752890016389</v>
      </c>
    </row>
    <row r="27" spans="1:4" x14ac:dyDescent="0.25">
      <c r="A27" s="19">
        <v>43101</v>
      </c>
      <c r="B27" s="13">
        <f t="shared" si="0"/>
        <v>5.1185174156319082</v>
      </c>
      <c r="C27" s="13">
        <f t="shared" si="1"/>
        <v>5.6216811060160161</v>
      </c>
      <c r="D27" s="13">
        <f t="shared" si="2"/>
        <v>10.74863677850348</v>
      </c>
    </row>
    <row r="28" spans="1:4" x14ac:dyDescent="0.25">
      <c r="A28" s="18">
        <v>43132</v>
      </c>
      <c r="B28" s="13">
        <f t="shared" si="0"/>
        <v>5.2627428172616781</v>
      </c>
      <c r="C28" s="13">
        <f t="shared" si="1"/>
        <v>3.7150378287773562</v>
      </c>
      <c r="D28" s="13">
        <f t="shared" si="2"/>
        <v>-6.6313347357816417</v>
      </c>
    </row>
    <row r="29" spans="1:4" x14ac:dyDescent="0.25">
      <c r="A29" s="19">
        <v>43160</v>
      </c>
      <c r="B29" s="13">
        <f t="shared" si="0"/>
        <v>-7.5616587858995921</v>
      </c>
      <c r="C29" s="13">
        <f t="shared" si="1"/>
        <v>-8.0164140553915129</v>
      </c>
      <c r="D29" s="13">
        <f t="shared" si="2"/>
        <v>-7.6600607205468112</v>
      </c>
    </row>
    <row r="30" spans="1:4" x14ac:dyDescent="0.25">
      <c r="A30" s="18">
        <v>43191</v>
      </c>
      <c r="B30" s="13">
        <f t="shared" si="0"/>
        <v>-1.3592033653329916</v>
      </c>
      <c r="C30" s="13">
        <f t="shared" si="1"/>
        <v>1.4762208353962265</v>
      </c>
      <c r="D30" s="13">
        <f t="shared" si="2"/>
        <v>2.3985732999742586</v>
      </c>
    </row>
    <row r="33" spans="1:6" x14ac:dyDescent="0.25">
      <c r="B33" s="20" t="str">
        <f t="array" ref="B33:D33">B19:D19</f>
        <v>Portfolio_1.CSCO</v>
      </c>
      <c r="C33" s="20" t="str">
        <v>Portfolio_1.EBAY</v>
      </c>
      <c r="D33" s="20" t="str">
        <v>Portfolio_1.GOOG</v>
      </c>
    </row>
    <row r="34" spans="1:6" x14ac:dyDescent="0.25">
      <c r="A34" s="21" t="str">
        <f t="array" ref="A34:A36">TRANSPOSE(B19:D19)</f>
        <v>Portfolio_1.CSCO</v>
      </c>
      <c r="B34" s="22">
        <f t="array" ref="B34:D36">MMULT(TRANSPOSE(B20:D30),B20:D30)/(COUNT(A20:A30)-1)</f>
        <v>18.908364293469823</v>
      </c>
      <c r="C34" s="13">
        <v>4.6756161512930268</v>
      </c>
      <c r="D34" s="13">
        <v>8.6250286796282261</v>
      </c>
    </row>
    <row r="35" spans="1:6" x14ac:dyDescent="0.25">
      <c r="A35" s="21" t="str">
        <v>Portfolio_1.EBAY</v>
      </c>
      <c r="B35" s="13">
        <v>4.6756161512930268</v>
      </c>
      <c r="C35" s="22">
        <v>29.383641212449088</v>
      </c>
      <c r="D35" s="13">
        <v>10.228248179505647</v>
      </c>
    </row>
    <row r="36" spans="1:6" x14ac:dyDescent="0.25">
      <c r="A36" s="21" t="str">
        <v>Portfolio_1.GOOG</v>
      </c>
      <c r="B36" s="13">
        <v>8.6250286796282261</v>
      </c>
      <c r="C36" s="13">
        <v>10.228248179505647</v>
      </c>
      <c r="D36" s="22">
        <v>30.079023624047789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2.1006873030001221</v>
      </c>
    </row>
    <row r="39" spans="1:6" x14ac:dyDescent="0.25">
      <c r="A39" s="21" t="str">
        <f t="array" ref="A39:A41">A34:A36</f>
        <v>Portfolio_1.CSCO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13.936535016757833</v>
      </c>
    </row>
    <row r="40" spans="1:6" x14ac:dyDescent="0.25">
      <c r="A40" s="21" t="str">
        <v>Portfolio_1.EBAY</v>
      </c>
      <c r="B40" s="13">
        <f t="shared" ref="B40:B41" si="3">1/3</f>
        <v>0.33333333333333331</v>
      </c>
      <c r="E40" s="21" t="s">
        <v>36</v>
      </c>
      <c r="F40" s="13">
        <f>SQRT(F39)</f>
        <v>3.73316688841496</v>
      </c>
    </row>
    <row r="41" spans="1:6" x14ac:dyDescent="0.25">
      <c r="A41" s="21" t="str">
        <v>Portfolio_1.GOOG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74E0-29ED-423A-941D-D3DE56AD4DDD}">
  <dimension ref="A1:I41"/>
  <sheetViews>
    <sheetView zoomScale="53" zoomScaleNormal="53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69</v>
      </c>
      <c r="B2" s="13" t="s">
        <v>42</v>
      </c>
      <c r="C2" s="13" t="s">
        <v>43</v>
      </c>
      <c r="D2" s="13" t="s">
        <v>44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-0.72947092400000002</v>
      </c>
      <c r="C3" s="13">
        <v>1.807577312</v>
      </c>
      <c r="D3" s="13">
        <v>-0.73724875499999998</v>
      </c>
      <c r="E3" s="23">
        <f>SUM(Table1331[[#This Row],[Portfolio_2.CSCO]:[Portfolio_2.MSFT]])/3</f>
        <v>0.11361921100000005</v>
      </c>
      <c r="F3" s="23">
        <f>SUM($E$3:E3)</f>
        <v>0.11361921100000005</v>
      </c>
      <c r="G3" s="23">
        <f>AVERAGE(Table1331[W.Returns])</f>
        <v>2.8014143318181821</v>
      </c>
      <c r="H3" s="23">
        <f>MEDIAN(Table1331[W.Returns])</f>
        <v>3.2772620126666667</v>
      </c>
      <c r="I3" s="23">
        <f>_xlfn.STDEV.S(Table1331[W.Returns])</f>
        <v>3.2340539889542299</v>
      </c>
    </row>
    <row r="4" spans="1:9" x14ac:dyDescent="0.25">
      <c r="A4" s="14">
        <v>42917</v>
      </c>
      <c r="B4" s="13">
        <v>0.47923579700000002</v>
      </c>
      <c r="C4" s="13">
        <v>2.3195934889999998</v>
      </c>
      <c r="D4" s="13">
        <v>5.4693167430000003</v>
      </c>
      <c r="E4" s="23">
        <f>SUM(Table1331[[#This Row],[Portfolio_2.CSCO]:[Portfolio_2.MSFT]])/3</f>
        <v>2.7560486763333336</v>
      </c>
      <c r="F4" s="23">
        <f>SUM($E$3:E4)</f>
        <v>2.8696678873333337</v>
      </c>
      <c r="G4" s="23">
        <f>AVERAGE(Table1331[W.Returns])</f>
        <v>2.8014143318181821</v>
      </c>
      <c r="H4" s="23">
        <f>MEDIAN(Table1331[W.Returns])</f>
        <v>3.2772620126666667</v>
      </c>
      <c r="I4" s="23">
        <f>_xlfn.STDEV.S(Table1331[W.Returns])</f>
        <v>3.2340539889542299</v>
      </c>
    </row>
    <row r="5" spans="1:9" x14ac:dyDescent="0.25">
      <c r="A5" s="14">
        <v>42948</v>
      </c>
      <c r="B5" s="13">
        <v>3.3733923579999998</v>
      </c>
      <c r="C5" s="13">
        <v>1.1195102159999999</v>
      </c>
      <c r="D5" s="13">
        <v>2.8473066770000002</v>
      </c>
      <c r="E5" s="23">
        <f>SUM(Table1331[[#This Row],[Portfolio_2.CSCO]:[Portfolio_2.MSFT]])/3</f>
        <v>2.4467364169999999</v>
      </c>
      <c r="F5" s="23">
        <f>SUM($E$3:E5)</f>
        <v>5.316404304333334</v>
      </c>
      <c r="G5" s="23">
        <f>AVERAGE(Table1331[W.Returns])</f>
        <v>2.8014143318181821</v>
      </c>
      <c r="H5" s="23">
        <f>MEDIAN(Table1331[W.Returns])</f>
        <v>3.2772620126666667</v>
      </c>
      <c r="I5" s="23">
        <f>_xlfn.STDEV.S(Table1331[W.Returns])</f>
        <v>3.2340539889542299</v>
      </c>
    </row>
    <row r="6" spans="1:9" x14ac:dyDescent="0.25">
      <c r="A6" s="14">
        <v>42979</v>
      </c>
      <c r="B6" s="13">
        <v>4.4085740109999998</v>
      </c>
      <c r="C6" s="13">
        <v>6.4489286889999997</v>
      </c>
      <c r="D6" s="13">
        <v>0.156304779</v>
      </c>
      <c r="E6" s="23">
        <f>SUM(Table1331[[#This Row],[Portfolio_2.CSCO]:[Portfolio_2.MSFT]])/3</f>
        <v>3.6712691596666662</v>
      </c>
      <c r="F6" s="23">
        <f>SUM($E$3:E6)</f>
        <v>8.9876734640000002</v>
      </c>
      <c r="G6" s="23">
        <f>AVERAGE(Table1331[W.Returns])</f>
        <v>2.8014143318181821</v>
      </c>
      <c r="H6" s="23">
        <f>MEDIAN(Table1331[W.Returns])</f>
        <v>3.2772620126666667</v>
      </c>
      <c r="I6" s="23">
        <f>_xlfn.STDEV.S(Table1331[W.Returns])</f>
        <v>3.2340539889542299</v>
      </c>
    </row>
    <row r="7" spans="1:9" x14ac:dyDescent="0.25">
      <c r="A7" s="14">
        <v>43009</v>
      </c>
      <c r="B7" s="13">
        <v>1.546231702</v>
      </c>
      <c r="C7" s="13">
        <v>-2.1320853390000001</v>
      </c>
      <c r="D7" s="13">
        <v>11.66600528</v>
      </c>
      <c r="E7" s="23">
        <f>SUM(Table1331[[#This Row],[Portfolio_2.CSCO]:[Portfolio_2.MSFT]])/3</f>
        <v>3.6933838810000004</v>
      </c>
      <c r="F7" s="23">
        <f>SUM($E$3:E7)</f>
        <v>12.681057345000001</v>
      </c>
      <c r="G7" s="23">
        <f>AVERAGE(Table1331[W.Returns])</f>
        <v>2.8014143318181821</v>
      </c>
      <c r="H7" s="23">
        <f>MEDIAN(Table1331[W.Returns])</f>
        <v>3.2772620126666667</v>
      </c>
      <c r="I7" s="23">
        <f>_xlfn.STDEV.S(Table1331[W.Returns])</f>
        <v>3.2340539889542299</v>
      </c>
    </row>
    <row r="8" spans="1:9" x14ac:dyDescent="0.25">
      <c r="A8" s="14">
        <v>43040</v>
      </c>
      <c r="B8" s="13">
        <v>10.16783981</v>
      </c>
      <c r="C8" s="13">
        <v>-7.8905448429999998</v>
      </c>
      <c r="D8" s="13">
        <v>1.190188375</v>
      </c>
      <c r="E8" s="23">
        <f>SUM(Table1331[[#This Row],[Portfolio_2.CSCO]:[Portfolio_2.MSFT]])/3</f>
        <v>1.1558277806666668</v>
      </c>
      <c r="F8" s="23">
        <f>SUM($E$3:E8)</f>
        <v>13.836885125666669</v>
      </c>
      <c r="G8" s="23">
        <f>AVERAGE(Table1331[W.Returns])</f>
        <v>2.8014143318181821</v>
      </c>
      <c r="H8" s="23">
        <f>MEDIAN(Table1331[W.Returns])</f>
        <v>3.2772620126666667</v>
      </c>
      <c r="I8" s="23">
        <f>_xlfn.STDEV.S(Table1331[W.Returns])</f>
        <v>3.2340539889542299</v>
      </c>
    </row>
    <row r="9" spans="1:9" x14ac:dyDescent="0.25">
      <c r="A9" s="14">
        <v>43070</v>
      </c>
      <c r="B9" s="13">
        <v>2.6809636879999998</v>
      </c>
      <c r="C9" s="13">
        <v>8.8549298449999991</v>
      </c>
      <c r="D9" s="13">
        <v>2.1380524009999999</v>
      </c>
      <c r="E9" s="23">
        <f>SUM(Table1331[[#This Row],[Portfolio_2.CSCO]:[Portfolio_2.MSFT]])/3</f>
        <v>4.5579819779999999</v>
      </c>
      <c r="F9" s="23">
        <f>SUM($E$3:E9)</f>
        <v>18.39486710366667</v>
      </c>
      <c r="G9" s="23">
        <f>AVERAGE(Table1331[W.Returns])</f>
        <v>2.8014143318181821</v>
      </c>
      <c r="H9" s="23">
        <f>MEDIAN(Table1331[W.Returns])</f>
        <v>3.2772620126666667</v>
      </c>
      <c r="I9" s="23">
        <f>_xlfn.STDEV.S(Table1331[W.Returns])</f>
        <v>3.2340539889542299</v>
      </c>
    </row>
    <row r="10" spans="1:9" x14ac:dyDescent="0.25">
      <c r="A10" s="14">
        <v>43101</v>
      </c>
      <c r="B10" s="13">
        <v>8.4595409190000002</v>
      </c>
      <c r="C10" s="13">
        <v>7.5251718319999998</v>
      </c>
      <c r="D10" s="13">
        <v>11.07084139</v>
      </c>
      <c r="E10" s="23">
        <f>SUM(Table1331[[#This Row],[Portfolio_2.CSCO]:[Portfolio_2.MSFT]])/3</f>
        <v>9.0185180470000006</v>
      </c>
      <c r="F10" s="23">
        <f>SUM($E$3:E10)</f>
        <v>27.41338515066667</v>
      </c>
      <c r="G10" s="23">
        <f>AVERAGE(Table1331[W.Returns])</f>
        <v>2.8014143318181821</v>
      </c>
      <c r="H10" s="23">
        <f>MEDIAN(Table1331[W.Returns])</f>
        <v>3.2772620126666667</v>
      </c>
      <c r="I10" s="23">
        <f>_xlfn.STDEV.S(Table1331[W.Returns])</f>
        <v>3.2340539889542299</v>
      </c>
    </row>
    <row r="11" spans="1:9" x14ac:dyDescent="0.25">
      <c r="A11" s="14">
        <v>43132</v>
      </c>
      <c r="B11" s="13">
        <v>8.6037663210000002</v>
      </c>
      <c r="C11" s="13">
        <v>5.6185285550000001</v>
      </c>
      <c r="D11" s="13">
        <v>-1.305131716</v>
      </c>
      <c r="E11" s="23">
        <f>SUM(Table1331[[#This Row],[Portfolio_2.CSCO]:[Portfolio_2.MSFT]])/3</f>
        <v>4.3057210533333334</v>
      </c>
      <c r="F11" s="23">
        <f>SUM($E$3:E11)</f>
        <v>31.719106204000003</v>
      </c>
      <c r="G11" s="23">
        <f>AVERAGE(Table1331[W.Returns])</f>
        <v>2.8014143318181821</v>
      </c>
      <c r="H11" s="23">
        <f>MEDIAN(Table1331[W.Returns])</f>
        <v>3.2772620126666667</v>
      </c>
      <c r="I11" s="23">
        <f>_xlfn.STDEV.S(Table1331[W.Returns])</f>
        <v>3.2340539889542299</v>
      </c>
    </row>
    <row r="12" spans="1:9" x14ac:dyDescent="0.25">
      <c r="A12" s="14">
        <v>43160</v>
      </c>
      <c r="B12" s="13">
        <v>-4.2206352819999999</v>
      </c>
      <c r="C12" s="13">
        <v>-6.112923329</v>
      </c>
      <c r="D12" s="13">
        <v>-2.2088730889999999</v>
      </c>
      <c r="E12" s="23">
        <f>SUM(Table1331[[#This Row],[Portfolio_2.CSCO]:[Portfolio_2.MSFT]])/3</f>
        <v>-4.1808105666666675</v>
      </c>
      <c r="F12" s="23">
        <f>SUM($E$3:E12)</f>
        <v>27.538295637333334</v>
      </c>
      <c r="G12" s="23">
        <f>AVERAGE(Table1331[W.Returns])</f>
        <v>2.8014143318181821</v>
      </c>
      <c r="H12" s="23">
        <f>MEDIAN(Table1331[W.Returns])</f>
        <v>3.2772620126666667</v>
      </c>
      <c r="I12" s="23">
        <f>_xlfn.STDEV.S(Table1331[W.Returns])</f>
        <v>3.2340539889542299</v>
      </c>
    </row>
    <row r="13" spans="1:9" x14ac:dyDescent="0.25">
      <c r="A13" s="14">
        <v>43191</v>
      </c>
      <c r="B13" s="13">
        <v>1.981820138</v>
      </c>
      <c r="C13" s="13">
        <v>3.3797115619999998</v>
      </c>
      <c r="D13" s="13">
        <v>4.4702543380000002</v>
      </c>
      <c r="E13" s="23">
        <f>SUM(Table1331[[#This Row],[Portfolio_2.CSCO]:[Portfolio_2.MSFT]])/3</f>
        <v>3.2772620126666667</v>
      </c>
      <c r="F13" s="23">
        <f>SUM($E$3:E13)</f>
        <v>30.815557650000002</v>
      </c>
      <c r="G13" s="23">
        <f>AVERAGE(Table1331[W.Returns])</f>
        <v>2.8014143318181821</v>
      </c>
      <c r="H13" s="23">
        <f>MEDIAN(Table1331[W.Returns])</f>
        <v>3.2772620126666667</v>
      </c>
      <c r="I13" s="23">
        <f>_xlfn.STDEV.S(Table1331[W.Returns])</f>
        <v>3.2340539889542299</v>
      </c>
    </row>
    <row r="15" spans="1:9" x14ac:dyDescent="0.25">
      <c r="A15" s="13" t="s">
        <v>31</v>
      </c>
      <c r="B15" s="13">
        <f>AVERAGE(Table1331[Portfolio_2.CSCO])</f>
        <v>3.3410235034545455</v>
      </c>
      <c r="C15" s="13">
        <f>AVERAGE(Table1331[Portfolio_2.EBAY])</f>
        <v>1.9034907262727272</v>
      </c>
      <c r="D15" s="13">
        <f>AVERAGE(Table1331[Portfolio_2.MSFT])</f>
        <v>3.1597287657272735</v>
      </c>
    </row>
    <row r="16" spans="1:9" x14ac:dyDescent="0.25">
      <c r="A16" s="13" t="s">
        <v>32</v>
      </c>
      <c r="B16" s="13">
        <f>_xlfn.VAR.S(Table1331[Portfolio_2.CSCO])</f>
        <v>18.908364291669262</v>
      </c>
      <c r="C16" s="13">
        <f>_xlfn.VAR.S(Table1331[Portfolio_2.EBAY])</f>
        <v>29.383641212260478</v>
      </c>
      <c r="D16" s="13">
        <f>_xlfn.VAR.S(Table1331[Portfolio_2.MSFT])</f>
        <v>21.997849093498512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42</v>
      </c>
      <c r="C19" s="13" t="s">
        <v>43</v>
      </c>
      <c r="D19" s="13" t="s">
        <v>44</v>
      </c>
    </row>
    <row r="20" spans="1:4" x14ac:dyDescent="0.25">
      <c r="A20" s="18">
        <v>42887</v>
      </c>
      <c r="B20" s="13">
        <f t="shared" ref="B20:B30" si="0">B3-$B$15</f>
        <v>-4.0704944274545456</v>
      </c>
      <c r="C20" s="13">
        <f t="shared" ref="C20:C30" si="1">C3-$C$15</f>
        <v>-9.5913414272727149E-2</v>
      </c>
      <c r="D20" s="13">
        <f t="shared" ref="D20:D30" si="2">D3-$D$15</f>
        <v>-3.8969775207272734</v>
      </c>
    </row>
    <row r="21" spans="1:4" x14ac:dyDescent="0.25">
      <c r="A21" s="19">
        <v>42917</v>
      </c>
      <c r="B21" s="13">
        <f t="shared" si="0"/>
        <v>-2.8617877064545456</v>
      </c>
      <c r="C21" s="13">
        <f t="shared" si="1"/>
        <v>0.41610276272727265</v>
      </c>
      <c r="D21" s="13">
        <f t="shared" si="2"/>
        <v>2.3095879772727268</v>
      </c>
    </row>
    <row r="22" spans="1:4" x14ac:dyDescent="0.25">
      <c r="A22" s="18">
        <v>42948</v>
      </c>
      <c r="B22" s="13">
        <f t="shared" si="0"/>
        <v>3.2368854545454351E-2</v>
      </c>
      <c r="C22" s="13">
        <f t="shared" si="1"/>
        <v>-0.7839805102727273</v>
      </c>
      <c r="D22" s="13">
        <f t="shared" si="2"/>
        <v>-0.31242208872727328</v>
      </c>
    </row>
    <row r="23" spans="1:4" x14ac:dyDescent="0.25">
      <c r="A23" s="19">
        <v>42979</v>
      </c>
      <c r="B23" s="13">
        <f t="shared" si="0"/>
        <v>1.0675505075454543</v>
      </c>
      <c r="C23" s="13">
        <f t="shared" si="1"/>
        <v>4.5454379627272727</v>
      </c>
      <c r="D23" s="13">
        <f t="shared" si="2"/>
        <v>-3.0034239867272734</v>
      </c>
    </row>
    <row r="24" spans="1:4" x14ac:dyDescent="0.25">
      <c r="A24" s="18">
        <v>43009</v>
      </c>
      <c r="B24" s="13">
        <f t="shared" si="0"/>
        <v>-1.7947918014545454</v>
      </c>
      <c r="C24" s="13">
        <f t="shared" si="1"/>
        <v>-4.0355760652727275</v>
      </c>
      <c r="D24" s="13">
        <f t="shared" si="2"/>
        <v>8.5062765142727272</v>
      </c>
    </row>
    <row r="25" spans="1:4" x14ac:dyDescent="0.25">
      <c r="A25" s="19">
        <v>43040</v>
      </c>
      <c r="B25" s="13">
        <f t="shared" si="0"/>
        <v>6.8268163065454548</v>
      </c>
      <c r="C25" s="13">
        <f t="shared" si="1"/>
        <v>-9.7940355692727277</v>
      </c>
      <c r="D25" s="13">
        <f t="shared" si="2"/>
        <v>-1.9695403907272735</v>
      </c>
    </row>
    <row r="26" spans="1:4" x14ac:dyDescent="0.25">
      <c r="A26" s="18">
        <v>43070</v>
      </c>
      <c r="B26" s="13">
        <f t="shared" si="0"/>
        <v>-0.66005981545454562</v>
      </c>
      <c r="C26" s="13">
        <f t="shared" si="1"/>
        <v>6.9514391187272722</v>
      </c>
      <c r="D26" s="13">
        <f t="shared" si="2"/>
        <v>-1.0216763647272735</v>
      </c>
    </row>
    <row r="27" spans="1:4" x14ac:dyDescent="0.25">
      <c r="A27" s="19">
        <v>43101</v>
      </c>
      <c r="B27" s="13">
        <f t="shared" si="0"/>
        <v>5.1185174155454547</v>
      </c>
      <c r="C27" s="13">
        <f t="shared" si="1"/>
        <v>5.6216811057272729</v>
      </c>
      <c r="D27" s="13">
        <f t="shared" si="2"/>
        <v>7.911112624272727</v>
      </c>
    </row>
    <row r="28" spans="1:4" x14ac:dyDescent="0.25">
      <c r="A28" s="18">
        <v>43132</v>
      </c>
      <c r="B28" s="13">
        <f t="shared" si="0"/>
        <v>5.2627428175454547</v>
      </c>
      <c r="C28" s="13">
        <f t="shared" si="1"/>
        <v>3.7150378287272732</v>
      </c>
      <c r="D28" s="13">
        <f t="shared" si="2"/>
        <v>-4.464860481727273</v>
      </c>
    </row>
    <row r="29" spans="1:4" x14ac:dyDescent="0.25">
      <c r="A29" s="19">
        <v>43160</v>
      </c>
      <c r="B29" s="13">
        <f t="shared" si="0"/>
        <v>-7.5616587854545454</v>
      </c>
      <c r="C29" s="13">
        <f t="shared" si="1"/>
        <v>-8.0164140552727279</v>
      </c>
      <c r="D29" s="13">
        <f t="shared" si="2"/>
        <v>-5.3686018547272738</v>
      </c>
    </row>
    <row r="30" spans="1:4" x14ac:dyDescent="0.25">
      <c r="A30" s="18">
        <v>43191</v>
      </c>
      <c r="B30" s="13">
        <f t="shared" si="0"/>
        <v>-1.3592033654545455</v>
      </c>
      <c r="C30" s="13">
        <f t="shared" si="1"/>
        <v>1.4762208357272726</v>
      </c>
      <c r="D30" s="13">
        <f t="shared" si="2"/>
        <v>1.3105255722727267</v>
      </c>
    </row>
    <row r="33" spans="1:6" x14ac:dyDescent="0.25">
      <c r="B33" s="20" t="str">
        <f t="array" ref="B33:D33">B19:D19</f>
        <v>Portfolio_2.CSCO</v>
      </c>
      <c r="C33" s="20" t="str">
        <v>Portfolio_2.EBAY</v>
      </c>
      <c r="D33" s="20" t="str">
        <v>Portfolio_2.MSFT</v>
      </c>
    </row>
    <row r="34" spans="1:6" x14ac:dyDescent="0.25">
      <c r="A34" s="21" t="str">
        <f t="array" ref="A34:A36">TRANSPOSE(B19:D19)</f>
        <v>Portfolio_2.CSCO</v>
      </c>
      <c r="B34" s="22">
        <f t="array" ref="B34:D36">MMULT(TRANSPOSE(B20:D30),B20:D30)/(COUNT(A20:A30)-1)</f>
        <v>18.908364291669255</v>
      </c>
      <c r="C34" s="13">
        <v>4.6756161518564472</v>
      </c>
      <c r="D34" s="13">
        <v>3.3808356887554689</v>
      </c>
    </row>
    <row r="35" spans="1:6" x14ac:dyDescent="0.25">
      <c r="A35" s="21" t="str">
        <v>Portfolio_2.EBAY</v>
      </c>
      <c r="B35" s="13">
        <v>4.6756161518564472</v>
      </c>
      <c r="C35" s="22">
        <v>29.383641212260489</v>
      </c>
      <c r="D35" s="13">
        <v>3.8645942762923924</v>
      </c>
    </row>
    <row r="36" spans="1:6" x14ac:dyDescent="0.25">
      <c r="A36" s="21" t="str">
        <v>Portfolio_2.MSFT</v>
      </c>
      <c r="B36" s="13">
        <v>3.3808356887554689</v>
      </c>
      <c r="C36" s="13">
        <v>3.8645942762923924</v>
      </c>
      <c r="D36" s="22">
        <v>21.997849093498523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2.8014143318181821</v>
      </c>
    </row>
    <row r="39" spans="1:6" x14ac:dyDescent="0.25">
      <c r="A39" s="21" t="str">
        <f t="array" ref="A39:A41">A34:A36</f>
        <v>Portfolio_2.CSCO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10.459105203470763</v>
      </c>
    </row>
    <row r="40" spans="1:6" x14ac:dyDescent="0.25">
      <c r="A40" s="21" t="str">
        <v>Portfolio_2.EBAY</v>
      </c>
      <c r="B40" s="13">
        <f t="shared" ref="B40:B41" si="3">1/3</f>
        <v>0.33333333333333331</v>
      </c>
      <c r="E40" s="21" t="s">
        <v>36</v>
      </c>
      <c r="F40" s="13">
        <f>SQRT(F39)</f>
        <v>3.2340539889542295</v>
      </c>
    </row>
    <row r="41" spans="1:6" x14ac:dyDescent="0.25">
      <c r="A41" s="21" t="str">
        <v>Portfolio_2.MSFT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441B-9A0B-4370-A9C0-642A93B18BB2}">
  <dimension ref="A1:I41"/>
  <sheetViews>
    <sheetView zoomScale="51" zoomScaleNormal="51" workbookViewId="0">
      <selection activeCell="A20" sqref="A20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27</v>
      </c>
      <c r="B2" s="13" t="s">
        <v>45</v>
      </c>
      <c r="C2" s="13" t="s">
        <v>46</v>
      </c>
      <c r="D2" s="13" t="s">
        <v>47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-0.72947092371723798</v>
      </c>
      <c r="C3" s="13">
        <v>1.80757731217427</v>
      </c>
      <c r="D3" s="13">
        <v>10.4648625223073</v>
      </c>
      <c r="E3" s="23">
        <f>SUM(Table133133[[#This Row],[Portfolio_3.CSCO]:[Portfolio_3.ÖRCL]])/3</f>
        <v>3.8476563035881104</v>
      </c>
      <c r="F3" s="23">
        <f>SUM($E$3:E3)</f>
        <v>3.8476563035881104</v>
      </c>
      <c r="G3" s="23">
        <f>AVERAGE(Table133133[W.Returns])</f>
        <v>1.8638961415555633</v>
      </c>
      <c r="H3" s="23">
        <f>MEDIAN(Table133133[W.Returns])</f>
        <v>1.8914215238174599</v>
      </c>
      <c r="I3" s="23">
        <f>_xlfn.STDEV.S(Table133133[W.Returns])</f>
        <v>3.6310811449127556</v>
      </c>
    </row>
    <row r="4" spans="1:9" x14ac:dyDescent="0.25">
      <c r="A4" s="14">
        <v>42917</v>
      </c>
      <c r="B4" s="13">
        <v>0.47923579658393001</v>
      </c>
      <c r="C4" s="13">
        <v>2.3195934890946899</v>
      </c>
      <c r="D4" s="13">
        <v>-0.41883818384405103</v>
      </c>
      <c r="E4" s="23">
        <f>SUM(Table133133[[#This Row],[Portfolio_3.CSCO]:[Portfolio_3.ÖRCL]])/3</f>
        <v>0.79333036727818962</v>
      </c>
      <c r="F4" s="23">
        <f>SUM($E$3:E4)</f>
        <v>4.6409866708663001</v>
      </c>
      <c r="G4" s="23">
        <f>AVERAGE(Table133133[W.Returns])</f>
        <v>1.8638961415555633</v>
      </c>
      <c r="H4" s="23">
        <f>MEDIAN(Table133133[W.Returns])</f>
        <v>1.8914215238174599</v>
      </c>
      <c r="I4" s="23">
        <f>_xlfn.STDEV.S(Table133133[W.Returns])</f>
        <v>3.6310811449127556</v>
      </c>
    </row>
    <row r="5" spans="1:9" x14ac:dyDescent="0.25">
      <c r="A5" s="14">
        <v>42948</v>
      </c>
      <c r="B5" s="13">
        <v>3.3733923579961398</v>
      </c>
      <c r="C5" s="13">
        <v>1.1195102155051899</v>
      </c>
      <c r="D5" s="13">
        <v>1.1813619979510499</v>
      </c>
      <c r="E5" s="23">
        <f>SUM(Table133133[[#This Row],[Portfolio_3.CSCO]:[Portfolio_3.ÖRCL]])/3</f>
        <v>1.8914215238174599</v>
      </c>
      <c r="F5" s="23">
        <f>SUM($E$3:E5)</f>
        <v>6.53240819468376</v>
      </c>
      <c r="G5" s="23">
        <f>AVERAGE(Table133133[W.Returns])</f>
        <v>1.8638961415555633</v>
      </c>
      <c r="H5" s="23">
        <f>MEDIAN(Table133133[W.Returns])</f>
        <v>1.8914215238174599</v>
      </c>
      <c r="I5" s="23">
        <f>_xlfn.STDEV.S(Table133133[W.Returns])</f>
        <v>3.6310811449127556</v>
      </c>
    </row>
    <row r="6" spans="1:9" x14ac:dyDescent="0.25">
      <c r="A6" s="14">
        <v>42979</v>
      </c>
      <c r="B6" s="13">
        <v>4.4085740111437604</v>
      </c>
      <c r="C6" s="13">
        <v>6.4489286894844096</v>
      </c>
      <c r="D6" s="13">
        <v>-3.9340513273897799</v>
      </c>
      <c r="E6" s="23">
        <f>SUM(Table133133[[#This Row],[Portfolio_3.CSCO]:[Portfolio_3.ÖRCL]])/3</f>
        <v>2.307817124412797</v>
      </c>
      <c r="F6" s="23">
        <f>SUM($E$3:E6)</f>
        <v>8.8402253190965574</v>
      </c>
      <c r="G6" s="23">
        <f>AVERAGE(Table133133[W.Returns])</f>
        <v>1.8638961415555633</v>
      </c>
      <c r="H6" s="23">
        <f>MEDIAN(Table133133[W.Returns])</f>
        <v>1.8914215238174599</v>
      </c>
      <c r="I6" s="23">
        <f>_xlfn.STDEV.S(Table133133[W.Returns])</f>
        <v>3.6310811449127556</v>
      </c>
    </row>
    <row r="7" spans="1:9" x14ac:dyDescent="0.25">
      <c r="A7" s="14">
        <v>43009</v>
      </c>
      <c r="B7" s="13">
        <v>1.54623170195778</v>
      </c>
      <c r="C7" s="13">
        <v>-2.1320853388477699</v>
      </c>
      <c r="D7" s="13">
        <v>5.27405834926377</v>
      </c>
      <c r="E7" s="23">
        <f>SUM(Table133133[[#This Row],[Portfolio_3.CSCO]:[Portfolio_3.ÖRCL]])/3</f>
        <v>1.5627349041245935</v>
      </c>
      <c r="F7" s="23">
        <f>SUM($E$3:E7)</f>
        <v>10.40296022322115</v>
      </c>
      <c r="G7" s="23">
        <f>AVERAGE(Table133133[W.Returns])</f>
        <v>1.8638961415555633</v>
      </c>
      <c r="H7" s="23">
        <f>MEDIAN(Table133133[W.Returns])</f>
        <v>1.8914215238174599</v>
      </c>
      <c r="I7" s="23">
        <f>_xlfn.STDEV.S(Table133133[W.Returns])</f>
        <v>3.6310811449127556</v>
      </c>
    </row>
    <row r="8" spans="1:9" x14ac:dyDescent="0.25">
      <c r="A8" s="14">
        <v>43040</v>
      </c>
      <c r="B8" s="13">
        <v>10.1678398109251</v>
      </c>
      <c r="C8" s="13">
        <v>-7.8905448430006704</v>
      </c>
      <c r="D8" s="13">
        <v>-3.2347536429632799</v>
      </c>
      <c r="E8" s="23">
        <f>SUM(Table133133[[#This Row],[Portfolio_3.CSCO]:[Portfolio_3.ÖRCL]])/3</f>
        <v>-0.31915289167961669</v>
      </c>
      <c r="F8" s="23">
        <f>SUM($E$3:E8)</f>
        <v>10.083807331541534</v>
      </c>
      <c r="G8" s="23">
        <f>AVERAGE(Table133133[W.Returns])</f>
        <v>1.8638961415555633</v>
      </c>
      <c r="H8" s="23">
        <f>MEDIAN(Table133133[W.Returns])</f>
        <v>1.8914215238174599</v>
      </c>
      <c r="I8" s="23">
        <f>_xlfn.STDEV.S(Table133133[W.Returns])</f>
        <v>3.6310811449127556</v>
      </c>
    </row>
    <row r="9" spans="1:9" x14ac:dyDescent="0.25">
      <c r="A9" s="14">
        <v>43070</v>
      </c>
      <c r="B9" s="13">
        <v>2.6809636875737</v>
      </c>
      <c r="C9" s="13">
        <v>8.8549298445301297</v>
      </c>
      <c r="D9" s="13">
        <v>-3.6282199933878898</v>
      </c>
      <c r="E9" s="23">
        <f>SUM(Table133133[[#This Row],[Portfolio_3.CSCO]:[Portfolio_3.ÖRCL]])/3</f>
        <v>2.6358911795719799</v>
      </c>
      <c r="F9" s="23">
        <f>SUM($E$3:E9)</f>
        <v>12.719698511113513</v>
      </c>
      <c r="G9" s="23">
        <f>AVERAGE(Table133133[W.Returns])</f>
        <v>1.8638961415555633</v>
      </c>
      <c r="H9" s="23">
        <f>MEDIAN(Table133133[W.Returns])</f>
        <v>1.8914215238174599</v>
      </c>
      <c r="I9" s="23">
        <f>_xlfn.STDEV.S(Table133133[W.Returns])</f>
        <v>3.6310811449127556</v>
      </c>
    </row>
    <row r="10" spans="1:9" x14ac:dyDescent="0.25">
      <c r="A10" s="14">
        <v>43101</v>
      </c>
      <c r="B10" s="13">
        <v>8.4595409190782203</v>
      </c>
      <c r="C10" s="13">
        <v>7.5251718322643502</v>
      </c>
      <c r="D10" s="13">
        <v>9.1159107185152504</v>
      </c>
      <c r="E10" s="23">
        <f>SUM(Table133133[[#This Row],[Portfolio_3.CSCO]:[Portfolio_3.ÖRCL]])/3</f>
        <v>8.3668744899526075</v>
      </c>
      <c r="F10" s="23">
        <f>SUM($E$3:E10)</f>
        <v>21.086573001066121</v>
      </c>
      <c r="G10" s="23">
        <f>AVERAGE(Table133133[W.Returns])</f>
        <v>1.8638961415555633</v>
      </c>
      <c r="H10" s="23">
        <f>MEDIAN(Table133133[W.Returns])</f>
        <v>1.8914215238174599</v>
      </c>
      <c r="I10" s="23">
        <f>_xlfn.STDEV.S(Table133133[W.Returns])</f>
        <v>3.6310811449127556</v>
      </c>
    </row>
    <row r="11" spans="1:9" x14ac:dyDescent="0.25">
      <c r="A11" s="14">
        <v>43132</v>
      </c>
      <c r="B11" s="13">
        <v>8.6037663207079902</v>
      </c>
      <c r="C11" s="13">
        <v>5.6185285550256898</v>
      </c>
      <c r="D11" s="13">
        <v>-1.4008192038521601</v>
      </c>
      <c r="E11" s="23">
        <f>SUM(Table133133[[#This Row],[Portfolio_3.CSCO]:[Portfolio_3.ÖRCL]])/3</f>
        <v>4.2738252239605066</v>
      </c>
      <c r="F11" s="23">
        <f>SUM($E$3:E11)</f>
        <v>25.360398225026628</v>
      </c>
      <c r="G11" s="23">
        <f>AVERAGE(Table133133[W.Returns])</f>
        <v>1.8638961415555633</v>
      </c>
      <c r="H11" s="23">
        <f>MEDIAN(Table133133[W.Returns])</f>
        <v>1.8914215238174599</v>
      </c>
      <c r="I11" s="23">
        <f>_xlfn.STDEV.S(Table133133[W.Returns])</f>
        <v>3.6310811449127556</v>
      </c>
    </row>
    <row r="12" spans="1:9" x14ac:dyDescent="0.25">
      <c r="A12" s="14">
        <v>43160</v>
      </c>
      <c r="B12" s="13">
        <v>-4.22063528245328</v>
      </c>
      <c r="C12" s="13">
        <v>-6.1129233291431797</v>
      </c>
      <c r="D12" s="13">
        <v>-9.7098850716030096</v>
      </c>
      <c r="E12" s="23">
        <f>SUM(Table133133[[#This Row],[Portfolio_3.CSCO]:[Portfolio_3.ÖRCL]])/3</f>
        <v>-6.6811478943998237</v>
      </c>
      <c r="F12" s="23">
        <f>SUM($E$3:E12)</f>
        <v>18.679250330626804</v>
      </c>
      <c r="G12" s="23">
        <f>AVERAGE(Table133133[W.Returns])</f>
        <v>1.8638961415555633</v>
      </c>
      <c r="H12" s="23">
        <f>MEDIAN(Table133133[W.Returns])</f>
        <v>1.8914215238174599</v>
      </c>
      <c r="I12" s="23">
        <f>_xlfn.STDEV.S(Table133133[W.Returns])</f>
        <v>3.6310811449127556</v>
      </c>
    </row>
    <row r="13" spans="1:9" x14ac:dyDescent="0.25">
      <c r="A13" s="14">
        <v>43191</v>
      </c>
      <c r="B13" s="13">
        <v>1.98182013811332</v>
      </c>
      <c r="C13" s="13">
        <v>3.3797115616445601</v>
      </c>
      <c r="D13" s="13">
        <v>0.109289979695291</v>
      </c>
      <c r="E13" s="23">
        <f>SUM(Table133133[[#This Row],[Portfolio_3.CSCO]:[Portfolio_3.ÖRCL]])/3</f>
        <v>1.8236072264843903</v>
      </c>
      <c r="F13" s="23">
        <f>SUM($E$3:E13)</f>
        <v>20.502857557111195</v>
      </c>
      <c r="G13" s="23">
        <f>AVERAGE(Table133133[W.Returns])</f>
        <v>1.8638961415555633</v>
      </c>
      <c r="H13" s="23">
        <f>MEDIAN(Table133133[W.Returns])</f>
        <v>1.8914215238174599</v>
      </c>
      <c r="I13" s="23">
        <f>_xlfn.STDEV.S(Table133133[W.Returns])</f>
        <v>3.6310811449127556</v>
      </c>
    </row>
    <row r="15" spans="1:9" x14ac:dyDescent="0.25">
      <c r="A15" s="13" t="s">
        <v>31</v>
      </c>
      <c r="B15" s="13">
        <f>AVERAGE(Table133133[Portfolio_3.CSCO])</f>
        <v>3.3410235034463116</v>
      </c>
      <c r="C15" s="13">
        <f>AVERAGE(Table133133[Portfolio_3.EBAY])</f>
        <v>1.9034907262483336</v>
      </c>
      <c r="D15" s="13">
        <f>AVERAGE(Table133133[Portfolio_3.ÖRCL])</f>
        <v>0.34717419497204466</v>
      </c>
    </row>
    <row r="16" spans="1:9" x14ac:dyDescent="0.25">
      <c r="A16" s="13" t="s">
        <v>32</v>
      </c>
      <c r="B16" s="13">
        <f>_xlfn.VAR.S(Table133133[Portfolio_3.CSCO])</f>
        <v>18.908364293469816</v>
      </c>
      <c r="C16" s="13">
        <f>_xlfn.VAR.S(Table133133[Portfolio_3.EBAY])</f>
        <v>29.383641212449096</v>
      </c>
      <c r="D16" s="13">
        <f>_xlfn.VAR.S(Table133133[Portfolio_3.ÖRCL])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70</v>
      </c>
      <c r="B19" s="13" t="s">
        <v>45</v>
      </c>
      <c r="C19" s="13" t="s">
        <v>46</v>
      </c>
      <c r="D19" s="13" t="s">
        <v>47</v>
      </c>
    </row>
    <row r="20" spans="1:4" x14ac:dyDescent="0.25">
      <c r="A20" s="18">
        <v>42887</v>
      </c>
      <c r="B20" s="13">
        <f t="shared" ref="B20:B30" si="0">B3-$B$15</f>
        <v>-4.0704944271635499</v>
      </c>
      <c r="C20" s="13">
        <f t="shared" ref="C20:C30" si="1">C3-$C$15</f>
        <v>-9.5913414074063619E-2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-2.8617877068623816</v>
      </c>
      <c r="C21" s="13">
        <f t="shared" si="1"/>
        <v>0.41610276284635628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3.2368854549828185E-2</v>
      </c>
      <c r="C22" s="13">
        <f t="shared" si="1"/>
        <v>-0.78398051074314368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1.0675505076974487</v>
      </c>
      <c r="C23" s="13">
        <f t="shared" si="1"/>
        <v>4.5454379632360755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-1.7947918014885316</v>
      </c>
      <c r="C24" s="13">
        <f t="shared" si="1"/>
        <v>-4.0355760650961034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6.8268163074787882</v>
      </c>
      <c r="C25" s="13">
        <f t="shared" si="1"/>
        <v>-9.7940355692490044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-0.66005981587261164</v>
      </c>
      <c r="C26" s="13">
        <f t="shared" si="1"/>
        <v>6.9514391182817956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5.1185174156319082</v>
      </c>
      <c r="C27" s="13">
        <f t="shared" si="1"/>
        <v>5.6216811060160161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5.2627428172616781</v>
      </c>
      <c r="C28" s="13">
        <f t="shared" si="1"/>
        <v>3.7150378287773562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-7.5616587858995921</v>
      </c>
      <c r="C29" s="13">
        <f t="shared" si="1"/>
        <v>-8.0164140553915129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-1.3592033653329916</v>
      </c>
      <c r="C30" s="13">
        <f t="shared" si="1"/>
        <v>1.4762208353962265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Portfolio_3.CSCO</v>
      </c>
      <c r="C33" s="20" t="str">
        <v>Portfolio_3.EBAY</v>
      </c>
      <c r="D33" s="20" t="str">
        <v>Portfolio_3.ÖRCL</v>
      </c>
    </row>
    <row r="34" spans="1:6" x14ac:dyDescent="0.25">
      <c r="A34" s="21" t="str">
        <f t="array" ref="A34:A36">TRANSPOSE(B19:D19)</f>
        <v>Portfolio_3.CSCO</v>
      </c>
      <c r="B34" s="22">
        <f t="array" ref="B34:D36">MMULT(TRANSPOSE(B20:D30),B20:D30)/(COUNT(A20:A30)-1)</f>
        <v>18.908364293469823</v>
      </c>
      <c r="C34" s="13">
        <v>4.6756161512930268</v>
      </c>
      <c r="D34" s="13">
        <v>3.7847925867190448</v>
      </c>
    </row>
    <row r="35" spans="1:6" x14ac:dyDescent="0.25">
      <c r="A35" s="21" t="str">
        <v>Portfolio_3.EBAY</v>
      </c>
      <c r="B35" s="13">
        <v>4.6756161512930268</v>
      </c>
      <c r="C35" s="22">
        <v>29.383641212449088</v>
      </c>
      <c r="D35" s="13">
        <v>8.9232368777964393</v>
      </c>
    </row>
    <row r="36" spans="1:6" x14ac:dyDescent="0.25">
      <c r="A36" s="21" t="str">
        <v>Portfolio_3.ÖRCL</v>
      </c>
      <c r="B36" s="13">
        <v>3.7847925867190448</v>
      </c>
      <c r="C36" s="13">
        <v>8.9232368777964393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1.8638961415555633</v>
      </c>
    </row>
    <row r="39" spans="1:6" x14ac:dyDescent="0.25">
      <c r="A39" s="21" t="str">
        <f t="array" ref="A39:A41">A34:A36</f>
        <v>Portfolio_3.CSCO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13.184750280940927</v>
      </c>
    </row>
    <row r="40" spans="1:6" x14ac:dyDescent="0.25">
      <c r="A40" s="21" t="str">
        <v>Portfolio_3.EBAY</v>
      </c>
      <c r="B40" s="13">
        <f t="shared" ref="B40:B41" si="3">1/3</f>
        <v>0.33333333333333331</v>
      </c>
      <c r="E40" s="21" t="s">
        <v>36</v>
      </c>
      <c r="F40" s="13">
        <f>SQRT(F39)</f>
        <v>3.6310811449127556</v>
      </c>
    </row>
    <row r="41" spans="1:6" x14ac:dyDescent="0.25">
      <c r="A41" s="21" t="str">
        <v>Portfolio_3.ÖRCL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B202-38B6-452F-9CA0-C1834516C9FA}">
  <dimension ref="A1:I41"/>
  <sheetViews>
    <sheetView zoomScale="62" zoomScaleNormal="62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71</v>
      </c>
      <c r="B2" s="13" t="s">
        <v>48</v>
      </c>
      <c r="C2" s="13" t="s">
        <v>49</v>
      </c>
      <c r="D2" s="13" t="s">
        <v>50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-0.72947092371723798</v>
      </c>
      <c r="C3" s="13">
        <v>-5.8174248981835497</v>
      </c>
      <c r="D3" s="13">
        <v>-0.73724875539851897</v>
      </c>
      <c r="E3" s="23">
        <f>SUM(Table13313335[[#This Row],[Portfolio_4.CSCO]:[Portfolio_4.MSFT]])/3</f>
        <v>-2.4280481924331023</v>
      </c>
      <c r="F3" s="23">
        <f>SUM($E$3:E3)</f>
        <v>-2.4280481924331023</v>
      </c>
      <c r="G3" s="23">
        <f>AVERAGE(Table13313335[W.Returns])</f>
        <v>2.5194333159079192</v>
      </c>
      <c r="H3" s="23">
        <f>MEDIAN(Table13313335[W.Returns])</f>
        <v>2.421879685541287</v>
      </c>
      <c r="I3" s="23">
        <f>_xlfn.STDEV.S(Table13313335[W.Returns])</f>
        <v>3.950888195132773</v>
      </c>
    </row>
    <row r="4" spans="1:9" x14ac:dyDescent="0.25">
      <c r="A4" s="14">
        <v>42917</v>
      </c>
      <c r="B4" s="13">
        <v>0.47923579658393001</v>
      </c>
      <c r="C4" s="13">
        <v>2.3956533270752298</v>
      </c>
      <c r="D4" s="13">
        <v>5.46931674275229</v>
      </c>
      <c r="E4" s="23">
        <f>SUM(Table13313335[[#This Row],[Portfolio_4.CSCO]:[Portfolio_4.MSFT]])/3</f>
        <v>2.7814019554704834</v>
      </c>
      <c r="F4" s="23">
        <f>SUM($E$3:E4)</f>
        <v>0.35335376303738109</v>
      </c>
      <c r="G4" s="23">
        <f>AVERAGE(Table13313335[W.Returns])</f>
        <v>2.5194333159079192</v>
      </c>
      <c r="H4" s="23">
        <f>MEDIAN(Table13313335[W.Returns])</f>
        <v>2.421879685541287</v>
      </c>
      <c r="I4" s="23">
        <f>_xlfn.STDEV.S(Table13313335[W.Returns])</f>
        <v>3.950888195132773</v>
      </c>
    </row>
    <row r="5" spans="1:9" x14ac:dyDescent="0.25">
      <c r="A5" s="14">
        <v>42948</v>
      </c>
      <c r="B5" s="13">
        <v>3.3733923579961398</v>
      </c>
      <c r="C5" s="13">
        <v>0.94895400322407297</v>
      </c>
      <c r="D5" s="13">
        <v>2.8473066771364399</v>
      </c>
      <c r="E5" s="23">
        <f>SUM(Table13313335[[#This Row],[Portfolio_4.CSCO]:[Portfolio_4.MSFT]])/3</f>
        <v>2.3898843461188841</v>
      </c>
      <c r="F5" s="23">
        <f>SUM($E$3:E5)</f>
        <v>2.7432381091562652</v>
      </c>
      <c r="G5" s="23">
        <f>AVERAGE(Table13313335[W.Returns])</f>
        <v>2.5194333159079192</v>
      </c>
      <c r="H5" s="23">
        <f>MEDIAN(Table13313335[W.Returns])</f>
        <v>2.421879685541287</v>
      </c>
      <c r="I5" s="23">
        <f>_xlfn.STDEV.S(Table13313335[W.Returns])</f>
        <v>3.950888195132773</v>
      </c>
    </row>
    <row r="6" spans="1:9" x14ac:dyDescent="0.25">
      <c r="A6" s="14">
        <v>42979</v>
      </c>
      <c r="B6" s="13">
        <v>4.4085740111437604</v>
      </c>
      <c r="C6" s="13">
        <v>2.1057527857113101</v>
      </c>
      <c r="D6" s="13">
        <v>0.15630477949435501</v>
      </c>
      <c r="E6" s="23">
        <f>SUM(Table13313335[[#This Row],[Portfolio_4.CSCO]:[Portfolio_4.MSFT]])/3</f>
        <v>2.2235438587831418</v>
      </c>
      <c r="F6" s="23">
        <f>SUM($E$3:E6)</f>
        <v>4.966781967939407</v>
      </c>
      <c r="G6" s="23">
        <f>AVERAGE(Table13313335[W.Returns])</f>
        <v>2.5194333159079192</v>
      </c>
      <c r="H6" s="23">
        <f>MEDIAN(Table13313335[W.Returns])</f>
        <v>2.421879685541287</v>
      </c>
      <c r="I6" s="23">
        <f>_xlfn.STDEV.S(Table13313335[W.Returns])</f>
        <v>3.950888195132773</v>
      </c>
    </row>
    <row r="7" spans="1:9" x14ac:dyDescent="0.25">
      <c r="A7" s="14">
        <v>43009</v>
      </c>
      <c r="B7" s="13">
        <v>1.54623170195778</v>
      </c>
      <c r="C7" s="13">
        <v>5.9982724504739604</v>
      </c>
      <c r="D7" s="13">
        <v>11.666005275091999</v>
      </c>
      <c r="E7" s="23">
        <f>SUM(Table13313335[[#This Row],[Portfolio_4.CSCO]:[Portfolio_4.MSFT]])/3</f>
        <v>6.4035031425079127</v>
      </c>
      <c r="F7" s="23">
        <f>SUM($E$3:E7)</f>
        <v>11.37028511044732</v>
      </c>
      <c r="G7" s="23">
        <f>AVERAGE(Table13313335[W.Returns])</f>
        <v>2.5194333159079192</v>
      </c>
      <c r="H7" s="23">
        <f>MEDIAN(Table13313335[W.Returns])</f>
        <v>2.421879685541287</v>
      </c>
      <c r="I7" s="23">
        <f>_xlfn.STDEV.S(Table13313335[W.Returns])</f>
        <v>3.950888195132773</v>
      </c>
    </row>
    <row r="8" spans="1:9" x14ac:dyDescent="0.25">
      <c r="A8" s="14">
        <v>43040</v>
      </c>
      <c r="B8" s="13">
        <v>10.1678398109251</v>
      </c>
      <c r="C8" s="13">
        <v>0.46918849638237897</v>
      </c>
      <c r="D8" s="13">
        <v>1.19018837452709</v>
      </c>
      <c r="E8" s="23">
        <f>SUM(Table13313335[[#This Row],[Portfolio_4.CSCO]:[Portfolio_4.MSFT]])/3</f>
        <v>3.9424055606115229</v>
      </c>
      <c r="F8" s="23">
        <f>SUM($E$3:E8)</f>
        <v>15.312690671058842</v>
      </c>
      <c r="G8" s="23">
        <f>AVERAGE(Table13313335[W.Returns])</f>
        <v>2.5194333159079192</v>
      </c>
      <c r="H8" s="23">
        <f>MEDIAN(Table13313335[W.Returns])</f>
        <v>2.421879685541287</v>
      </c>
      <c r="I8" s="23">
        <f>_xlfn.STDEV.S(Table13313335[W.Returns])</f>
        <v>3.950888195132773</v>
      </c>
    </row>
    <row r="9" spans="1:9" x14ac:dyDescent="0.25">
      <c r="A9" s="14">
        <v>43070</v>
      </c>
      <c r="B9" s="13">
        <v>2.6809636875737</v>
      </c>
      <c r="C9" s="13">
        <v>2.4466229683073601</v>
      </c>
      <c r="D9" s="13">
        <v>2.1380524007427999</v>
      </c>
      <c r="E9" s="23">
        <f>SUM(Table13313335[[#This Row],[Portfolio_4.CSCO]:[Portfolio_4.MSFT]])/3</f>
        <v>2.421879685541287</v>
      </c>
      <c r="F9" s="23">
        <f>SUM($E$3:E9)</f>
        <v>17.73457035660013</v>
      </c>
      <c r="G9" s="23">
        <f>AVERAGE(Table13313335[W.Returns])</f>
        <v>2.5194333159079192</v>
      </c>
      <c r="H9" s="23">
        <f>MEDIAN(Table13313335[W.Returns])</f>
        <v>2.421879685541287</v>
      </c>
      <c r="I9" s="23">
        <f>_xlfn.STDEV.S(Table13313335[W.Returns])</f>
        <v>3.950888195132773</v>
      </c>
    </row>
    <row r="10" spans="1:9" x14ac:dyDescent="0.25">
      <c r="A10" s="14">
        <v>43101</v>
      </c>
      <c r="B10" s="13">
        <v>8.4595409190782203</v>
      </c>
      <c r="C10" s="13">
        <v>11.8061844578092</v>
      </c>
      <c r="D10" s="13">
        <v>11.0708413877087</v>
      </c>
      <c r="E10" s="23">
        <f>SUM(Table13313335[[#This Row],[Portfolio_4.CSCO]:[Portfolio_4.MSFT]])/3</f>
        <v>10.445522254865374</v>
      </c>
      <c r="F10" s="23">
        <f>SUM($E$3:E10)</f>
        <v>28.180092611465504</v>
      </c>
      <c r="G10" s="23">
        <f>AVERAGE(Table13313335[W.Returns])</f>
        <v>2.5194333159079192</v>
      </c>
      <c r="H10" s="23">
        <f>MEDIAN(Table13313335[W.Returns])</f>
        <v>2.421879685541287</v>
      </c>
      <c r="I10" s="23">
        <f>_xlfn.STDEV.S(Table13313335[W.Returns])</f>
        <v>3.950888195132773</v>
      </c>
    </row>
    <row r="11" spans="1:9" x14ac:dyDescent="0.25">
      <c r="A11" s="14">
        <v>43132</v>
      </c>
      <c r="B11" s="13">
        <v>8.6037663207079902</v>
      </c>
      <c r="C11" s="13">
        <v>-5.5737870564759202</v>
      </c>
      <c r="D11" s="13">
        <v>-1.3051317156678399</v>
      </c>
      <c r="E11" s="23">
        <f>SUM(Table13313335[[#This Row],[Portfolio_4.CSCO]:[Portfolio_4.MSFT]])/3</f>
        <v>0.57494918285474339</v>
      </c>
      <c r="F11" s="23">
        <f>SUM($E$3:E11)</f>
        <v>28.755041794320249</v>
      </c>
      <c r="G11" s="23">
        <f>AVERAGE(Table13313335[W.Returns])</f>
        <v>2.5194333159079192</v>
      </c>
      <c r="H11" s="23">
        <f>MEDIAN(Table13313335[W.Returns])</f>
        <v>2.421879685541287</v>
      </c>
      <c r="I11" s="23">
        <f>_xlfn.STDEV.S(Table13313335[W.Returns])</f>
        <v>3.950888195132773</v>
      </c>
    </row>
    <row r="12" spans="1:9" x14ac:dyDescent="0.25">
      <c r="A12" s="14">
        <v>43160</v>
      </c>
      <c r="B12" s="13">
        <v>-4.22063528245328</v>
      </c>
      <c r="C12" s="13">
        <v>-6.6025130412410897</v>
      </c>
      <c r="D12" s="13">
        <v>-2.2088730894956701</v>
      </c>
      <c r="E12" s="23">
        <f>SUM(Table13313335[[#This Row],[Portfolio_4.CSCO]:[Portfolio_4.MSFT]])/3</f>
        <v>-4.3440071377300127</v>
      </c>
      <c r="F12" s="23">
        <f>SUM($E$3:E12)</f>
        <v>24.411034656590235</v>
      </c>
      <c r="G12" s="23">
        <f>AVERAGE(Table13313335[W.Returns])</f>
        <v>2.5194333159079192</v>
      </c>
      <c r="H12" s="23">
        <f>MEDIAN(Table13313335[W.Returns])</f>
        <v>2.421879685541287</v>
      </c>
      <c r="I12" s="23">
        <f>_xlfn.STDEV.S(Table13313335[W.Returns])</f>
        <v>3.950888195132773</v>
      </c>
    </row>
    <row r="13" spans="1:9" x14ac:dyDescent="0.25">
      <c r="A13" s="14">
        <v>43191</v>
      </c>
      <c r="B13" s="13">
        <v>1.98182013811332</v>
      </c>
      <c r="C13" s="13">
        <v>3.4561209792799801</v>
      </c>
      <c r="D13" s="13">
        <v>4.4702543377973303</v>
      </c>
      <c r="E13" s="23">
        <f>SUM(Table13313335[[#This Row],[Portfolio_4.CSCO]:[Portfolio_4.MSFT]])/3</f>
        <v>3.3027318183968766</v>
      </c>
      <c r="F13" s="23">
        <f>SUM($E$3:E13)</f>
        <v>27.713766474987111</v>
      </c>
      <c r="G13" s="23">
        <f>AVERAGE(Table13313335[W.Returns])</f>
        <v>2.5194333159079192</v>
      </c>
      <c r="H13" s="23">
        <f>MEDIAN(Table13313335[W.Returns])</f>
        <v>2.421879685541287</v>
      </c>
      <c r="I13" s="23">
        <f>_xlfn.STDEV.S(Table13313335[W.Returns])</f>
        <v>3.950888195132773</v>
      </c>
    </row>
    <row r="15" spans="1:9" x14ac:dyDescent="0.25">
      <c r="A15" s="13" t="s">
        <v>31</v>
      </c>
      <c r="B15" s="13">
        <f>AVERAGE(Table13313335[Portfolio_4.CSCO])</f>
        <v>3.3410235034463116</v>
      </c>
      <c r="C15" s="13">
        <f>AVERAGE(Table13313335[Portfolio_4.GOOG])</f>
        <v>1.0575476793057212</v>
      </c>
      <c r="D15" s="13">
        <f>AVERAGE(Table13313335[Portfolio_4.MSFT])</f>
        <v>3.1597287649717249</v>
      </c>
    </row>
    <row r="16" spans="1:9" x14ac:dyDescent="0.25">
      <c r="A16" s="13" t="s">
        <v>32</v>
      </c>
      <c r="B16" s="13">
        <f>_xlfn.VAR.S(Table13313335[Portfolio_4.CSCO])</f>
        <v>18.908364293469816</v>
      </c>
      <c r="C16" s="13">
        <f>_xlfn.VAR.S(Table13313335[Portfolio_4.GOOG])</f>
        <v>30.079023624047785</v>
      </c>
      <c r="D16" s="13">
        <f>_xlfn.VAR.S(Table13313335[Portfolio_4.MSFT])</f>
        <v>21.997849081835437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48</v>
      </c>
      <c r="C19" s="13" t="s">
        <v>49</v>
      </c>
      <c r="D19" s="13" t="s">
        <v>50</v>
      </c>
    </row>
    <row r="20" spans="1:4" x14ac:dyDescent="0.25">
      <c r="A20" s="18">
        <v>42887</v>
      </c>
      <c r="B20" s="13">
        <f t="shared" ref="B20:B30" si="0">B3-$B$15</f>
        <v>-4.0704944271635499</v>
      </c>
      <c r="C20" s="13">
        <f t="shared" ref="C20:C30" si="1">C3-$C$15</f>
        <v>-6.8749725774892712</v>
      </c>
      <c r="D20" s="13">
        <f t="shared" ref="D20:D30" si="2">D3-$D$15</f>
        <v>-3.8969775203702439</v>
      </c>
    </row>
    <row r="21" spans="1:4" x14ac:dyDescent="0.25">
      <c r="A21" s="19">
        <v>42917</v>
      </c>
      <c r="B21" s="13">
        <f t="shared" si="0"/>
        <v>-2.8617877068623816</v>
      </c>
      <c r="C21" s="13">
        <f t="shared" si="1"/>
        <v>1.3381056477695086</v>
      </c>
      <c r="D21" s="13">
        <f t="shared" si="2"/>
        <v>2.309587977780565</v>
      </c>
    </row>
    <row r="22" spans="1:4" x14ac:dyDescent="0.25">
      <c r="A22" s="18">
        <v>42948</v>
      </c>
      <c r="B22" s="13">
        <f t="shared" si="0"/>
        <v>3.2368854549828185E-2</v>
      </c>
      <c r="C22" s="13">
        <f t="shared" si="1"/>
        <v>-0.10859367608164827</v>
      </c>
      <c r="D22" s="13">
        <f t="shared" si="2"/>
        <v>-0.31242208783528502</v>
      </c>
    </row>
    <row r="23" spans="1:4" x14ac:dyDescent="0.25">
      <c r="A23" s="19">
        <v>42979</v>
      </c>
      <c r="B23" s="13">
        <f t="shared" si="0"/>
        <v>1.0675505076974487</v>
      </c>
      <c r="C23" s="13">
        <f t="shared" si="1"/>
        <v>1.0482051064055888</v>
      </c>
      <c r="D23" s="13">
        <f t="shared" si="2"/>
        <v>-3.0034239854773701</v>
      </c>
    </row>
    <row r="24" spans="1:4" x14ac:dyDescent="0.25">
      <c r="A24" s="18">
        <v>43009</v>
      </c>
      <c r="B24" s="13">
        <f t="shared" si="0"/>
        <v>-1.7947918014885316</v>
      </c>
      <c r="C24" s="13">
        <f t="shared" si="1"/>
        <v>4.9407247711682389</v>
      </c>
      <c r="D24" s="13">
        <f t="shared" si="2"/>
        <v>8.5062765101202746</v>
      </c>
    </row>
    <row r="25" spans="1:4" x14ac:dyDescent="0.25">
      <c r="A25" s="19">
        <v>43040</v>
      </c>
      <c r="B25" s="13">
        <f t="shared" si="0"/>
        <v>6.8268163074787882</v>
      </c>
      <c r="C25" s="13">
        <f t="shared" si="1"/>
        <v>-0.58835918292334233</v>
      </c>
      <c r="D25" s="13">
        <f t="shared" si="2"/>
        <v>-1.9695403904446349</v>
      </c>
    </row>
    <row r="26" spans="1:4" x14ac:dyDescent="0.25">
      <c r="A26" s="18">
        <v>43070</v>
      </c>
      <c r="B26" s="13">
        <f t="shared" si="0"/>
        <v>-0.66005981587261164</v>
      </c>
      <c r="C26" s="13">
        <f t="shared" si="1"/>
        <v>1.3890752890016389</v>
      </c>
      <c r="D26" s="13">
        <f t="shared" si="2"/>
        <v>-1.021676364228925</v>
      </c>
    </row>
    <row r="27" spans="1:4" x14ac:dyDescent="0.25">
      <c r="A27" s="19">
        <v>43101</v>
      </c>
      <c r="B27" s="13">
        <f t="shared" si="0"/>
        <v>5.1185174156319082</v>
      </c>
      <c r="C27" s="13">
        <f t="shared" si="1"/>
        <v>10.74863677850348</v>
      </c>
      <c r="D27" s="13">
        <f t="shared" si="2"/>
        <v>7.9111126227369759</v>
      </c>
    </row>
    <row r="28" spans="1:4" x14ac:dyDescent="0.25">
      <c r="A28" s="18">
        <v>43132</v>
      </c>
      <c r="B28" s="13">
        <f t="shared" si="0"/>
        <v>5.2627428172616781</v>
      </c>
      <c r="C28" s="13">
        <f t="shared" si="1"/>
        <v>-6.6313347357816417</v>
      </c>
      <c r="D28" s="13">
        <f t="shared" si="2"/>
        <v>-4.4648604806395653</v>
      </c>
    </row>
    <row r="29" spans="1:4" x14ac:dyDescent="0.25">
      <c r="A29" s="19">
        <v>43160</v>
      </c>
      <c r="B29" s="13">
        <f t="shared" si="0"/>
        <v>-7.5616587858995921</v>
      </c>
      <c r="C29" s="13">
        <f t="shared" si="1"/>
        <v>-7.6600607205468112</v>
      </c>
      <c r="D29" s="13">
        <f t="shared" si="2"/>
        <v>-5.3686018544673946</v>
      </c>
    </row>
    <row r="30" spans="1:4" x14ac:dyDescent="0.25">
      <c r="A30" s="18">
        <v>43191</v>
      </c>
      <c r="B30" s="13">
        <f t="shared" si="0"/>
        <v>-1.3592033653329916</v>
      </c>
      <c r="C30" s="13">
        <f t="shared" si="1"/>
        <v>2.3985732999742586</v>
      </c>
      <c r="D30" s="13">
        <f t="shared" si="2"/>
        <v>1.3105255728256053</v>
      </c>
    </row>
    <row r="33" spans="1:6" x14ac:dyDescent="0.25">
      <c r="B33" s="20" t="str">
        <f t="array" ref="B33:D33">B19:D19</f>
        <v>Portfolio_4.CSCO</v>
      </c>
      <c r="C33" s="20" t="str">
        <v>Portfolio_4.GOOG</v>
      </c>
      <c r="D33" s="20" t="str">
        <v>Portfolio_4.MSFT</v>
      </c>
    </row>
    <row r="34" spans="1:6" x14ac:dyDescent="0.25">
      <c r="A34" s="21" t="str">
        <f t="array" ref="A34:A36">TRANSPOSE(B19:D19)</f>
        <v>Portfolio_4.CSCO</v>
      </c>
      <c r="B34" s="22">
        <f t="array" ref="B34:D36">MMULT(TRANSPOSE(B20:D30),B20:D30)/(COUNT(A20:A30)-1)</f>
        <v>18.908364293469823</v>
      </c>
      <c r="C34" s="13">
        <v>8.6250286796282261</v>
      </c>
      <c r="D34" s="13">
        <v>3.3808356890477156</v>
      </c>
    </row>
    <row r="35" spans="1:6" x14ac:dyDescent="0.25">
      <c r="A35" s="21" t="str">
        <v>Portfolio_4.GOOG</v>
      </c>
      <c r="B35" s="13">
        <v>8.6250286796282261</v>
      </c>
      <c r="C35" s="22">
        <v>30.079023624047789</v>
      </c>
      <c r="D35" s="13">
        <v>22.744346018625297</v>
      </c>
    </row>
    <row r="36" spans="1:6" x14ac:dyDescent="0.25">
      <c r="A36" s="21" t="str">
        <v>Portfolio_4.MSFT</v>
      </c>
      <c r="B36" s="13">
        <v>3.3808356890477156</v>
      </c>
      <c r="C36" s="13">
        <v>22.744346018625297</v>
      </c>
      <c r="D36" s="22">
        <v>21.997849081835437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2.5194333159079192</v>
      </c>
    </row>
    <row r="39" spans="1:6" x14ac:dyDescent="0.25">
      <c r="A39" s="21" t="str">
        <f t="array" ref="A39:A41">A34:A36</f>
        <v>Portfolio_4.CSCO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15.609517530439501</v>
      </c>
    </row>
    <row r="40" spans="1:6" x14ac:dyDescent="0.25">
      <c r="A40" s="21" t="str">
        <v>Portfolio_4.GOOG</v>
      </c>
      <c r="B40" s="13">
        <f t="shared" ref="B40:B41" si="3">1/3</f>
        <v>0.33333333333333331</v>
      </c>
      <c r="E40" s="21" t="s">
        <v>36</v>
      </c>
      <c r="F40" s="13">
        <f>SQRT(F39)</f>
        <v>3.950888195132773</v>
      </c>
    </row>
    <row r="41" spans="1:6" x14ac:dyDescent="0.25">
      <c r="A41" s="21" t="str">
        <v>Portfolio_4.MSFT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008-D955-49B9-9F9B-9D51DC3A6FE9}">
  <dimension ref="A1:I41"/>
  <sheetViews>
    <sheetView zoomScale="48" zoomScaleNormal="48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72</v>
      </c>
      <c r="B2" s="13" t="s">
        <v>51</v>
      </c>
      <c r="C2" s="13" t="s">
        <v>52</v>
      </c>
      <c r="D2" s="13" t="s">
        <v>53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-0.72947092371723798</v>
      </c>
      <c r="C3" s="13">
        <v>-5.8174248981835497</v>
      </c>
      <c r="D3" s="13">
        <v>10.4648625223073</v>
      </c>
      <c r="E3" s="23">
        <f>SUM(Table1331333537[[#This Row],[Portfolio_5.CSCO]:[Portfolio_5.ÖRCL]])/3</f>
        <v>1.3059889001355041</v>
      </c>
      <c r="F3" s="23">
        <f>SUM($E$3:E3)</f>
        <v>1.3059889001355041</v>
      </c>
      <c r="G3" s="23">
        <f>AVERAGE(Table1331333537[W.Returns])</f>
        <v>1.5819151259080257</v>
      </c>
      <c r="H3" s="23">
        <f>MEDIAN(Table1331333537[W.Returns])</f>
        <v>1.3059889001355041</v>
      </c>
      <c r="I3" s="23">
        <f>_xlfn.STDEV.S(Table1331333537[W.Returns])</f>
        <v>3.873352604657001</v>
      </c>
    </row>
    <row r="4" spans="1:9" x14ac:dyDescent="0.25">
      <c r="A4" s="14">
        <v>42917</v>
      </c>
      <c r="B4" s="13">
        <v>0.47923579658393001</v>
      </c>
      <c r="C4" s="13">
        <v>2.3956533270752298</v>
      </c>
      <c r="D4" s="13">
        <v>-0.41883818384405103</v>
      </c>
      <c r="E4" s="23">
        <f>SUM(Table1331333537[[#This Row],[Portfolio_5.CSCO]:[Portfolio_5.ÖRCL]])/3</f>
        <v>0.81868364660503623</v>
      </c>
      <c r="F4" s="23">
        <f>SUM($E$3:E4)</f>
        <v>2.1246725467405403</v>
      </c>
      <c r="G4" s="23">
        <f>AVERAGE(Table1331333537[W.Returns])</f>
        <v>1.5819151259080257</v>
      </c>
      <c r="H4" s="23">
        <f>MEDIAN(Table1331333537[W.Returns])</f>
        <v>1.3059889001355041</v>
      </c>
      <c r="I4" s="23">
        <f>_xlfn.STDEV.S(Table1331333537[W.Returns])</f>
        <v>3.873352604657001</v>
      </c>
    </row>
    <row r="5" spans="1:9" x14ac:dyDescent="0.25">
      <c r="A5" s="14">
        <v>42948</v>
      </c>
      <c r="B5" s="13">
        <v>3.3733923579961398</v>
      </c>
      <c r="C5" s="13">
        <v>0.94895400322407297</v>
      </c>
      <c r="D5" s="13">
        <v>1.1813619979510499</v>
      </c>
      <c r="E5" s="23">
        <f>SUM(Table1331333537[[#This Row],[Portfolio_5.CSCO]:[Portfolio_5.ÖRCL]])/3</f>
        <v>1.8345694530570873</v>
      </c>
      <c r="F5" s="23">
        <f>SUM($E$3:E5)</f>
        <v>3.9592419997976274</v>
      </c>
      <c r="G5" s="23">
        <f>AVERAGE(Table1331333537[W.Returns])</f>
        <v>1.5819151259080257</v>
      </c>
      <c r="H5" s="23">
        <f>MEDIAN(Table1331333537[W.Returns])</f>
        <v>1.3059889001355041</v>
      </c>
      <c r="I5" s="23">
        <f>_xlfn.STDEV.S(Table1331333537[W.Returns])</f>
        <v>3.873352604657001</v>
      </c>
    </row>
    <row r="6" spans="1:9" x14ac:dyDescent="0.25">
      <c r="A6" s="14">
        <v>42979</v>
      </c>
      <c r="B6" s="13">
        <v>4.4085740111437604</v>
      </c>
      <c r="C6" s="13">
        <v>2.1057527857113101</v>
      </c>
      <c r="D6" s="13">
        <v>-3.9340513273897799</v>
      </c>
      <c r="E6" s="23">
        <f>SUM(Table1331333537[[#This Row],[Portfolio_5.CSCO]:[Portfolio_5.ÖRCL]])/3</f>
        <v>0.8600918231550968</v>
      </c>
      <c r="F6" s="23">
        <f>SUM($E$3:E6)</f>
        <v>4.8193338229527241</v>
      </c>
      <c r="G6" s="23">
        <f>AVERAGE(Table1331333537[W.Returns])</f>
        <v>1.5819151259080257</v>
      </c>
      <c r="H6" s="23">
        <f>MEDIAN(Table1331333537[W.Returns])</f>
        <v>1.3059889001355041</v>
      </c>
      <c r="I6" s="23">
        <f>_xlfn.STDEV.S(Table1331333537[W.Returns])</f>
        <v>3.873352604657001</v>
      </c>
    </row>
    <row r="7" spans="1:9" x14ac:dyDescent="0.25">
      <c r="A7" s="14">
        <v>43009</v>
      </c>
      <c r="B7" s="13">
        <v>1.54623170195778</v>
      </c>
      <c r="C7" s="13">
        <v>5.9982724504739604</v>
      </c>
      <c r="D7" s="13">
        <v>5.27405834926377</v>
      </c>
      <c r="E7" s="23">
        <f>SUM(Table1331333537[[#This Row],[Portfolio_5.CSCO]:[Portfolio_5.ÖRCL]])/3</f>
        <v>4.272854167231837</v>
      </c>
      <c r="F7" s="23">
        <f>SUM($E$3:E7)</f>
        <v>9.092187990184561</v>
      </c>
      <c r="G7" s="23">
        <f>AVERAGE(Table1331333537[W.Returns])</f>
        <v>1.5819151259080257</v>
      </c>
      <c r="H7" s="23">
        <f>MEDIAN(Table1331333537[W.Returns])</f>
        <v>1.3059889001355041</v>
      </c>
      <c r="I7" s="23">
        <f>_xlfn.STDEV.S(Table1331333537[W.Returns])</f>
        <v>3.873352604657001</v>
      </c>
    </row>
    <row r="8" spans="1:9" x14ac:dyDescent="0.25">
      <c r="A8" s="14">
        <v>43040</v>
      </c>
      <c r="B8" s="13">
        <v>10.1678398109251</v>
      </c>
      <c r="C8" s="13">
        <v>0.46918849638237897</v>
      </c>
      <c r="D8" s="13">
        <v>-3.2347536429632799</v>
      </c>
      <c r="E8" s="23">
        <f>SUM(Table1331333537[[#This Row],[Portfolio_5.CSCO]:[Portfolio_5.ÖRCL]])/3</f>
        <v>2.4674248881147332</v>
      </c>
      <c r="F8" s="23">
        <f>SUM($E$3:E8)</f>
        <v>11.559612878299294</v>
      </c>
      <c r="G8" s="23">
        <f>AVERAGE(Table1331333537[W.Returns])</f>
        <v>1.5819151259080257</v>
      </c>
      <c r="H8" s="23">
        <f>MEDIAN(Table1331333537[W.Returns])</f>
        <v>1.3059889001355041</v>
      </c>
      <c r="I8" s="23">
        <f>_xlfn.STDEV.S(Table1331333537[W.Returns])</f>
        <v>3.873352604657001</v>
      </c>
    </row>
    <row r="9" spans="1:9" x14ac:dyDescent="0.25">
      <c r="A9" s="14">
        <v>43070</v>
      </c>
      <c r="B9" s="13">
        <v>2.6809636875737</v>
      </c>
      <c r="C9" s="13">
        <v>2.4466229683073601</v>
      </c>
      <c r="D9" s="13">
        <v>-3.6282199933878898</v>
      </c>
      <c r="E9" s="23">
        <f>SUM(Table1331333537[[#This Row],[Portfolio_5.CSCO]:[Portfolio_5.ÖRCL]])/3</f>
        <v>0.4997888874977236</v>
      </c>
      <c r="F9" s="23">
        <f>SUM($E$3:E9)</f>
        <v>12.059401765797018</v>
      </c>
      <c r="G9" s="23">
        <f>AVERAGE(Table1331333537[W.Returns])</f>
        <v>1.5819151259080257</v>
      </c>
      <c r="H9" s="23">
        <f>MEDIAN(Table1331333537[W.Returns])</f>
        <v>1.3059889001355041</v>
      </c>
      <c r="I9" s="23">
        <f>_xlfn.STDEV.S(Table1331333537[W.Returns])</f>
        <v>3.873352604657001</v>
      </c>
    </row>
    <row r="10" spans="1:9" x14ac:dyDescent="0.25">
      <c r="A10" s="14">
        <v>43101</v>
      </c>
      <c r="B10" s="13">
        <v>8.4595409190782203</v>
      </c>
      <c r="C10" s="13">
        <v>11.8061844578092</v>
      </c>
      <c r="D10" s="13">
        <v>9.1159107185152504</v>
      </c>
      <c r="E10" s="23">
        <f>SUM(Table1331333537[[#This Row],[Portfolio_5.CSCO]:[Portfolio_5.ÖRCL]])/3</f>
        <v>9.793878698467557</v>
      </c>
      <c r="F10" s="23">
        <f>SUM($E$3:E10)</f>
        <v>21.853280464264575</v>
      </c>
      <c r="G10" s="23">
        <f>AVERAGE(Table1331333537[W.Returns])</f>
        <v>1.5819151259080257</v>
      </c>
      <c r="H10" s="23">
        <f>MEDIAN(Table1331333537[W.Returns])</f>
        <v>1.3059889001355041</v>
      </c>
      <c r="I10" s="23">
        <f>_xlfn.STDEV.S(Table1331333537[W.Returns])</f>
        <v>3.873352604657001</v>
      </c>
    </row>
    <row r="11" spans="1:9" x14ac:dyDescent="0.25">
      <c r="A11" s="14">
        <v>43132</v>
      </c>
      <c r="B11" s="13">
        <v>8.6037663207079902</v>
      </c>
      <c r="C11" s="13">
        <v>-5.5737870564759202</v>
      </c>
      <c r="D11" s="13">
        <v>-1.4008192038521601</v>
      </c>
      <c r="E11" s="23">
        <f>SUM(Table1331333537[[#This Row],[Portfolio_5.CSCO]:[Portfolio_5.ÖRCL]])/3</f>
        <v>0.54305335345996997</v>
      </c>
      <c r="F11" s="23">
        <f>SUM($E$3:E11)</f>
        <v>22.396333817724546</v>
      </c>
      <c r="G11" s="23">
        <f>AVERAGE(Table1331333537[W.Returns])</f>
        <v>1.5819151259080257</v>
      </c>
      <c r="H11" s="23">
        <f>MEDIAN(Table1331333537[W.Returns])</f>
        <v>1.3059889001355041</v>
      </c>
      <c r="I11" s="23">
        <f>_xlfn.STDEV.S(Table1331333537[W.Returns])</f>
        <v>3.873352604657001</v>
      </c>
    </row>
    <row r="12" spans="1:9" x14ac:dyDescent="0.25">
      <c r="A12" s="14">
        <v>43160</v>
      </c>
      <c r="B12" s="13">
        <v>-4.22063528245328</v>
      </c>
      <c r="C12" s="13">
        <v>-6.6025130412410897</v>
      </c>
      <c r="D12" s="13">
        <v>-9.7098850716030096</v>
      </c>
      <c r="E12" s="23">
        <f>SUM(Table1331333537[[#This Row],[Portfolio_5.CSCO]:[Portfolio_5.ÖRCL]])/3</f>
        <v>-6.8443444650991268</v>
      </c>
      <c r="F12" s="23">
        <f>SUM($E$3:E12)</f>
        <v>15.551989352625419</v>
      </c>
      <c r="G12" s="23">
        <f>AVERAGE(Table1331333537[W.Returns])</f>
        <v>1.5819151259080257</v>
      </c>
      <c r="H12" s="23">
        <f>MEDIAN(Table1331333537[W.Returns])</f>
        <v>1.3059889001355041</v>
      </c>
      <c r="I12" s="23">
        <f>_xlfn.STDEV.S(Table1331333537[W.Returns])</f>
        <v>3.873352604657001</v>
      </c>
    </row>
    <row r="13" spans="1:9" x14ac:dyDescent="0.25">
      <c r="A13" s="14">
        <v>43191</v>
      </c>
      <c r="B13" s="13">
        <v>1.98182013811332</v>
      </c>
      <c r="C13" s="13">
        <v>3.4561209792799801</v>
      </c>
      <c r="D13" s="13">
        <v>0.109289979695291</v>
      </c>
      <c r="E13" s="23">
        <f>SUM(Table1331333537[[#This Row],[Portfolio_5.CSCO]:[Portfolio_5.ÖRCL]])/3</f>
        <v>1.8490770323628636</v>
      </c>
      <c r="F13" s="23">
        <f>SUM($E$3:E13)</f>
        <v>17.401066384988283</v>
      </c>
      <c r="G13" s="23">
        <f>AVERAGE(Table1331333537[W.Returns])</f>
        <v>1.5819151259080257</v>
      </c>
      <c r="H13" s="23">
        <f>MEDIAN(Table1331333537[W.Returns])</f>
        <v>1.3059889001355041</v>
      </c>
      <c r="I13" s="23">
        <f>_xlfn.STDEV.S(Table1331333537[W.Returns])</f>
        <v>3.873352604657001</v>
      </c>
    </row>
    <row r="15" spans="1:9" x14ac:dyDescent="0.25">
      <c r="A15" s="13" t="s">
        <v>31</v>
      </c>
      <c r="B15" s="13">
        <f>AVERAGE(Table1331333537[Portfolio_5.CSCO])</f>
        <v>3.3410235034463116</v>
      </c>
      <c r="C15" s="13">
        <f>AVERAGE(Table1331333537[Portfolio_5.GOOG])</f>
        <v>1.0575476793057212</v>
      </c>
      <c r="D15" s="13">
        <f>AVERAGE(Table1331333537[Portfolio_5.ÖRCL])</f>
        <v>0.34717419497204466</v>
      </c>
    </row>
    <row r="16" spans="1:9" x14ac:dyDescent="0.25">
      <c r="A16" s="13" t="s">
        <v>32</v>
      </c>
      <c r="B16" s="13">
        <f>_xlfn.VAR.S(Table1331333537[Portfolio_5.CSCO])</f>
        <v>18.908364293469816</v>
      </c>
      <c r="C16" s="13">
        <f>_xlfn.VAR.S(Table1331333537[Portfolio_5.GOOG])</f>
        <v>30.079023624047785</v>
      </c>
      <c r="D16" s="13">
        <f>_xlfn.VAR.S(Table1331333537[Portfolio_5.ÖRCL])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51</v>
      </c>
      <c r="C19" s="13" t="s">
        <v>52</v>
      </c>
      <c r="D19" s="13" t="s">
        <v>53</v>
      </c>
    </row>
    <row r="20" spans="1:4" x14ac:dyDescent="0.25">
      <c r="A20" s="18">
        <v>42887</v>
      </c>
      <c r="B20" s="13">
        <f t="shared" ref="B20:B30" si="0">B3-$B$15</f>
        <v>-4.0704944271635499</v>
      </c>
      <c r="C20" s="13">
        <f t="shared" ref="C20:C30" si="1">C3-$C$15</f>
        <v>-6.8749725774892712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-2.8617877068623816</v>
      </c>
      <c r="C21" s="13">
        <f t="shared" si="1"/>
        <v>1.3381056477695086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3.2368854549828185E-2</v>
      </c>
      <c r="C22" s="13">
        <f t="shared" si="1"/>
        <v>-0.10859367608164827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1.0675505076974487</v>
      </c>
      <c r="C23" s="13">
        <f t="shared" si="1"/>
        <v>1.0482051064055888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-1.7947918014885316</v>
      </c>
      <c r="C24" s="13">
        <f t="shared" si="1"/>
        <v>4.9407247711682389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6.8268163074787882</v>
      </c>
      <c r="C25" s="13">
        <f t="shared" si="1"/>
        <v>-0.58835918292334233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-0.66005981587261164</v>
      </c>
      <c r="C26" s="13">
        <f t="shared" si="1"/>
        <v>1.3890752890016389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5.1185174156319082</v>
      </c>
      <c r="C27" s="13">
        <f t="shared" si="1"/>
        <v>10.74863677850348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5.2627428172616781</v>
      </c>
      <c r="C28" s="13">
        <f t="shared" si="1"/>
        <v>-6.6313347357816417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-7.5616587858995921</v>
      </c>
      <c r="C29" s="13">
        <f t="shared" si="1"/>
        <v>-7.6600607205468112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-1.3592033653329916</v>
      </c>
      <c r="C30" s="13">
        <f t="shared" si="1"/>
        <v>2.3985732999742586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Portfolio_5.CSCO</v>
      </c>
      <c r="C33" s="20" t="str">
        <v>Portfolio_5.GOOG</v>
      </c>
      <c r="D33" s="20" t="str">
        <v>Portfolio_5.ÖRCL</v>
      </c>
    </row>
    <row r="34" spans="1:6" x14ac:dyDescent="0.25">
      <c r="A34" s="21" t="str">
        <f t="array" ref="A34:A36">TRANSPOSE(B19:D19)</f>
        <v>Portfolio_5.CSCO</v>
      </c>
      <c r="B34" s="22">
        <f t="array" ref="B34:D36">MMULT(TRANSPOSE(B20:D30),B20:D30)/(COUNT(A20:A30)-1)</f>
        <v>18.908364293469823</v>
      </c>
      <c r="C34" s="13">
        <v>8.6250286796282261</v>
      </c>
      <c r="D34" s="13">
        <v>3.7847925867190448</v>
      </c>
    </row>
    <row r="35" spans="1:6" x14ac:dyDescent="0.25">
      <c r="A35" s="21" t="str">
        <v>Portfolio_5.GOOG</v>
      </c>
      <c r="B35" s="13">
        <v>8.6250286796282261</v>
      </c>
      <c r="C35" s="22">
        <v>30.079023624047789</v>
      </c>
      <c r="D35" s="13">
        <v>12.807628679441995</v>
      </c>
    </row>
    <row r="36" spans="1:6" x14ac:dyDescent="0.25">
      <c r="A36" s="21" t="str">
        <v>Portfolio_5.ÖRCL</v>
      </c>
      <c r="B36" s="13">
        <v>3.7847925867190448</v>
      </c>
      <c r="C36" s="13">
        <v>12.807628679441995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1.5819151259080257</v>
      </c>
    </row>
    <row r="39" spans="1:6" x14ac:dyDescent="0.25">
      <c r="A39" s="21" t="str">
        <f t="array" ref="A39:A41">A34:A36</f>
        <v>Portfolio_5.CSCO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15.002860400003172</v>
      </c>
    </row>
    <row r="40" spans="1:6" x14ac:dyDescent="0.25">
      <c r="A40" s="21" t="str">
        <v>Portfolio_5.GOOG</v>
      </c>
      <c r="B40" s="13">
        <f t="shared" ref="B40:B41" si="3">1/3</f>
        <v>0.33333333333333331</v>
      </c>
      <c r="E40" s="21" t="s">
        <v>36</v>
      </c>
      <c r="F40" s="13">
        <f>SQRT(F39)</f>
        <v>3.8733526046570006</v>
      </c>
    </row>
    <row r="41" spans="1:6" x14ac:dyDescent="0.25">
      <c r="A41" s="21" t="str">
        <v>Portfolio_5.ÖRCL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DA5E-330B-4400-848D-23E1CD321B43}">
  <dimension ref="A1:I41"/>
  <sheetViews>
    <sheetView zoomScale="48" zoomScaleNormal="48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73</v>
      </c>
      <c r="B2" s="13" t="s">
        <v>54</v>
      </c>
      <c r="C2" s="13" t="s">
        <v>55</v>
      </c>
      <c r="D2" s="13" t="s">
        <v>56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-0.72947092371723798</v>
      </c>
      <c r="C3" s="13">
        <v>-0.73724875539851897</v>
      </c>
      <c r="D3" s="13">
        <v>10.4648625223073</v>
      </c>
      <c r="E3" s="23">
        <f>SUM(Table133133353739[[#This Row],[Portfolio_6.CSCO]:[Portfolio_6.ÖRCL]])/3</f>
        <v>2.9993809477305144</v>
      </c>
      <c r="F3" s="23">
        <f>SUM($E$3:E3)</f>
        <v>2.9993809477305144</v>
      </c>
      <c r="G3" s="23">
        <f>AVERAGE(Table133133353739[W.Returns])</f>
        <v>2.2826421544633599</v>
      </c>
      <c r="H3" s="23">
        <f>MEDIAN(Table133133353739[W.Returns])</f>
        <v>2.1871214852019802</v>
      </c>
      <c r="I3" s="23">
        <f>_xlfn.STDEV.S(Table133133353739[W.Returns])</f>
        <v>3.6802358851706019</v>
      </c>
    </row>
    <row r="4" spans="1:9" x14ac:dyDescent="0.25">
      <c r="A4" s="14">
        <v>42917</v>
      </c>
      <c r="B4" s="13">
        <v>0.47923579658393001</v>
      </c>
      <c r="C4" s="13">
        <v>5.46931674275229</v>
      </c>
      <c r="D4" s="13">
        <v>-0.41883818384405103</v>
      </c>
      <c r="E4" s="23">
        <f>SUM(Table133133353739[[#This Row],[Portfolio_6.CSCO]:[Portfolio_6.ÖRCL]])/3</f>
        <v>1.8432381184973894</v>
      </c>
      <c r="F4" s="23">
        <f>SUM($E$3:E4)</f>
        <v>4.8426190662279041</v>
      </c>
      <c r="G4" s="23">
        <f>AVERAGE(Table133133353739[W.Returns])</f>
        <v>2.2826421544633599</v>
      </c>
      <c r="H4" s="23">
        <f>MEDIAN(Table133133353739[W.Returns])</f>
        <v>2.1871214852019802</v>
      </c>
      <c r="I4" s="23">
        <f>_xlfn.STDEV.S(Table133133353739[W.Returns])</f>
        <v>3.6802358851706019</v>
      </c>
    </row>
    <row r="5" spans="1:9" x14ac:dyDescent="0.25">
      <c r="A5" s="14">
        <v>42948</v>
      </c>
      <c r="B5" s="13">
        <v>3.3733923579961398</v>
      </c>
      <c r="C5" s="13">
        <v>2.8473066771364399</v>
      </c>
      <c r="D5" s="13">
        <v>1.1813619979510499</v>
      </c>
      <c r="E5" s="23">
        <f>SUM(Table133133353739[[#This Row],[Portfolio_6.CSCO]:[Portfolio_6.ÖRCL]])/3</f>
        <v>2.4673536776945428</v>
      </c>
      <c r="F5" s="23">
        <f>SUM($E$3:E5)</f>
        <v>7.3099727439224473</v>
      </c>
      <c r="G5" s="23">
        <f>AVERAGE(Table133133353739[W.Returns])</f>
        <v>2.2826421544633599</v>
      </c>
      <c r="H5" s="23">
        <f>MEDIAN(Table133133353739[W.Returns])</f>
        <v>2.1871214852019802</v>
      </c>
      <c r="I5" s="23">
        <f>_xlfn.STDEV.S(Table133133353739[W.Returns])</f>
        <v>3.6802358851706019</v>
      </c>
    </row>
    <row r="6" spans="1:9" x14ac:dyDescent="0.25">
      <c r="A6" s="14">
        <v>42979</v>
      </c>
      <c r="B6" s="13">
        <v>4.4085740111437604</v>
      </c>
      <c r="C6" s="13">
        <v>0.15630477949435501</v>
      </c>
      <c r="D6" s="13">
        <v>-3.9340513273897799</v>
      </c>
      <c r="E6" s="23">
        <f>SUM(Table133133353739[[#This Row],[Portfolio_6.CSCO]:[Portfolio_6.ÖRCL]])/3</f>
        <v>0.21027582108277842</v>
      </c>
      <c r="F6" s="23">
        <f>SUM($E$3:E6)</f>
        <v>7.5202485650052253</v>
      </c>
      <c r="G6" s="23">
        <f>AVERAGE(Table133133353739[W.Returns])</f>
        <v>2.2826421544633599</v>
      </c>
      <c r="H6" s="23">
        <f>MEDIAN(Table133133353739[W.Returns])</f>
        <v>2.1871214852019802</v>
      </c>
      <c r="I6" s="23">
        <f>_xlfn.STDEV.S(Table133133353739[W.Returns])</f>
        <v>3.6802358851706019</v>
      </c>
    </row>
    <row r="7" spans="1:9" x14ac:dyDescent="0.25">
      <c r="A7" s="14">
        <v>43009</v>
      </c>
      <c r="B7" s="13">
        <v>1.54623170195778</v>
      </c>
      <c r="C7" s="13">
        <v>11.666005275091999</v>
      </c>
      <c r="D7" s="13">
        <v>5.27405834926377</v>
      </c>
      <c r="E7" s="23">
        <f>SUM(Table133133353739[[#This Row],[Portfolio_6.CSCO]:[Portfolio_6.ÖRCL]])/3</f>
        <v>6.162098442104516</v>
      </c>
      <c r="F7" s="23">
        <f>SUM($E$3:E7)</f>
        <v>13.68234700710974</v>
      </c>
      <c r="G7" s="23">
        <f>AVERAGE(Table133133353739[W.Returns])</f>
        <v>2.2826421544633599</v>
      </c>
      <c r="H7" s="23">
        <f>MEDIAN(Table133133353739[W.Returns])</f>
        <v>2.1871214852019802</v>
      </c>
      <c r="I7" s="23">
        <f>_xlfn.STDEV.S(Table133133353739[W.Returns])</f>
        <v>3.6802358851706019</v>
      </c>
    </row>
    <row r="8" spans="1:9" x14ac:dyDescent="0.25">
      <c r="A8" s="14">
        <v>43040</v>
      </c>
      <c r="B8" s="13">
        <v>10.1678398109251</v>
      </c>
      <c r="C8" s="13">
        <v>1.19018837452709</v>
      </c>
      <c r="D8" s="13">
        <v>-3.2347536429632799</v>
      </c>
      <c r="E8" s="23">
        <f>SUM(Table133133353739[[#This Row],[Portfolio_6.CSCO]:[Portfolio_6.ÖRCL]])/3</f>
        <v>2.7077581808296363</v>
      </c>
      <c r="F8" s="23">
        <f>SUM($E$3:E8)</f>
        <v>16.390105187939376</v>
      </c>
      <c r="G8" s="23">
        <f>AVERAGE(Table133133353739[W.Returns])</f>
        <v>2.2826421544633599</v>
      </c>
      <c r="H8" s="23">
        <f>MEDIAN(Table133133353739[W.Returns])</f>
        <v>2.1871214852019802</v>
      </c>
      <c r="I8" s="23">
        <f>_xlfn.STDEV.S(Table133133353739[W.Returns])</f>
        <v>3.6802358851706019</v>
      </c>
    </row>
    <row r="9" spans="1:9" x14ac:dyDescent="0.25">
      <c r="A9" s="14">
        <v>43070</v>
      </c>
      <c r="B9" s="13">
        <v>2.6809636875737</v>
      </c>
      <c r="C9" s="13">
        <v>2.1380524007427999</v>
      </c>
      <c r="D9" s="13">
        <v>-3.6282199933878898</v>
      </c>
      <c r="E9" s="23">
        <f>SUM(Table133133353739[[#This Row],[Portfolio_6.CSCO]:[Portfolio_6.ÖRCL]])/3</f>
        <v>0.39693203164287016</v>
      </c>
      <c r="F9" s="23">
        <f>SUM($E$3:E9)</f>
        <v>16.787037219582245</v>
      </c>
      <c r="G9" s="23">
        <f>AVERAGE(Table133133353739[W.Returns])</f>
        <v>2.2826421544633599</v>
      </c>
      <c r="H9" s="23">
        <f>MEDIAN(Table133133353739[W.Returns])</f>
        <v>2.1871214852019802</v>
      </c>
      <c r="I9" s="23">
        <f>_xlfn.STDEV.S(Table133133353739[W.Returns])</f>
        <v>3.6802358851706019</v>
      </c>
    </row>
    <row r="10" spans="1:9" x14ac:dyDescent="0.25">
      <c r="A10" s="14">
        <v>43101</v>
      </c>
      <c r="B10" s="13">
        <v>8.4595409190782203</v>
      </c>
      <c r="C10" s="13">
        <v>11.0708413877087</v>
      </c>
      <c r="D10" s="13">
        <v>9.1159107185152504</v>
      </c>
      <c r="E10" s="23">
        <f>SUM(Table133133353739[[#This Row],[Portfolio_6.CSCO]:[Portfolio_6.ÖRCL]])/3</f>
        <v>9.5487643417673898</v>
      </c>
      <c r="F10" s="23">
        <f>SUM($E$3:E10)</f>
        <v>26.335801561349633</v>
      </c>
      <c r="G10" s="23">
        <f>AVERAGE(Table133133353739[W.Returns])</f>
        <v>2.2826421544633599</v>
      </c>
      <c r="H10" s="23">
        <f>MEDIAN(Table133133353739[W.Returns])</f>
        <v>2.1871214852019802</v>
      </c>
      <c r="I10" s="23">
        <f>_xlfn.STDEV.S(Table133133353739[W.Returns])</f>
        <v>3.6802358851706019</v>
      </c>
    </row>
    <row r="11" spans="1:9" x14ac:dyDescent="0.25">
      <c r="A11" s="14">
        <v>43132</v>
      </c>
      <c r="B11" s="13">
        <v>8.6037663207079902</v>
      </c>
      <c r="C11" s="13">
        <v>-1.3051317156678399</v>
      </c>
      <c r="D11" s="13">
        <v>-1.4008192038521601</v>
      </c>
      <c r="E11" s="23">
        <f>SUM(Table133133353739[[#This Row],[Portfolio_6.CSCO]:[Portfolio_6.ÖRCL]])/3</f>
        <v>1.9659384670626634</v>
      </c>
      <c r="F11" s="23">
        <f>SUM($E$3:E11)</f>
        <v>28.301740028412297</v>
      </c>
      <c r="G11" s="23">
        <f>AVERAGE(Table133133353739[W.Returns])</f>
        <v>2.2826421544633599</v>
      </c>
      <c r="H11" s="23">
        <f>MEDIAN(Table133133353739[W.Returns])</f>
        <v>2.1871214852019802</v>
      </c>
      <c r="I11" s="23">
        <f>_xlfn.STDEV.S(Table133133353739[W.Returns])</f>
        <v>3.6802358851706019</v>
      </c>
    </row>
    <row r="12" spans="1:9" x14ac:dyDescent="0.25">
      <c r="A12" s="14">
        <v>43160</v>
      </c>
      <c r="B12" s="13">
        <v>-4.22063528245328</v>
      </c>
      <c r="C12" s="13">
        <v>-2.2088730894956701</v>
      </c>
      <c r="D12" s="13">
        <v>-9.7098850716030096</v>
      </c>
      <c r="E12" s="23">
        <f>SUM(Table133133353739[[#This Row],[Portfolio_6.CSCO]:[Portfolio_6.ÖRCL]])/3</f>
        <v>-5.3797978145173202</v>
      </c>
      <c r="F12" s="23">
        <f>SUM($E$3:E12)</f>
        <v>22.921942213894976</v>
      </c>
      <c r="G12" s="23">
        <f>AVERAGE(Table133133353739[W.Returns])</f>
        <v>2.2826421544633599</v>
      </c>
      <c r="H12" s="23">
        <f>MEDIAN(Table133133353739[W.Returns])</f>
        <v>2.1871214852019802</v>
      </c>
      <c r="I12" s="23">
        <f>_xlfn.STDEV.S(Table133133353739[W.Returns])</f>
        <v>3.6802358851706019</v>
      </c>
    </row>
    <row r="13" spans="1:9" x14ac:dyDescent="0.25">
      <c r="A13" s="14">
        <v>43191</v>
      </c>
      <c r="B13" s="13">
        <v>1.98182013811332</v>
      </c>
      <c r="C13" s="13">
        <v>4.4702543377973303</v>
      </c>
      <c r="D13" s="13">
        <v>0.109289979695291</v>
      </c>
      <c r="E13" s="23">
        <f>SUM(Table133133353739[[#This Row],[Portfolio_6.CSCO]:[Portfolio_6.ÖRCL]])/3</f>
        <v>2.1871214852019802</v>
      </c>
      <c r="F13" s="23">
        <f>SUM($E$3:E13)</f>
        <v>25.109063699096957</v>
      </c>
      <c r="G13" s="23">
        <f>AVERAGE(Table133133353739[W.Returns])</f>
        <v>2.2826421544633599</v>
      </c>
      <c r="H13" s="23">
        <f>MEDIAN(Table133133353739[W.Returns])</f>
        <v>2.1871214852019802</v>
      </c>
      <c r="I13" s="23">
        <f>_xlfn.STDEV.S(Table133133353739[W.Returns])</f>
        <v>3.6802358851706019</v>
      </c>
    </row>
    <row r="15" spans="1:9" x14ac:dyDescent="0.25">
      <c r="A15" s="13" t="s">
        <v>31</v>
      </c>
      <c r="B15" s="13">
        <f>AVERAGE(Table133133353739[Portfolio_6.CSCO])</f>
        <v>3.3410235034463116</v>
      </c>
      <c r="C15" s="13">
        <f>AVERAGE(Table133133353739[Portfolio_6.MSFT])</f>
        <v>3.1597287649717249</v>
      </c>
      <c r="D15" s="13">
        <f>AVERAGE(Table133133353739[Portfolio_6.ÖRCL])</f>
        <v>0.34717419497204466</v>
      </c>
    </row>
    <row r="16" spans="1:9" x14ac:dyDescent="0.25">
      <c r="A16" s="13" t="s">
        <v>32</v>
      </c>
      <c r="B16" s="13">
        <f>_xlfn.VAR.S(Table133133353739[Portfolio_6.CSCO])</f>
        <v>18.908364293469816</v>
      </c>
      <c r="C16" s="13">
        <f>_xlfn.VAR.S(Table133133353739[Portfolio_6.MSFT])</f>
        <v>21.997849081835437</v>
      </c>
      <c r="D16" s="13">
        <f>_xlfn.VAR.S(Table133133353739[Portfolio_6.ÖRCL])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54</v>
      </c>
      <c r="C19" s="13" t="s">
        <v>55</v>
      </c>
      <c r="D19" s="13" t="s">
        <v>56</v>
      </c>
    </row>
    <row r="20" spans="1:4" x14ac:dyDescent="0.25">
      <c r="A20" s="18">
        <v>42887</v>
      </c>
      <c r="B20" s="13">
        <f t="shared" ref="B20:B30" si="0">B3-$B$15</f>
        <v>-4.0704944271635499</v>
      </c>
      <c r="C20" s="13">
        <f t="shared" ref="C20:C30" si="1">C3-$C$15</f>
        <v>-3.8969775203702439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-2.8617877068623816</v>
      </c>
      <c r="C21" s="13">
        <f t="shared" si="1"/>
        <v>2.309587977780565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3.2368854549828185E-2</v>
      </c>
      <c r="C22" s="13">
        <f t="shared" si="1"/>
        <v>-0.31242208783528502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1.0675505076974487</v>
      </c>
      <c r="C23" s="13">
        <f t="shared" si="1"/>
        <v>-3.0034239854773701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-1.7947918014885316</v>
      </c>
      <c r="C24" s="13">
        <f t="shared" si="1"/>
        <v>8.5062765101202746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6.8268163074787882</v>
      </c>
      <c r="C25" s="13">
        <f t="shared" si="1"/>
        <v>-1.9695403904446349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-0.66005981587261164</v>
      </c>
      <c r="C26" s="13">
        <f t="shared" si="1"/>
        <v>-1.021676364228925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5.1185174156319082</v>
      </c>
      <c r="C27" s="13">
        <f t="shared" si="1"/>
        <v>7.9111126227369759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5.2627428172616781</v>
      </c>
      <c r="C28" s="13">
        <f t="shared" si="1"/>
        <v>-4.4648604806395653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-7.5616587858995921</v>
      </c>
      <c r="C29" s="13">
        <f t="shared" si="1"/>
        <v>-5.3686018544673946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-1.3592033653329916</v>
      </c>
      <c r="C30" s="13">
        <f t="shared" si="1"/>
        <v>1.3105255728256053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Portfolio_6.CSCO</v>
      </c>
      <c r="C33" s="20" t="str">
        <v>Portfolio_6.MSFT</v>
      </c>
      <c r="D33" s="20" t="str">
        <v>Portfolio_6.ÖRCL</v>
      </c>
    </row>
    <row r="34" spans="1:6" x14ac:dyDescent="0.25">
      <c r="A34" s="21" t="str">
        <f t="array" ref="A34:A36">TRANSPOSE(B19:D19)</f>
        <v>Portfolio_6.CSCO</v>
      </c>
      <c r="B34" s="22">
        <f t="array" ref="B34:D36">MMULT(TRANSPOSE(B20:D30),B20:D30)/(COUNT(A20:A30)-1)</f>
        <v>18.908364293469823</v>
      </c>
      <c r="C34" s="13">
        <v>3.3808356890477156</v>
      </c>
      <c r="D34" s="13">
        <v>3.7847925867190448</v>
      </c>
    </row>
    <row r="35" spans="1:6" x14ac:dyDescent="0.25">
      <c r="A35" s="21" t="str">
        <v>Portfolio_6.MSFT</v>
      </c>
      <c r="B35" s="13">
        <v>3.3808356890477156</v>
      </c>
      <c r="C35" s="22">
        <v>21.997849081835437</v>
      </c>
      <c r="D35" s="13">
        <v>15.528149908352887</v>
      </c>
    </row>
    <row r="36" spans="1:6" x14ac:dyDescent="0.25">
      <c r="A36" s="21" t="str">
        <v>Portfolio_6.ÖRCL</v>
      </c>
      <c r="B36" s="13">
        <v>3.7847925867190448</v>
      </c>
      <c r="C36" s="13">
        <v>15.528149908352887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2.2826421544633604</v>
      </c>
    </row>
    <row r="39" spans="1:6" x14ac:dyDescent="0.25">
      <c r="A39" s="21" t="str">
        <f t="array" ref="A39:A41">A34:A36</f>
        <v>Portfolio_6.CSCO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13.544136170497442</v>
      </c>
    </row>
    <row r="40" spans="1:6" x14ac:dyDescent="0.25">
      <c r="A40" s="21" t="str">
        <v>Portfolio_6.MSFT</v>
      </c>
      <c r="B40" s="13">
        <f t="shared" ref="B40:B41" si="3">1/3</f>
        <v>0.33333333333333331</v>
      </c>
      <c r="E40" s="21" t="s">
        <v>36</v>
      </c>
      <c r="F40" s="13">
        <f>SQRT(F39)</f>
        <v>3.6802358851706019</v>
      </c>
    </row>
    <row r="41" spans="1:6" x14ac:dyDescent="0.25">
      <c r="A41" s="21" t="str">
        <v>Portfolio_6.ÖRCL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C06-7129-4BC9-86E0-6F06B9135C96}">
  <dimension ref="A1:I41"/>
  <sheetViews>
    <sheetView tabSelected="1" zoomScale="53" zoomScaleNormal="53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74</v>
      </c>
      <c r="B2" s="24" t="s">
        <v>57</v>
      </c>
      <c r="C2" s="25" t="s">
        <v>58</v>
      </c>
      <c r="D2" s="25" t="s">
        <v>59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26">
        <v>1.80757731217427</v>
      </c>
      <c r="C3" s="27">
        <v>-5.8174248981835497</v>
      </c>
      <c r="D3" s="27">
        <v>-0.73724875539851897</v>
      </c>
      <c r="E3" s="23">
        <f>SUM(Table13313335373941[[#This Row],[Portfolio_7.EBAY]:[Portfolio_7.MSFT]])/3</f>
        <v>-1.582365447135933</v>
      </c>
      <c r="F3" s="23">
        <f>SUM($E$3:E3)</f>
        <v>-1.582365447135933</v>
      </c>
      <c r="G3" s="23">
        <f>AVERAGE(Table13313335373941[W.Returns])</f>
        <v>2.0402557235085932</v>
      </c>
      <c r="H3" s="23">
        <f>MEDIAN(Table13313335373941[W.Returns])</f>
        <v>2.9036620848966916</v>
      </c>
      <c r="I3" s="23">
        <f>_xlfn.STDEV.S(Table13313335373941[W.Returns])</f>
        <v>4.1517719225381962</v>
      </c>
    </row>
    <row r="4" spans="1:9" x14ac:dyDescent="0.25">
      <c r="A4" s="14">
        <v>42917</v>
      </c>
      <c r="B4" s="28">
        <v>2.3195934890946899</v>
      </c>
      <c r="C4" s="29">
        <v>2.3956533270752298</v>
      </c>
      <c r="D4" s="29">
        <v>5.46931674275229</v>
      </c>
      <c r="E4" s="23">
        <f>SUM(Table13313335373941[[#This Row],[Portfolio_7.EBAY]:[Portfolio_7.MSFT]])/3</f>
        <v>3.3948545196407367</v>
      </c>
      <c r="F4" s="23">
        <f>SUM($E$3:E4)</f>
        <v>1.8124890725048037</v>
      </c>
      <c r="G4" s="23">
        <f>AVERAGE(Table13313335373941[W.Returns])</f>
        <v>2.0402557235085932</v>
      </c>
      <c r="H4" s="23">
        <f>MEDIAN(Table13313335373941[W.Returns])</f>
        <v>2.9036620848966916</v>
      </c>
      <c r="I4" s="23">
        <f>_xlfn.STDEV.S(Table13313335373941[W.Returns])</f>
        <v>4.1517719225381962</v>
      </c>
    </row>
    <row r="5" spans="1:9" x14ac:dyDescent="0.25">
      <c r="A5" s="14">
        <v>42948</v>
      </c>
      <c r="B5" s="26">
        <v>1.1195102155051899</v>
      </c>
      <c r="C5" s="27">
        <v>0.94895400322407297</v>
      </c>
      <c r="D5" s="27">
        <v>2.8473066771364399</v>
      </c>
      <c r="E5" s="23">
        <f>SUM(Table13313335373941[[#This Row],[Portfolio_7.EBAY]:[Portfolio_7.MSFT]])/3</f>
        <v>1.638590298621901</v>
      </c>
      <c r="F5" s="23">
        <f>SUM($E$3:E5)</f>
        <v>3.4510793711267045</v>
      </c>
      <c r="G5" s="23">
        <f>AVERAGE(Table13313335373941[W.Returns])</f>
        <v>2.0402557235085932</v>
      </c>
      <c r="H5" s="23">
        <f>MEDIAN(Table13313335373941[W.Returns])</f>
        <v>2.9036620848966916</v>
      </c>
      <c r="I5" s="23">
        <f>_xlfn.STDEV.S(Table13313335373941[W.Returns])</f>
        <v>4.1517719225381962</v>
      </c>
    </row>
    <row r="6" spans="1:9" x14ac:dyDescent="0.25">
      <c r="A6" s="14">
        <v>42979</v>
      </c>
      <c r="B6" s="28">
        <v>6.4489286894844096</v>
      </c>
      <c r="C6" s="29">
        <v>2.1057527857113101</v>
      </c>
      <c r="D6" s="29">
        <v>0.15630477949435501</v>
      </c>
      <c r="E6" s="23">
        <f>SUM(Table13313335373941[[#This Row],[Portfolio_7.EBAY]:[Portfolio_7.MSFT]])/3</f>
        <v>2.9036620848966916</v>
      </c>
      <c r="F6" s="23">
        <f>SUM($E$3:E6)</f>
        <v>6.3547414560233957</v>
      </c>
      <c r="G6" s="23">
        <f>AVERAGE(Table13313335373941[W.Returns])</f>
        <v>2.0402557235085932</v>
      </c>
      <c r="H6" s="23">
        <f>MEDIAN(Table13313335373941[W.Returns])</f>
        <v>2.9036620848966916</v>
      </c>
      <c r="I6" s="23">
        <f>_xlfn.STDEV.S(Table13313335373941[W.Returns])</f>
        <v>4.1517719225381962</v>
      </c>
    </row>
    <row r="7" spans="1:9" x14ac:dyDescent="0.25">
      <c r="A7" s="14">
        <v>43009</v>
      </c>
      <c r="B7" s="26">
        <v>-2.1320853388477699</v>
      </c>
      <c r="C7" s="27">
        <v>5.9982724504739604</v>
      </c>
      <c r="D7" s="27">
        <v>11.666005275091999</v>
      </c>
      <c r="E7" s="23">
        <f>SUM(Table13313335373941[[#This Row],[Portfolio_7.EBAY]:[Portfolio_7.MSFT]])/3</f>
        <v>5.177397462239397</v>
      </c>
      <c r="F7" s="23">
        <f>SUM($E$3:E7)</f>
        <v>11.532138918262792</v>
      </c>
      <c r="G7" s="23">
        <f>AVERAGE(Table13313335373941[W.Returns])</f>
        <v>2.0402557235085932</v>
      </c>
      <c r="H7" s="23">
        <f>MEDIAN(Table13313335373941[W.Returns])</f>
        <v>2.9036620848966916</v>
      </c>
      <c r="I7" s="23">
        <f>_xlfn.STDEV.S(Table13313335373941[W.Returns])</f>
        <v>4.1517719225381962</v>
      </c>
    </row>
    <row r="8" spans="1:9" x14ac:dyDescent="0.25">
      <c r="A8" s="14">
        <v>43040</v>
      </c>
      <c r="B8" s="28">
        <v>-7.8905448430006704</v>
      </c>
      <c r="C8" s="29">
        <v>0.46918849638237897</v>
      </c>
      <c r="D8" s="29">
        <v>1.19018837452709</v>
      </c>
      <c r="E8" s="23">
        <f>SUM(Table13313335373941[[#This Row],[Portfolio_7.EBAY]:[Portfolio_7.MSFT]])/3</f>
        <v>-2.0770559906970671</v>
      </c>
      <c r="F8" s="23">
        <f>SUM($E$3:E8)</f>
        <v>9.4550829275657247</v>
      </c>
      <c r="G8" s="23">
        <f>AVERAGE(Table13313335373941[W.Returns])</f>
        <v>2.0402557235085932</v>
      </c>
      <c r="H8" s="23">
        <f>MEDIAN(Table13313335373941[W.Returns])</f>
        <v>2.9036620848966916</v>
      </c>
      <c r="I8" s="23">
        <f>_xlfn.STDEV.S(Table13313335373941[W.Returns])</f>
        <v>4.1517719225381962</v>
      </c>
    </row>
    <row r="9" spans="1:9" x14ac:dyDescent="0.25">
      <c r="A9" s="14">
        <v>43070</v>
      </c>
      <c r="B9" s="26">
        <v>8.8549298445301297</v>
      </c>
      <c r="C9" s="27">
        <v>2.4466229683073601</v>
      </c>
      <c r="D9" s="27">
        <v>2.1380524007427999</v>
      </c>
      <c r="E9" s="23">
        <f>SUM(Table13313335373941[[#This Row],[Portfolio_7.EBAY]:[Portfolio_7.MSFT]])/3</f>
        <v>4.4798684045267629</v>
      </c>
      <c r="F9" s="23">
        <f>SUM($E$3:E9)</f>
        <v>13.934951332092488</v>
      </c>
      <c r="G9" s="23">
        <f>AVERAGE(Table13313335373941[W.Returns])</f>
        <v>2.0402557235085932</v>
      </c>
      <c r="H9" s="23">
        <f>MEDIAN(Table13313335373941[W.Returns])</f>
        <v>2.9036620848966916</v>
      </c>
      <c r="I9" s="23">
        <f>_xlfn.STDEV.S(Table13313335373941[W.Returns])</f>
        <v>4.1517719225381962</v>
      </c>
    </row>
    <row r="10" spans="1:9" x14ac:dyDescent="0.25">
      <c r="A10" s="14">
        <v>43101</v>
      </c>
      <c r="B10" s="28">
        <v>7.5251718322643502</v>
      </c>
      <c r="C10" s="29">
        <v>11.8061844578092</v>
      </c>
      <c r="D10" s="29">
        <v>11.0708413877087</v>
      </c>
      <c r="E10" s="23">
        <f>SUM(Table13313335373941[[#This Row],[Portfolio_7.EBAY]:[Portfolio_7.MSFT]])/3</f>
        <v>10.134065892594084</v>
      </c>
      <c r="F10" s="23">
        <f>SUM($E$3:E10)</f>
        <v>24.069017224686572</v>
      </c>
      <c r="G10" s="23">
        <f>AVERAGE(Table13313335373941[W.Returns])</f>
        <v>2.0402557235085932</v>
      </c>
      <c r="H10" s="23">
        <f>MEDIAN(Table13313335373941[W.Returns])</f>
        <v>2.9036620848966916</v>
      </c>
      <c r="I10" s="23">
        <f>_xlfn.STDEV.S(Table13313335373941[W.Returns])</f>
        <v>4.1517719225381962</v>
      </c>
    </row>
    <row r="11" spans="1:9" x14ac:dyDescent="0.25">
      <c r="A11" s="14">
        <v>43132</v>
      </c>
      <c r="B11" s="26">
        <v>5.6185285550256898</v>
      </c>
      <c r="C11" s="27">
        <v>-5.5737870564759202</v>
      </c>
      <c r="D11" s="27">
        <v>-1.3051317156678399</v>
      </c>
      <c r="E11" s="23">
        <f>SUM(Table13313335373941[[#This Row],[Portfolio_7.EBAY]:[Portfolio_7.MSFT]])/3</f>
        <v>-0.42013007237269012</v>
      </c>
      <c r="F11" s="23">
        <f>SUM($E$3:E11)</f>
        <v>23.648887152313883</v>
      </c>
      <c r="G11" s="23">
        <f>AVERAGE(Table13313335373941[W.Returns])</f>
        <v>2.0402557235085932</v>
      </c>
      <c r="H11" s="23">
        <f>MEDIAN(Table13313335373941[W.Returns])</f>
        <v>2.9036620848966916</v>
      </c>
      <c r="I11" s="23">
        <f>_xlfn.STDEV.S(Table13313335373941[W.Returns])</f>
        <v>4.1517719225381962</v>
      </c>
    </row>
    <row r="12" spans="1:9" x14ac:dyDescent="0.25">
      <c r="A12" s="14">
        <v>43160</v>
      </c>
      <c r="B12" s="28">
        <v>-6.1129233291431797</v>
      </c>
      <c r="C12" s="29">
        <v>-6.6025130412410897</v>
      </c>
      <c r="D12" s="29">
        <v>-2.2088730894956701</v>
      </c>
      <c r="E12" s="23">
        <f>SUM(Table13313335373941[[#This Row],[Portfolio_7.EBAY]:[Portfolio_7.MSFT]])/3</f>
        <v>-4.9747698199599801</v>
      </c>
      <c r="F12" s="23">
        <f>SUM($E$3:E12)</f>
        <v>18.674117332353902</v>
      </c>
      <c r="G12" s="23">
        <f>AVERAGE(Table13313335373941[W.Returns])</f>
        <v>2.0402557235085932</v>
      </c>
      <c r="H12" s="23">
        <f>MEDIAN(Table13313335373941[W.Returns])</f>
        <v>2.9036620848966916</v>
      </c>
      <c r="I12" s="23">
        <f>_xlfn.STDEV.S(Table13313335373941[W.Returns])</f>
        <v>4.1517719225381962</v>
      </c>
    </row>
    <row r="13" spans="1:9" x14ac:dyDescent="0.25">
      <c r="A13" s="14">
        <v>43191</v>
      </c>
      <c r="B13" s="30">
        <v>3.3797115616445601</v>
      </c>
      <c r="C13" s="15">
        <v>3.4561209792799801</v>
      </c>
      <c r="D13" s="15">
        <v>4.4702543377973303</v>
      </c>
      <c r="E13" s="23">
        <f>SUM(Table13313335373941[[#This Row],[Portfolio_7.EBAY]:[Portfolio_7.MSFT]])/3</f>
        <v>3.7686956262406235</v>
      </c>
      <c r="F13" s="23">
        <f>SUM($E$3:E13)</f>
        <v>22.442812958594526</v>
      </c>
      <c r="G13" s="23">
        <f>AVERAGE(Table13313335373941[W.Returns])</f>
        <v>2.0402557235085932</v>
      </c>
      <c r="H13" s="23">
        <f>MEDIAN(Table13313335373941[W.Returns])</f>
        <v>2.9036620848966916</v>
      </c>
      <c r="I13" s="23">
        <f>_xlfn.STDEV.S(Table13313335373941[W.Returns])</f>
        <v>4.1517719225381962</v>
      </c>
    </row>
    <row r="15" spans="1:9" x14ac:dyDescent="0.25">
      <c r="A15" s="13" t="s">
        <v>31</v>
      </c>
      <c r="B15" s="13">
        <f>AVERAGE(Table13313335373941[Portfolio_7.EBAY])</f>
        <v>1.9034907262483336</v>
      </c>
      <c r="C15" s="13">
        <f>AVERAGE(Table13313335373941[Portfolio_7.GOOG])</f>
        <v>1.0575476793057212</v>
      </c>
      <c r="D15" s="13">
        <f>AVERAGE(Table13313335373941[Portfolio_7.MSFT])</f>
        <v>3.1597287649717249</v>
      </c>
    </row>
    <row r="16" spans="1:9" x14ac:dyDescent="0.25">
      <c r="A16" s="13" t="s">
        <v>32</v>
      </c>
      <c r="B16" s="13">
        <f>_xlfn.VAR.S(Table13313335373941[Portfolio_7.EBAY])</f>
        <v>29.383641212449096</v>
      </c>
      <c r="C16" s="13">
        <f>_xlfn.VAR.S(Table13313335373941[Portfolio_7.GOOG])</f>
        <v>30.079023624047785</v>
      </c>
      <c r="D16" s="13">
        <f>_xlfn.VAR.S(Table13313335373941[Portfolio_7.MSFT])</f>
        <v>21.997849081835437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57</v>
      </c>
      <c r="C19" s="13" t="s">
        <v>58</v>
      </c>
      <c r="D19" s="13" t="s">
        <v>59</v>
      </c>
    </row>
    <row r="20" spans="1:4" x14ac:dyDescent="0.25">
      <c r="A20" s="18">
        <v>42887</v>
      </c>
      <c r="B20" s="13">
        <f t="shared" ref="B20:B30" si="0">B3-$B$15</f>
        <v>-9.5913414074063619E-2</v>
      </c>
      <c r="C20" s="13">
        <f t="shared" ref="C20:C30" si="1">C3-$C$15</f>
        <v>-6.8749725774892712</v>
      </c>
      <c r="D20" s="13">
        <f t="shared" ref="D20:D30" si="2">D3-$D$15</f>
        <v>-3.8969775203702439</v>
      </c>
    </row>
    <row r="21" spans="1:4" x14ac:dyDescent="0.25">
      <c r="A21" s="19">
        <v>42917</v>
      </c>
      <c r="B21" s="13">
        <f t="shared" si="0"/>
        <v>0.41610276284635628</v>
      </c>
      <c r="C21" s="13">
        <f t="shared" si="1"/>
        <v>1.3381056477695086</v>
      </c>
      <c r="D21" s="13">
        <f t="shared" si="2"/>
        <v>2.309587977780565</v>
      </c>
    </row>
    <row r="22" spans="1:4" x14ac:dyDescent="0.25">
      <c r="A22" s="18">
        <v>42948</v>
      </c>
      <c r="B22" s="13">
        <f t="shared" si="0"/>
        <v>-0.78398051074314368</v>
      </c>
      <c r="C22" s="13">
        <f t="shared" si="1"/>
        <v>-0.10859367608164827</v>
      </c>
      <c r="D22" s="13">
        <f t="shared" si="2"/>
        <v>-0.31242208783528502</v>
      </c>
    </row>
    <row r="23" spans="1:4" x14ac:dyDescent="0.25">
      <c r="A23" s="19">
        <v>42979</v>
      </c>
      <c r="B23" s="13">
        <f t="shared" si="0"/>
        <v>4.5454379632360755</v>
      </c>
      <c r="C23" s="13">
        <f t="shared" si="1"/>
        <v>1.0482051064055888</v>
      </c>
      <c r="D23" s="13">
        <f t="shared" si="2"/>
        <v>-3.0034239854773701</v>
      </c>
    </row>
    <row r="24" spans="1:4" x14ac:dyDescent="0.25">
      <c r="A24" s="18">
        <v>43009</v>
      </c>
      <c r="B24" s="13">
        <f t="shared" si="0"/>
        <v>-4.0355760650961034</v>
      </c>
      <c r="C24" s="13">
        <f t="shared" si="1"/>
        <v>4.9407247711682389</v>
      </c>
      <c r="D24" s="13">
        <f t="shared" si="2"/>
        <v>8.5062765101202746</v>
      </c>
    </row>
    <row r="25" spans="1:4" x14ac:dyDescent="0.25">
      <c r="A25" s="19">
        <v>43040</v>
      </c>
      <c r="B25" s="13">
        <f t="shared" si="0"/>
        <v>-9.7940355692490044</v>
      </c>
      <c r="C25" s="13">
        <f t="shared" si="1"/>
        <v>-0.58835918292334233</v>
      </c>
      <c r="D25" s="13">
        <f t="shared" si="2"/>
        <v>-1.9695403904446349</v>
      </c>
    </row>
    <row r="26" spans="1:4" x14ac:dyDescent="0.25">
      <c r="A26" s="18">
        <v>43070</v>
      </c>
      <c r="B26" s="13">
        <f t="shared" si="0"/>
        <v>6.9514391182817956</v>
      </c>
      <c r="C26" s="13">
        <f t="shared" si="1"/>
        <v>1.3890752890016389</v>
      </c>
      <c r="D26" s="13">
        <f t="shared" si="2"/>
        <v>-1.021676364228925</v>
      </c>
    </row>
    <row r="27" spans="1:4" x14ac:dyDescent="0.25">
      <c r="A27" s="19">
        <v>43101</v>
      </c>
      <c r="B27" s="13">
        <f t="shared" si="0"/>
        <v>5.6216811060160161</v>
      </c>
      <c r="C27" s="13">
        <f t="shared" si="1"/>
        <v>10.74863677850348</v>
      </c>
      <c r="D27" s="13">
        <f t="shared" si="2"/>
        <v>7.9111126227369759</v>
      </c>
    </row>
    <row r="28" spans="1:4" x14ac:dyDescent="0.25">
      <c r="A28" s="18">
        <v>43132</v>
      </c>
      <c r="B28" s="13">
        <f t="shared" si="0"/>
        <v>3.7150378287773562</v>
      </c>
      <c r="C28" s="13">
        <f t="shared" si="1"/>
        <v>-6.6313347357816417</v>
      </c>
      <c r="D28" s="13">
        <f t="shared" si="2"/>
        <v>-4.4648604806395653</v>
      </c>
    </row>
    <row r="29" spans="1:4" x14ac:dyDescent="0.25">
      <c r="A29" s="19">
        <v>43160</v>
      </c>
      <c r="B29" s="13">
        <f t="shared" si="0"/>
        <v>-8.0164140553915129</v>
      </c>
      <c r="C29" s="13">
        <f t="shared" si="1"/>
        <v>-7.6600607205468112</v>
      </c>
      <c r="D29" s="13">
        <f t="shared" si="2"/>
        <v>-5.3686018544673946</v>
      </c>
    </row>
    <row r="30" spans="1:4" x14ac:dyDescent="0.25">
      <c r="A30" s="18">
        <v>43191</v>
      </c>
      <c r="B30" s="13">
        <f t="shared" si="0"/>
        <v>1.4762208353962265</v>
      </c>
      <c r="C30" s="13">
        <f t="shared" si="1"/>
        <v>2.3985732999742586</v>
      </c>
      <c r="D30" s="13">
        <f t="shared" si="2"/>
        <v>1.3105255728256053</v>
      </c>
    </row>
    <row r="33" spans="1:6" x14ac:dyDescent="0.25">
      <c r="B33" s="20" t="str">
        <f t="array" ref="B33:D33">B19:D19</f>
        <v>Portfolio_7.EBAY</v>
      </c>
      <c r="C33" s="20" t="str">
        <v>Portfolio_7.GOOG</v>
      </c>
      <c r="D33" s="20" t="str">
        <v>Portfolio_7.MSFT</v>
      </c>
    </row>
    <row r="34" spans="1:6" x14ac:dyDescent="0.25">
      <c r="A34" s="21" t="str">
        <f t="array" ref="A34:A36">TRANSPOSE(B19:D19)</f>
        <v>Portfolio_7.EBAY</v>
      </c>
      <c r="B34" s="22">
        <f t="array" ref="B34:D36">MMULT(TRANSPOSE(B20:D30),B20:D30)/(COUNT(A20:A30)-1)</f>
        <v>29.383641212449088</v>
      </c>
      <c r="C34" s="13">
        <v>10.228248179505647</v>
      </c>
      <c r="D34" s="13">
        <v>3.8645942781971909</v>
      </c>
    </row>
    <row r="35" spans="1:6" x14ac:dyDescent="0.25">
      <c r="A35" s="21" t="str">
        <v>Portfolio_7.GOOG</v>
      </c>
      <c r="B35" s="13">
        <v>10.228248179505647</v>
      </c>
      <c r="C35" s="22">
        <v>30.079023624047789</v>
      </c>
      <c r="D35" s="13">
        <v>22.744346018625297</v>
      </c>
    </row>
    <row r="36" spans="1:6" x14ac:dyDescent="0.25">
      <c r="A36" s="21" t="str">
        <v>Portfolio_7.MSFT</v>
      </c>
      <c r="B36" s="13">
        <v>3.8645942781971909</v>
      </c>
      <c r="C36" s="13">
        <v>22.744346018625297</v>
      </c>
      <c r="D36" s="22">
        <v>21.997849081835437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2.0402557235085932</v>
      </c>
    </row>
    <row r="39" spans="1:6" x14ac:dyDescent="0.25">
      <c r="A39" s="21" t="str">
        <f t="array" ref="A39:A41">A34:A36</f>
        <v>Portfolio_7.EBAY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17.237210096776508</v>
      </c>
    </row>
    <row r="40" spans="1:6" x14ac:dyDescent="0.25">
      <c r="A40" s="21" t="str">
        <v>Portfolio_7.GOOG</v>
      </c>
      <c r="B40" s="13">
        <f t="shared" ref="B40:B41" si="3">1/3</f>
        <v>0.33333333333333331</v>
      </c>
      <c r="E40" s="21" t="s">
        <v>36</v>
      </c>
      <c r="F40" s="13">
        <f>SQRT(F39)</f>
        <v>4.1517719225381962</v>
      </c>
    </row>
    <row r="41" spans="1:6" x14ac:dyDescent="0.25">
      <c r="A41" s="21" t="str">
        <v>Portfolio_7.MSFT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753F-B7C5-4B50-A8A5-DE5DA9F0E21D}">
  <dimension ref="A1:I41"/>
  <sheetViews>
    <sheetView zoomScale="46" zoomScaleNormal="46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75</v>
      </c>
      <c r="B2" s="13" t="s">
        <v>60</v>
      </c>
      <c r="C2" s="13" t="s">
        <v>61</v>
      </c>
      <c r="D2" s="13" t="s">
        <v>62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1.80757731217427</v>
      </c>
      <c r="C3" s="13">
        <v>-5.8174248981835497</v>
      </c>
      <c r="D3" s="13">
        <v>10.4648625223073</v>
      </c>
      <c r="E3" s="23">
        <f>SUM(Table1331333537394143[[#This Row],[Portfolio_8.EBAY]:[Portfolio_8.ÖRCL]])/3</f>
        <v>2.1516716454326734</v>
      </c>
      <c r="F3" s="23">
        <f>SUM($E$3:E3)</f>
        <v>2.1516716454326734</v>
      </c>
      <c r="G3" s="23">
        <f>AVERAGE(Table1331333537394143[W.Returns])</f>
        <v>1.1027375335086995</v>
      </c>
      <c r="H3" s="23">
        <f>MEDIAN(Table1331333537394143[W.Returns])</f>
        <v>1.5402100492686468</v>
      </c>
      <c r="I3" s="23">
        <f>_xlfn.STDEV.S(Table1331333537394143[W.Returns])</f>
        <v>4.2029665198248489</v>
      </c>
    </row>
    <row r="4" spans="1:9" x14ac:dyDescent="0.25">
      <c r="A4" s="14">
        <v>42917</v>
      </c>
      <c r="B4" s="13">
        <v>2.3195934890946899</v>
      </c>
      <c r="C4" s="13">
        <v>2.3956533270752298</v>
      </c>
      <c r="D4" s="13">
        <v>-0.41883818384405103</v>
      </c>
      <c r="E4" s="23">
        <f>SUM(Table1331333537394143[[#This Row],[Portfolio_8.EBAY]:[Portfolio_8.ÖRCL]])/3</f>
        <v>1.4321362107752895</v>
      </c>
      <c r="F4" s="23">
        <f>SUM($E$3:E4)</f>
        <v>3.5838078562079629</v>
      </c>
      <c r="G4" s="23">
        <f>AVERAGE(Table1331333537394143[W.Returns])</f>
        <v>1.1027375335086995</v>
      </c>
      <c r="H4" s="23">
        <f>MEDIAN(Table1331333537394143[W.Returns])</f>
        <v>1.5402100492686468</v>
      </c>
      <c r="I4" s="23">
        <f>_xlfn.STDEV.S(Table1331333537394143[W.Returns])</f>
        <v>4.2029665198248489</v>
      </c>
    </row>
    <row r="5" spans="1:9" x14ac:dyDescent="0.25">
      <c r="A5" s="14">
        <v>42948</v>
      </c>
      <c r="B5" s="13">
        <v>1.1195102155051899</v>
      </c>
      <c r="C5" s="13">
        <v>0.94895400322407297</v>
      </c>
      <c r="D5" s="13">
        <v>1.1813619979510499</v>
      </c>
      <c r="E5" s="23">
        <f>SUM(Table1331333537394143[[#This Row],[Portfolio_8.EBAY]:[Portfolio_8.ÖRCL]])/3</f>
        <v>1.0832754055601042</v>
      </c>
      <c r="F5" s="23">
        <f>SUM($E$3:E5)</f>
        <v>4.6670832617680666</v>
      </c>
      <c r="G5" s="23">
        <f>AVERAGE(Table1331333537394143[W.Returns])</f>
        <v>1.1027375335086995</v>
      </c>
      <c r="H5" s="23">
        <f>MEDIAN(Table1331333537394143[W.Returns])</f>
        <v>1.5402100492686468</v>
      </c>
      <c r="I5" s="23">
        <f>_xlfn.STDEV.S(Table1331333537394143[W.Returns])</f>
        <v>4.2029665198248489</v>
      </c>
    </row>
    <row r="6" spans="1:9" x14ac:dyDescent="0.25">
      <c r="A6" s="14">
        <v>42979</v>
      </c>
      <c r="B6" s="13">
        <v>6.4489286894844096</v>
      </c>
      <c r="C6" s="13">
        <v>2.1057527857113101</v>
      </c>
      <c r="D6" s="13">
        <v>-3.9340513273897799</v>
      </c>
      <c r="E6" s="23">
        <f>SUM(Table1331333537394143[[#This Row],[Portfolio_8.EBAY]:[Portfolio_8.ÖRCL]])/3</f>
        <v>1.5402100492686468</v>
      </c>
      <c r="F6" s="23">
        <f>SUM($E$3:E6)</f>
        <v>6.2072933110367137</v>
      </c>
      <c r="G6" s="23">
        <f>AVERAGE(Table1331333537394143[W.Returns])</f>
        <v>1.1027375335086995</v>
      </c>
      <c r="H6" s="23">
        <f>MEDIAN(Table1331333537394143[W.Returns])</f>
        <v>1.5402100492686468</v>
      </c>
      <c r="I6" s="23">
        <f>_xlfn.STDEV.S(Table1331333537394143[W.Returns])</f>
        <v>4.2029665198248489</v>
      </c>
    </row>
    <row r="7" spans="1:9" x14ac:dyDescent="0.25">
      <c r="A7" s="14">
        <v>43009</v>
      </c>
      <c r="B7" s="13">
        <v>-2.1320853388477699</v>
      </c>
      <c r="C7" s="13">
        <v>5.9982724504739604</v>
      </c>
      <c r="D7" s="13">
        <v>5.27405834926377</v>
      </c>
      <c r="E7" s="23">
        <f>SUM(Table1331333537394143[[#This Row],[Portfolio_8.EBAY]:[Portfolio_8.ÖRCL]])/3</f>
        <v>3.0467484869633203</v>
      </c>
      <c r="F7" s="23">
        <f>SUM($E$3:E7)</f>
        <v>9.2540417980000349</v>
      </c>
      <c r="G7" s="23">
        <f>AVERAGE(Table1331333537394143[W.Returns])</f>
        <v>1.1027375335086995</v>
      </c>
      <c r="H7" s="23">
        <f>MEDIAN(Table1331333537394143[W.Returns])</f>
        <v>1.5402100492686468</v>
      </c>
      <c r="I7" s="23">
        <f>_xlfn.STDEV.S(Table1331333537394143[W.Returns])</f>
        <v>4.2029665198248489</v>
      </c>
    </row>
    <row r="8" spans="1:9" x14ac:dyDescent="0.25">
      <c r="A8" s="14">
        <v>43040</v>
      </c>
      <c r="B8" s="13">
        <v>-7.8905448430006704</v>
      </c>
      <c r="C8" s="13">
        <v>0.46918849638237897</v>
      </c>
      <c r="D8" s="13">
        <v>-3.2347536429632799</v>
      </c>
      <c r="E8" s="23">
        <f>SUM(Table1331333537394143[[#This Row],[Portfolio_8.EBAY]:[Portfolio_8.ÖRCL]])/3</f>
        <v>-3.5520366631938569</v>
      </c>
      <c r="F8" s="23">
        <f>SUM($E$3:E8)</f>
        <v>5.7020051348061784</v>
      </c>
      <c r="G8" s="23">
        <f>AVERAGE(Table1331333537394143[W.Returns])</f>
        <v>1.1027375335086995</v>
      </c>
      <c r="H8" s="23">
        <f>MEDIAN(Table1331333537394143[W.Returns])</f>
        <v>1.5402100492686468</v>
      </c>
      <c r="I8" s="23">
        <f>_xlfn.STDEV.S(Table1331333537394143[W.Returns])</f>
        <v>4.2029665198248489</v>
      </c>
    </row>
    <row r="9" spans="1:9" x14ac:dyDescent="0.25">
      <c r="A9" s="14">
        <v>43070</v>
      </c>
      <c r="B9" s="13">
        <v>8.8549298445301297</v>
      </c>
      <c r="C9" s="13">
        <v>2.4466229683073601</v>
      </c>
      <c r="D9" s="13">
        <v>-3.6282199933878898</v>
      </c>
      <c r="E9" s="23">
        <f>SUM(Table1331333537394143[[#This Row],[Portfolio_8.EBAY]:[Portfolio_8.ÖRCL]])/3</f>
        <v>2.5577776064831999</v>
      </c>
      <c r="F9" s="23">
        <f>SUM($E$3:E9)</f>
        <v>8.2597827412893778</v>
      </c>
      <c r="G9" s="23">
        <f>AVERAGE(Table1331333537394143[W.Returns])</f>
        <v>1.1027375335086995</v>
      </c>
      <c r="H9" s="23">
        <f>MEDIAN(Table1331333537394143[W.Returns])</f>
        <v>1.5402100492686468</v>
      </c>
      <c r="I9" s="23">
        <f>_xlfn.STDEV.S(Table1331333537394143[W.Returns])</f>
        <v>4.2029665198248489</v>
      </c>
    </row>
    <row r="10" spans="1:9" x14ac:dyDescent="0.25">
      <c r="A10" s="14">
        <v>43101</v>
      </c>
      <c r="B10" s="13">
        <v>7.5251718322643502</v>
      </c>
      <c r="C10" s="13">
        <v>11.8061844578092</v>
      </c>
      <c r="D10" s="13">
        <v>9.1159107185152504</v>
      </c>
      <c r="E10" s="23">
        <f>SUM(Table1331333537394143[[#This Row],[Portfolio_8.EBAY]:[Portfolio_8.ÖRCL]])/3</f>
        <v>9.482422336196267</v>
      </c>
      <c r="F10" s="23">
        <f>SUM($E$3:E10)</f>
        <v>17.742205077485643</v>
      </c>
      <c r="G10" s="23">
        <f>AVERAGE(Table1331333537394143[W.Returns])</f>
        <v>1.1027375335086995</v>
      </c>
      <c r="H10" s="23">
        <f>MEDIAN(Table1331333537394143[W.Returns])</f>
        <v>1.5402100492686468</v>
      </c>
      <c r="I10" s="23">
        <f>_xlfn.STDEV.S(Table1331333537394143[W.Returns])</f>
        <v>4.2029665198248489</v>
      </c>
    </row>
    <row r="11" spans="1:9" x14ac:dyDescent="0.25">
      <c r="A11" s="14">
        <v>43132</v>
      </c>
      <c r="B11" s="13">
        <v>5.6185285550256898</v>
      </c>
      <c r="C11" s="13">
        <v>-5.5737870564759202</v>
      </c>
      <c r="D11" s="13">
        <v>-1.4008192038521601</v>
      </c>
      <c r="E11" s="23">
        <f>SUM(Table1331333537394143[[#This Row],[Portfolio_8.EBAY]:[Portfolio_8.ÖRCL]])/3</f>
        <v>-0.45202590176746349</v>
      </c>
      <c r="F11" s="23">
        <f>SUM($E$3:E11)</f>
        <v>17.29017917571818</v>
      </c>
      <c r="G11" s="23">
        <f>AVERAGE(Table1331333537394143[W.Returns])</f>
        <v>1.1027375335086995</v>
      </c>
      <c r="H11" s="23">
        <f>MEDIAN(Table1331333537394143[W.Returns])</f>
        <v>1.5402100492686468</v>
      </c>
      <c r="I11" s="23">
        <f>_xlfn.STDEV.S(Table1331333537394143[W.Returns])</f>
        <v>4.2029665198248489</v>
      </c>
    </row>
    <row r="12" spans="1:9" x14ac:dyDescent="0.25">
      <c r="A12" s="14">
        <v>43160</v>
      </c>
      <c r="B12" s="13">
        <v>-6.1129233291431797</v>
      </c>
      <c r="C12" s="13">
        <v>-6.6025130412410897</v>
      </c>
      <c r="D12" s="13">
        <v>-9.7098850716030096</v>
      </c>
      <c r="E12" s="23">
        <f>SUM(Table1331333537394143[[#This Row],[Portfolio_8.EBAY]:[Portfolio_8.ÖRCL]])/3</f>
        <v>-7.4751071473290933</v>
      </c>
      <c r="F12" s="23">
        <f>SUM($E$3:E12)</f>
        <v>9.8150720283890855</v>
      </c>
      <c r="G12" s="23">
        <f>AVERAGE(Table1331333537394143[W.Returns])</f>
        <v>1.1027375335086995</v>
      </c>
      <c r="H12" s="23">
        <f>MEDIAN(Table1331333537394143[W.Returns])</f>
        <v>1.5402100492686468</v>
      </c>
      <c r="I12" s="23">
        <f>_xlfn.STDEV.S(Table1331333537394143[W.Returns])</f>
        <v>4.2029665198248489</v>
      </c>
    </row>
    <row r="13" spans="1:9" x14ac:dyDescent="0.25">
      <c r="A13" s="14">
        <v>43191</v>
      </c>
      <c r="B13" s="13">
        <v>3.3797115616445601</v>
      </c>
      <c r="C13" s="13">
        <v>3.4561209792799801</v>
      </c>
      <c r="D13" s="13">
        <v>0.109289979695291</v>
      </c>
      <c r="E13" s="23">
        <f>SUM(Table1331333537394143[[#This Row],[Portfolio_8.EBAY]:[Portfolio_8.ÖRCL]])/3</f>
        <v>2.3150408402066103</v>
      </c>
      <c r="F13" s="23">
        <f>SUM($E$3:E13)</f>
        <v>12.130112868595695</v>
      </c>
      <c r="G13" s="23">
        <f>AVERAGE(Table1331333537394143[W.Returns])</f>
        <v>1.1027375335086995</v>
      </c>
      <c r="H13" s="23">
        <f>MEDIAN(Table1331333537394143[W.Returns])</f>
        <v>1.5402100492686468</v>
      </c>
      <c r="I13" s="23">
        <f>_xlfn.STDEV.S(Table1331333537394143[W.Returns])</f>
        <v>4.2029665198248489</v>
      </c>
    </row>
    <row r="15" spans="1:9" x14ac:dyDescent="0.25">
      <c r="A15" s="13" t="s">
        <v>31</v>
      </c>
      <c r="B15" s="13">
        <f>AVERAGE(Table1331333537394143[Portfolio_8.EBAY])</f>
        <v>1.9034907262483336</v>
      </c>
      <c r="C15" s="13">
        <f>AVERAGE(Table1331333537394143[Portfolio_8.GOOG])</f>
        <v>1.0575476793057212</v>
      </c>
      <c r="D15" s="13">
        <f>AVERAGE(Table1331333537394143[Portfolio_8.ÖRCL])</f>
        <v>0.34717419497204466</v>
      </c>
    </row>
    <row r="16" spans="1:9" x14ac:dyDescent="0.25">
      <c r="A16" s="13" t="s">
        <v>32</v>
      </c>
      <c r="B16" s="13">
        <f>_xlfn.VAR.S(Table1331333537394143[Portfolio_8.EBAY])</f>
        <v>29.383641212449096</v>
      </c>
      <c r="C16" s="13">
        <f>_xlfn.VAR.S(Table1331333537394143[Portfolio_8.GOOG])</f>
        <v>30.079023624047785</v>
      </c>
      <c r="D16" s="13">
        <f>_xlfn.VAR.S(Table1331333537394143[Portfolio_8.ÖRCL])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60</v>
      </c>
      <c r="C19" s="13" t="s">
        <v>61</v>
      </c>
      <c r="D19" s="13" t="s">
        <v>62</v>
      </c>
    </row>
    <row r="20" spans="1:4" x14ac:dyDescent="0.25">
      <c r="A20" s="18">
        <v>42887</v>
      </c>
      <c r="B20" s="13">
        <f t="shared" ref="B20:B30" si="0">B3-$B$15</f>
        <v>-9.5913414074063619E-2</v>
      </c>
      <c r="C20" s="13">
        <f t="shared" ref="C20:C30" si="1">C3-$C$15</f>
        <v>-6.8749725774892712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0.41610276284635628</v>
      </c>
      <c r="C21" s="13">
        <f t="shared" si="1"/>
        <v>1.3381056477695086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-0.78398051074314368</v>
      </c>
      <c r="C22" s="13">
        <f t="shared" si="1"/>
        <v>-0.10859367608164827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4.5454379632360755</v>
      </c>
      <c r="C23" s="13">
        <f t="shared" si="1"/>
        <v>1.0482051064055888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-4.0355760650961034</v>
      </c>
      <c r="C24" s="13">
        <f t="shared" si="1"/>
        <v>4.9407247711682389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-9.7940355692490044</v>
      </c>
      <c r="C25" s="13">
        <f t="shared" si="1"/>
        <v>-0.58835918292334233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6.9514391182817956</v>
      </c>
      <c r="C26" s="13">
        <f t="shared" si="1"/>
        <v>1.3890752890016389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5.6216811060160161</v>
      </c>
      <c r="C27" s="13">
        <f t="shared" si="1"/>
        <v>10.74863677850348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3.7150378287773562</v>
      </c>
      <c r="C28" s="13">
        <f t="shared" si="1"/>
        <v>-6.6313347357816417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-8.0164140553915129</v>
      </c>
      <c r="C29" s="13">
        <f t="shared" si="1"/>
        <v>-7.6600607205468112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1.4762208353962265</v>
      </c>
      <c r="C30" s="13">
        <f t="shared" si="1"/>
        <v>2.3985732999742586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Portfolio_8.EBAY</v>
      </c>
      <c r="C33" s="20" t="str">
        <v>Portfolio_8.GOOG</v>
      </c>
      <c r="D33" s="20" t="str">
        <v>Portfolio_8.ÖRCL</v>
      </c>
    </row>
    <row r="34" spans="1:6" x14ac:dyDescent="0.25">
      <c r="A34" s="21" t="str">
        <f t="array" ref="A34:A36">TRANSPOSE(B19:D19)</f>
        <v>Portfolio_8.EBAY</v>
      </c>
      <c r="B34" s="22">
        <f t="array" ref="B34:D36">MMULT(TRANSPOSE(B20:D30),B20:D30)/(COUNT(A20:A30)-1)</f>
        <v>29.383641212449088</v>
      </c>
      <c r="C34" s="13">
        <v>10.228248179505647</v>
      </c>
      <c r="D34" s="13">
        <v>8.9232368777964393</v>
      </c>
    </row>
    <row r="35" spans="1:6" x14ac:dyDescent="0.25">
      <c r="A35" s="21" t="str">
        <v>Portfolio_8.GOOG</v>
      </c>
      <c r="B35" s="13">
        <v>10.228248179505647</v>
      </c>
      <c r="C35" s="22">
        <v>30.079023624047789</v>
      </c>
      <c r="D35" s="13">
        <v>12.807628679441995</v>
      </c>
    </row>
    <row r="36" spans="1:6" x14ac:dyDescent="0.25">
      <c r="A36" s="21" t="str">
        <v>Portfolio_8.ÖRCL</v>
      </c>
      <c r="B36" s="13">
        <v>8.9232368777964393</v>
      </c>
      <c r="C36" s="13">
        <v>12.807628679441995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1.1027375335086997</v>
      </c>
    </row>
    <row r="39" spans="1:6" x14ac:dyDescent="0.25">
      <c r="A39" s="21" t="str">
        <f t="array" ref="A39:A41">A34:A36</f>
        <v>Portfolio_8.EBAY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17.664927566768604</v>
      </c>
    </row>
    <row r="40" spans="1:6" x14ac:dyDescent="0.25">
      <c r="A40" s="21" t="str">
        <v>Portfolio_8.GOOG</v>
      </c>
      <c r="B40" s="13">
        <f t="shared" ref="B40:B41" si="3">1/3</f>
        <v>0.33333333333333331</v>
      </c>
      <c r="E40" s="21" t="s">
        <v>36</v>
      </c>
      <c r="F40" s="13">
        <f>SQRT(F39)</f>
        <v>4.2029665198248489</v>
      </c>
    </row>
    <row r="41" spans="1:6" x14ac:dyDescent="0.25">
      <c r="A41" s="21" t="str">
        <v>Portfolio_8.ÖRCL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EB5F-BF41-40BA-A7D3-965DC7CCD02A}">
  <dimension ref="A1:I41"/>
  <sheetViews>
    <sheetView zoomScale="41" zoomScaleNormal="41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76</v>
      </c>
      <c r="B2" s="13" t="s">
        <v>63</v>
      </c>
      <c r="C2" s="13" t="s">
        <v>64</v>
      </c>
      <c r="D2" s="13" t="s">
        <v>65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1.80757731217427</v>
      </c>
      <c r="C3" s="13">
        <v>-0.73724875539851897</v>
      </c>
      <c r="D3" s="13">
        <v>10.4648625223073</v>
      </c>
      <c r="E3" s="23">
        <f>SUM(Table133133353739414345[[#This Row],[Portfolio_9.EBAY]:[Portfolio_9.ÖRCL]])/3</f>
        <v>3.8450636930276834</v>
      </c>
      <c r="F3" s="23">
        <f>SUM($E$3:E3)</f>
        <v>3.8450636930276834</v>
      </c>
      <c r="G3" s="23">
        <f>AVERAGE(Table133133353739414345[W.Returns])</f>
        <v>1.8034645620640342</v>
      </c>
      <c r="H3" s="23">
        <f>MEDIAN(Table133133353739414345[W.Returns])</f>
        <v>2.454920750628347</v>
      </c>
      <c r="I3" s="23">
        <f>_xlfn.STDEV.S(Table133133353739414345[W.Returns])</f>
        <v>3.9946757372770576</v>
      </c>
    </row>
    <row r="4" spans="1:9" x14ac:dyDescent="0.25">
      <c r="A4" s="14">
        <v>42917</v>
      </c>
      <c r="B4" s="13">
        <v>2.3195934890946899</v>
      </c>
      <c r="C4" s="13">
        <v>5.46931674275229</v>
      </c>
      <c r="D4" s="13">
        <v>-0.41883818384405103</v>
      </c>
      <c r="E4" s="23">
        <f>SUM(Table133133353739414345[[#This Row],[Portfolio_9.EBAY]:[Portfolio_9.ÖRCL]])/3</f>
        <v>2.4566906826676429</v>
      </c>
      <c r="F4" s="23">
        <f>SUM($E$3:E4)</f>
        <v>6.3017543756953263</v>
      </c>
      <c r="G4" s="23">
        <f>AVERAGE(Table133133353739414345[W.Returns])</f>
        <v>1.8034645620640342</v>
      </c>
      <c r="H4" s="23">
        <f>MEDIAN(Table133133353739414345[W.Returns])</f>
        <v>2.454920750628347</v>
      </c>
      <c r="I4" s="23">
        <f>_xlfn.STDEV.S(Table133133353739414345[W.Returns])</f>
        <v>3.9946757372770576</v>
      </c>
    </row>
    <row r="5" spans="1:9" x14ac:dyDescent="0.25">
      <c r="A5" s="14">
        <v>42948</v>
      </c>
      <c r="B5" s="13">
        <v>1.1195102155051899</v>
      </c>
      <c r="C5" s="13">
        <v>2.8473066771364399</v>
      </c>
      <c r="D5" s="13">
        <v>1.1813619979510499</v>
      </c>
      <c r="E5" s="23">
        <f>SUM(Table133133353739414345[[#This Row],[Portfolio_9.EBAY]:[Portfolio_9.ÖRCL]])/3</f>
        <v>1.7160596301975597</v>
      </c>
      <c r="F5" s="23">
        <f>SUM($E$3:E5)</f>
        <v>8.0178140058928857</v>
      </c>
      <c r="G5" s="23">
        <f>AVERAGE(Table133133353739414345[W.Returns])</f>
        <v>1.8034645620640342</v>
      </c>
      <c r="H5" s="23">
        <f>MEDIAN(Table133133353739414345[W.Returns])</f>
        <v>2.454920750628347</v>
      </c>
      <c r="I5" s="23">
        <f>_xlfn.STDEV.S(Table133133353739414345[W.Returns])</f>
        <v>3.9946757372770576</v>
      </c>
    </row>
    <row r="6" spans="1:9" x14ac:dyDescent="0.25">
      <c r="A6" s="14">
        <v>42979</v>
      </c>
      <c r="B6" s="13">
        <v>6.4489286894844096</v>
      </c>
      <c r="C6" s="13">
        <v>0.15630477949435501</v>
      </c>
      <c r="D6" s="13">
        <v>-3.9340513273897799</v>
      </c>
      <c r="E6" s="23">
        <f>SUM(Table133133353739414345[[#This Row],[Portfolio_9.EBAY]:[Portfolio_9.ÖRCL]])/3</f>
        <v>0.8903940471963282</v>
      </c>
      <c r="F6" s="23">
        <f>SUM($E$3:E6)</f>
        <v>8.9082080530892132</v>
      </c>
      <c r="G6" s="23">
        <f>AVERAGE(Table133133353739414345[W.Returns])</f>
        <v>1.8034645620640342</v>
      </c>
      <c r="H6" s="23">
        <f>MEDIAN(Table133133353739414345[W.Returns])</f>
        <v>2.454920750628347</v>
      </c>
      <c r="I6" s="23">
        <f>_xlfn.STDEV.S(Table133133353739414345[W.Returns])</f>
        <v>3.9946757372770576</v>
      </c>
    </row>
    <row r="7" spans="1:9" x14ac:dyDescent="0.25">
      <c r="A7" s="14">
        <v>43009</v>
      </c>
      <c r="B7" s="13">
        <v>-2.1320853388477699</v>
      </c>
      <c r="C7" s="13">
        <v>11.666005275091999</v>
      </c>
      <c r="D7" s="13">
        <v>5.27405834926377</v>
      </c>
      <c r="E7" s="23">
        <f>SUM(Table133133353739414345[[#This Row],[Portfolio_9.EBAY]:[Portfolio_9.ÖRCL]])/3</f>
        <v>4.9359927618360002</v>
      </c>
      <c r="F7" s="23">
        <f>SUM($E$3:E7)</f>
        <v>13.844200814925212</v>
      </c>
      <c r="G7" s="23">
        <f>AVERAGE(Table133133353739414345[W.Returns])</f>
        <v>1.8034645620640342</v>
      </c>
      <c r="H7" s="23">
        <f>MEDIAN(Table133133353739414345[W.Returns])</f>
        <v>2.454920750628347</v>
      </c>
      <c r="I7" s="23">
        <f>_xlfn.STDEV.S(Table133133353739414345[W.Returns])</f>
        <v>3.9946757372770576</v>
      </c>
    </row>
    <row r="8" spans="1:9" x14ac:dyDescent="0.25">
      <c r="A8" s="14">
        <v>43040</v>
      </c>
      <c r="B8" s="13">
        <v>-7.8905448430006704</v>
      </c>
      <c r="C8" s="13">
        <v>1.19018837452709</v>
      </c>
      <c r="D8" s="13">
        <v>-3.2347536429632799</v>
      </c>
      <c r="E8" s="23">
        <f>SUM(Table133133353739414345[[#This Row],[Portfolio_9.EBAY]:[Portfolio_9.ÖRCL]])/3</f>
        <v>-3.3117033704789534</v>
      </c>
      <c r="F8" s="23">
        <f>SUM($E$3:E8)</f>
        <v>10.532497444446259</v>
      </c>
      <c r="G8" s="23">
        <f>AVERAGE(Table133133353739414345[W.Returns])</f>
        <v>1.8034645620640342</v>
      </c>
      <c r="H8" s="23">
        <f>MEDIAN(Table133133353739414345[W.Returns])</f>
        <v>2.454920750628347</v>
      </c>
      <c r="I8" s="23">
        <f>_xlfn.STDEV.S(Table133133353739414345[W.Returns])</f>
        <v>3.9946757372770576</v>
      </c>
    </row>
    <row r="9" spans="1:9" x14ac:dyDescent="0.25">
      <c r="A9" s="14">
        <v>43070</v>
      </c>
      <c r="B9" s="13">
        <v>8.8549298445301297</v>
      </c>
      <c r="C9" s="13">
        <v>2.1380524007427999</v>
      </c>
      <c r="D9" s="13">
        <v>-3.6282199933878898</v>
      </c>
      <c r="E9" s="23">
        <f>SUM(Table133133353739414345[[#This Row],[Portfolio_9.EBAY]:[Portfolio_9.ÖRCL]])/3</f>
        <v>2.454920750628347</v>
      </c>
      <c r="F9" s="23">
        <f>SUM($E$3:E9)</f>
        <v>12.987418195074605</v>
      </c>
      <c r="G9" s="23">
        <f>AVERAGE(Table133133353739414345[W.Returns])</f>
        <v>1.8034645620640342</v>
      </c>
      <c r="H9" s="23">
        <f>MEDIAN(Table133133353739414345[W.Returns])</f>
        <v>2.454920750628347</v>
      </c>
      <c r="I9" s="23">
        <f>_xlfn.STDEV.S(Table133133353739414345[W.Returns])</f>
        <v>3.9946757372770576</v>
      </c>
    </row>
    <row r="10" spans="1:9" x14ac:dyDescent="0.25">
      <c r="A10" s="14">
        <v>43101</v>
      </c>
      <c r="B10" s="13">
        <v>7.5251718322643502</v>
      </c>
      <c r="C10" s="13">
        <v>11.0708413877087</v>
      </c>
      <c r="D10" s="13">
        <v>9.1159107185152504</v>
      </c>
      <c r="E10" s="23">
        <f>SUM(Table133133353739414345[[#This Row],[Portfolio_9.EBAY]:[Portfolio_9.ÖRCL]])/3</f>
        <v>9.2373079794961015</v>
      </c>
      <c r="F10" s="23">
        <f>SUM($E$3:E10)</f>
        <v>22.224726174570705</v>
      </c>
      <c r="G10" s="23">
        <f>AVERAGE(Table133133353739414345[W.Returns])</f>
        <v>1.8034645620640342</v>
      </c>
      <c r="H10" s="23">
        <f>MEDIAN(Table133133353739414345[W.Returns])</f>
        <v>2.454920750628347</v>
      </c>
      <c r="I10" s="23">
        <f>_xlfn.STDEV.S(Table133133353739414345[W.Returns])</f>
        <v>3.9946757372770576</v>
      </c>
    </row>
    <row r="11" spans="1:9" x14ac:dyDescent="0.25">
      <c r="A11" s="14">
        <v>43132</v>
      </c>
      <c r="B11" s="13">
        <v>5.6185285550256898</v>
      </c>
      <c r="C11" s="13">
        <v>-1.3051317156678399</v>
      </c>
      <c r="D11" s="13">
        <v>-1.4008192038521601</v>
      </c>
      <c r="E11" s="23">
        <f>SUM(Table133133353739414345[[#This Row],[Portfolio_9.EBAY]:[Portfolio_9.ÖRCL]])/3</f>
        <v>0.97085921183522983</v>
      </c>
      <c r="F11" s="23">
        <f>SUM($E$3:E11)</f>
        <v>23.195585386405934</v>
      </c>
      <c r="G11" s="23">
        <f>AVERAGE(Table133133353739414345[W.Returns])</f>
        <v>1.8034645620640342</v>
      </c>
      <c r="H11" s="23">
        <f>MEDIAN(Table133133353739414345[W.Returns])</f>
        <v>2.454920750628347</v>
      </c>
      <c r="I11" s="23">
        <f>_xlfn.STDEV.S(Table133133353739414345[W.Returns])</f>
        <v>3.9946757372770576</v>
      </c>
    </row>
    <row r="12" spans="1:9" x14ac:dyDescent="0.25">
      <c r="A12" s="14">
        <v>43160</v>
      </c>
      <c r="B12" s="13">
        <v>-6.1129233291431797</v>
      </c>
      <c r="C12" s="13">
        <v>-2.2088730894956701</v>
      </c>
      <c r="D12" s="13">
        <v>-9.7098850716030096</v>
      </c>
      <c r="E12" s="23">
        <f>SUM(Table133133353739414345[[#This Row],[Portfolio_9.EBAY]:[Portfolio_9.ÖRCL]])/3</f>
        <v>-6.0105604967472859</v>
      </c>
      <c r="F12" s="23">
        <f>SUM($E$3:E12)</f>
        <v>17.185024889658649</v>
      </c>
      <c r="G12" s="23">
        <f>AVERAGE(Table133133353739414345[W.Returns])</f>
        <v>1.8034645620640342</v>
      </c>
      <c r="H12" s="23">
        <f>MEDIAN(Table133133353739414345[W.Returns])</f>
        <v>2.454920750628347</v>
      </c>
      <c r="I12" s="23">
        <f>_xlfn.STDEV.S(Table133133353739414345[W.Returns])</f>
        <v>3.9946757372770576</v>
      </c>
    </row>
    <row r="13" spans="1:9" x14ac:dyDescent="0.25">
      <c r="A13" s="14">
        <v>43191</v>
      </c>
      <c r="B13" s="13">
        <v>3.3797115616445601</v>
      </c>
      <c r="C13" s="13">
        <v>4.4702543377973303</v>
      </c>
      <c r="D13" s="13">
        <v>0.109289979695291</v>
      </c>
      <c r="E13" s="23">
        <f>SUM(Table133133353739414345[[#This Row],[Portfolio_9.EBAY]:[Portfolio_9.ÖRCL]])/3</f>
        <v>2.6530852930457272</v>
      </c>
      <c r="F13" s="23">
        <f>SUM($E$3:E13)</f>
        <v>19.838110182704376</v>
      </c>
      <c r="G13" s="23">
        <f>AVERAGE(Table133133353739414345[W.Returns])</f>
        <v>1.8034645620640342</v>
      </c>
      <c r="H13" s="23">
        <f>MEDIAN(Table133133353739414345[W.Returns])</f>
        <v>2.454920750628347</v>
      </c>
      <c r="I13" s="23">
        <f>_xlfn.STDEV.S(Table133133353739414345[W.Returns])</f>
        <v>3.9946757372770576</v>
      </c>
    </row>
    <row r="15" spans="1:9" x14ac:dyDescent="0.25">
      <c r="A15" s="13" t="s">
        <v>31</v>
      </c>
      <c r="B15" s="13">
        <f>AVERAGE(Table133133353739414345[Portfolio_9.EBAY])</f>
        <v>1.9034907262483336</v>
      </c>
      <c r="C15" s="13">
        <f>AVERAGE(Table133133353739414345[Portfolio_9.MSFT])</f>
        <v>3.1597287649717249</v>
      </c>
      <c r="D15" s="13">
        <f>AVERAGE(Table133133353739414345[Portfolio_9.ÖRCL])</f>
        <v>0.34717419497204466</v>
      </c>
    </row>
    <row r="16" spans="1:9" x14ac:dyDescent="0.25">
      <c r="A16" s="13" t="s">
        <v>32</v>
      </c>
      <c r="B16" s="13">
        <f>_xlfn.VAR.S(Table133133353739414345[Portfolio_9.EBAY])</f>
        <v>29.383641212449096</v>
      </c>
      <c r="C16" s="13">
        <f>_xlfn.VAR.S(Table133133353739414345[Portfolio_9.MSFT])</f>
        <v>21.997849081835437</v>
      </c>
      <c r="D16" s="13">
        <f>_xlfn.VAR.S(Table133133353739414345[Portfolio_9.ÖRCL])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3" t="s">
        <v>63</v>
      </c>
      <c r="C19" s="13" t="s">
        <v>64</v>
      </c>
      <c r="D19" s="13" t="s">
        <v>65</v>
      </c>
    </row>
    <row r="20" spans="1:4" x14ac:dyDescent="0.25">
      <c r="A20" s="18">
        <v>42887</v>
      </c>
      <c r="B20" s="13">
        <f t="shared" ref="B20:B30" si="0">B3-$B$15</f>
        <v>-9.5913414074063619E-2</v>
      </c>
      <c r="C20" s="13">
        <f t="shared" ref="C20:C30" si="1">C3-$C$15</f>
        <v>-3.8969775203702439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0.41610276284635628</v>
      </c>
      <c r="C21" s="13">
        <f t="shared" si="1"/>
        <v>2.309587977780565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-0.78398051074314368</v>
      </c>
      <c r="C22" s="13">
        <f t="shared" si="1"/>
        <v>-0.31242208783528502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4.5454379632360755</v>
      </c>
      <c r="C23" s="13">
        <f t="shared" si="1"/>
        <v>-3.0034239854773701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-4.0355760650961034</v>
      </c>
      <c r="C24" s="13">
        <f t="shared" si="1"/>
        <v>8.5062765101202746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-9.7940355692490044</v>
      </c>
      <c r="C25" s="13">
        <f t="shared" si="1"/>
        <v>-1.9695403904446349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6.9514391182817956</v>
      </c>
      <c r="C26" s="13">
        <f t="shared" si="1"/>
        <v>-1.021676364228925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5.6216811060160161</v>
      </c>
      <c r="C27" s="13">
        <f t="shared" si="1"/>
        <v>7.9111126227369759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3.7150378287773562</v>
      </c>
      <c r="C28" s="13">
        <f t="shared" si="1"/>
        <v>-4.4648604806395653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-8.0164140553915129</v>
      </c>
      <c r="C29" s="13">
        <f t="shared" si="1"/>
        <v>-5.3686018544673946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1.4762208353962265</v>
      </c>
      <c r="C30" s="13">
        <f t="shared" si="1"/>
        <v>1.3105255728256053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Portfolio_9.EBAY</v>
      </c>
      <c r="C33" s="20" t="str">
        <v>Portfolio_9.MSFT</v>
      </c>
      <c r="D33" s="20" t="str">
        <v>Portfolio_9.ÖRCL</v>
      </c>
    </row>
    <row r="34" spans="1:6" x14ac:dyDescent="0.25">
      <c r="A34" s="21" t="str">
        <f t="array" ref="A34:A36">TRANSPOSE(B19:D19)</f>
        <v>Portfolio_9.EBAY</v>
      </c>
      <c r="B34" s="22">
        <f t="array" ref="B34:D36">MMULT(TRANSPOSE(B20:D30),B20:D30)/(COUNT(A20:A30)-1)</f>
        <v>29.383641212449088</v>
      </c>
      <c r="C34" s="13">
        <v>3.8645942781971909</v>
      </c>
      <c r="D34" s="13">
        <v>8.9232368777964393</v>
      </c>
    </row>
    <row r="35" spans="1:6" x14ac:dyDescent="0.25">
      <c r="A35" s="21" t="str">
        <v>Portfolio_9.MSFT</v>
      </c>
      <c r="B35" s="13">
        <v>3.8645942781971909</v>
      </c>
      <c r="C35" s="22">
        <v>21.997849081835437</v>
      </c>
      <c r="D35" s="13">
        <v>15.528149908352887</v>
      </c>
    </row>
    <row r="36" spans="1:6" x14ac:dyDescent="0.25">
      <c r="A36" s="21" t="str">
        <v>Portfolio_9.ÖRCL</v>
      </c>
      <c r="B36" s="13">
        <v>8.9232368777964393</v>
      </c>
      <c r="C36" s="13">
        <v>15.528149908352887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1.8034645620640344</v>
      </c>
    </row>
    <row r="39" spans="1:6" x14ac:dyDescent="0.25">
      <c r="A39" s="21" t="str">
        <f t="array" ref="A39:A41">A34:A36</f>
        <v>Portfolio_9.EBAY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15.957434245989997</v>
      </c>
    </row>
    <row r="40" spans="1:6" x14ac:dyDescent="0.25">
      <c r="A40" s="21" t="str">
        <v>Portfolio_9.MSFT</v>
      </c>
      <c r="B40" s="13">
        <f t="shared" ref="B40:B41" si="3">1/3</f>
        <v>0.33333333333333331</v>
      </c>
      <c r="E40" s="21" t="s">
        <v>36</v>
      </c>
      <c r="F40" s="13">
        <f>SQRT(F39)</f>
        <v>3.9946757372770567</v>
      </c>
    </row>
    <row r="41" spans="1:6" x14ac:dyDescent="0.25">
      <c r="A41" s="21" t="str">
        <v>Portfolio_9.ÖRCL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676C-72B8-4AB2-AD58-72D17D336EC4}">
  <dimension ref="A1:I41"/>
  <sheetViews>
    <sheetView zoomScale="53" zoomScaleNormal="53" workbookViewId="0">
      <selection activeCell="A3" sqref="A3"/>
    </sheetView>
  </sheetViews>
  <sheetFormatPr defaultRowHeight="15" x14ac:dyDescent="0.25"/>
  <cols>
    <col min="1" max="1" width="20.7109375" style="13" bestFit="1" customWidth="1"/>
    <col min="2" max="2" width="18.28515625" style="13" customWidth="1"/>
    <col min="3" max="3" width="18.140625" style="13" customWidth="1"/>
    <col min="4" max="4" width="19.28515625" style="13" customWidth="1"/>
    <col min="5" max="5" width="17.28515625" style="13" bestFit="1" customWidth="1"/>
    <col min="6" max="6" width="13.140625" style="13" bestFit="1" customWidth="1"/>
    <col min="7" max="7" width="13.28515625" style="13" bestFit="1" customWidth="1"/>
    <col min="8" max="8" width="15" style="13" bestFit="1" customWidth="1"/>
    <col min="9" max="9" width="12" style="13" bestFit="1" customWidth="1"/>
    <col min="10" max="16384" width="9.140625" style="13"/>
  </cols>
  <sheetData>
    <row r="1" spans="1:9" x14ac:dyDescent="0.25">
      <c r="A1" s="32" t="s">
        <v>26</v>
      </c>
      <c r="B1" s="32"/>
      <c r="C1" s="32"/>
      <c r="D1" s="32"/>
    </row>
    <row r="2" spans="1:9" x14ac:dyDescent="0.25">
      <c r="A2" s="13" t="s">
        <v>77</v>
      </c>
      <c r="B2" s="13" t="s">
        <v>66</v>
      </c>
      <c r="C2" s="13" t="s">
        <v>67</v>
      </c>
      <c r="D2" s="13" t="s">
        <v>68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</row>
    <row r="3" spans="1:9" x14ac:dyDescent="0.25">
      <c r="A3" s="14">
        <v>42887</v>
      </c>
      <c r="B3" s="13">
        <v>-5.8174248981835497</v>
      </c>
      <c r="C3" s="13">
        <v>-0.73724875539851897</v>
      </c>
      <c r="D3" s="13">
        <v>10.4648625223073</v>
      </c>
      <c r="E3" s="23">
        <f>SUM(Table13313335373941434547[[#This Row],[Portfolio_10.GOOG]:[Portfolio_10.ÖRCL]])/3</f>
        <v>1.303396289575077</v>
      </c>
      <c r="F3" s="23">
        <f>SUM($E$3:E3)</f>
        <v>1.303396289575077</v>
      </c>
      <c r="G3" s="23">
        <f>AVERAGE(Table13313335373941434547[W.Returns])</f>
        <v>1.5214835464164969</v>
      </c>
      <c r="H3" s="23">
        <f>MEDIAN(Table13313335373941434547[W.Returns])</f>
        <v>1.303396289575077</v>
      </c>
      <c r="I3" s="23">
        <f>_xlfn.STDEV.S(Table13313335373941434547[W.Returns])</f>
        <v>4.5927548947549015</v>
      </c>
    </row>
    <row r="4" spans="1:9" x14ac:dyDescent="0.25">
      <c r="A4" s="14">
        <v>42917</v>
      </c>
      <c r="B4" s="13">
        <v>2.3956533270752298</v>
      </c>
      <c r="C4" s="13">
        <v>5.46931674275229</v>
      </c>
      <c r="D4" s="13">
        <v>-0.41883818384405103</v>
      </c>
      <c r="E4" s="23">
        <f>SUM(Table13313335373941434547[[#This Row],[Portfolio_10.GOOG]:[Portfolio_10.ÖRCL]])/3</f>
        <v>2.4820439619944894</v>
      </c>
      <c r="F4" s="23">
        <f>SUM($E$3:E4)</f>
        <v>3.7854402515695664</v>
      </c>
      <c r="G4" s="23">
        <f>AVERAGE(Table13313335373941434547[W.Returns])</f>
        <v>1.5214835464164969</v>
      </c>
      <c r="H4" s="23">
        <f>MEDIAN(Table13313335373941434547[W.Returns])</f>
        <v>1.303396289575077</v>
      </c>
      <c r="I4" s="23">
        <f>_xlfn.STDEV.S(Table13313335373941434547[W.Returns])</f>
        <v>4.5927548947549015</v>
      </c>
    </row>
    <row r="5" spans="1:9" x14ac:dyDescent="0.25">
      <c r="A5" s="14">
        <v>42948</v>
      </c>
      <c r="B5" s="13">
        <v>0.94895400322407297</v>
      </c>
      <c r="C5" s="13">
        <v>2.8473066771364399</v>
      </c>
      <c r="D5" s="13">
        <v>1.1813619979510499</v>
      </c>
      <c r="E5" s="23">
        <f>SUM(Table13313335373941434547[[#This Row],[Portfolio_10.GOOG]:[Portfolio_10.ÖRCL]])/3</f>
        <v>1.6592075594371876</v>
      </c>
      <c r="F5" s="23">
        <f>SUM($E$3:E5)</f>
        <v>5.444647811006754</v>
      </c>
      <c r="G5" s="23">
        <f>AVERAGE(Table13313335373941434547[W.Returns])</f>
        <v>1.5214835464164969</v>
      </c>
      <c r="H5" s="23">
        <f>MEDIAN(Table13313335373941434547[W.Returns])</f>
        <v>1.303396289575077</v>
      </c>
      <c r="I5" s="23">
        <f>_xlfn.STDEV.S(Table13313335373941434547[W.Returns])</f>
        <v>4.5927548947549015</v>
      </c>
    </row>
    <row r="6" spans="1:9" x14ac:dyDescent="0.25">
      <c r="A6" s="14">
        <v>42979</v>
      </c>
      <c r="B6" s="13">
        <v>2.1057527857113101</v>
      </c>
      <c r="C6" s="13">
        <v>0.15630477949435501</v>
      </c>
      <c r="D6" s="13">
        <v>-3.9340513273897799</v>
      </c>
      <c r="E6" s="23">
        <f>SUM(Table13313335373941434547[[#This Row],[Portfolio_10.GOOG]:[Portfolio_10.ÖRCL]])/3</f>
        <v>-0.55733125406137163</v>
      </c>
      <c r="F6" s="23">
        <f>SUM($E$3:E6)</f>
        <v>4.8873165569453825</v>
      </c>
      <c r="G6" s="23">
        <f>AVERAGE(Table13313335373941434547[W.Returns])</f>
        <v>1.5214835464164969</v>
      </c>
      <c r="H6" s="23">
        <f>MEDIAN(Table13313335373941434547[W.Returns])</f>
        <v>1.303396289575077</v>
      </c>
      <c r="I6" s="23">
        <f>_xlfn.STDEV.S(Table13313335373941434547[W.Returns])</f>
        <v>4.5927548947549015</v>
      </c>
    </row>
    <row r="7" spans="1:9" x14ac:dyDescent="0.25">
      <c r="A7" s="14">
        <v>43009</v>
      </c>
      <c r="B7" s="13">
        <v>5.9982724504739604</v>
      </c>
      <c r="C7" s="13">
        <v>11.666005275091999</v>
      </c>
      <c r="D7" s="13">
        <v>5.27405834926377</v>
      </c>
      <c r="E7" s="23">
        <f>SUM(Table13313335373941434547[[#This Row],[Portfolio_10.GOOG]:[Portfolio_10.ÖRCL]])/3</f>
        <v>7.6461120249432426</v>
      </c>
      <c r="F7" s="23">
        <f>SUM($E$3:E7)</f>
        <v>12.533428581888625</v>
      </c>
      <c r="G7" s="23">
        <f>AVERAGE(Table13313335373941434547[W.Returns])</f>
        <v>1.5214835464164969</v>
      </c>
      <c r="H7" s="23">
        <f>MEDIAN(Table13313335373941434547[W.Returns])</f>
        <v>1.303396289575077</v>
      </c>
      <c r="I7" s="23">
        <f>_xlfn.STDEV.S(Table13313335373941434547[W.Returns])</f>
        <v>4.5927548947549015</v>
      </c>
    </row>
    <row r="8" spans="1:9" x14ac:dyDescent="0.25">
      <c r="A8" s="14">
        <v>43040</v>
      </c>
      <c r="B8" s="13">
        <v>0.46918849638237897</v>
      </c>
      <c r="C8" s="13">
        <v>1.19018837452709</v>
      </c>
      <c r="D8" s="13">
        <v>-3.2347536429632799</v>
      </c>
      <c r="E8" s="23">
        <f>SUM(Table13313335373941434547[[#This Row],[Portfolio_10.GOOG]:[Portfolio_10.ÖRCL]])/3</f>
        <v>-0.52512559068460363</v>
      </c>
      <c r="F8" s="23">
        <f>SUM($E$3:E8)</f>
        <v>12.008302991204021</v>
      </c>
      <c r="G8" s="23">
        <f>AVERAGE(Table13313335373941434547[W.Returns])</f>
        <v>1.5214835464164969</v>
      </c>
      <c r="H8" s="23">
        <f>MEDIAN(Table13313335373941434547[W.Returns])</f>
        <v>1.303396289575077</v>
      </c>
      <c r="I8" s="23">
        <f>_xlfn.STDEV.S(Table13313335373941434547[W.Returns])</f>
        <v>4.5927548947549015</v>
      </c>
    </row>
    <row r="9" spans="1:9" x14ac:dyDescent="0.25">
      <c r="A9" s="14">
        <v>43070</v>
      </c>
      <c r="B9" s="13">
        <v>2.4466229683073601</v>
      </c>
      <c r="C9" s="13">
        <v>2.1380524007427999</v>
      </c>
      <c r="D9" s="13">
        <v>-3.6282199933878898</v>
      </c>
      <c r="E9" s="23">
        <f>SUM(Table13313335373941434547[[#This Row],[Portfolio_10.GOOG]:[Portfolio_10.ÖRCL]])/3</f>
        <v>0.31881845855409008</v>
      </c>
      <c r="F9" s="23">
        <f>SUM($E$3:E9)</f>
        <v>12.32712144975811</v>
      </c>
      <c r="G9" s="23">
        <f>AVERAGE(Table13313335373941434547[W.Returns])</f>
        <v>1.5214835464164969</v>
      </c>
      <c r="H9" s="23">
        <f>MEDIAN(Table13313335373941434547[W.Returns])</f>
        <v>1.303396289575077</v>
      </c>
      <c r="I9" s="23">
        <f>_xlfn.STDEV.S(Table13313335373941434547[W.Returns])</f>
        <v>4.5927548947549015</v>
      </c>
    </row>
    <row r="10" spans="1:9" x14ac:dyDescent="0.25">
      <c r="A10" s="14">
        <v>43101</v>
      </c>
      <c r="B10" s="13">
        <v>11.8061844578092</v>
      </c>
      <c r="C10" s="13">
        <v>11.0708413877087</v>
      </c>
      <c r="D10" s="13">
        <v>9.1159107185152504</v>
      </c>
      <c r="E10" s="23">
        <f>SUM(Table13313335373941434547[[#This Row],[Portfolio_10.GOOG]:[Portfolio_10.ÖRCL]])/3</f>
        <v>10.664312188011051</v>
      </c>
      <c r="F10" s="23">
        <f>SUM($E$3:E10)</f>
        <v>22.991433637769163</v>
      </c>
      <c r="G10" s="23">
        <f>AVERAGE(Table13313335373941434547[W.Returns])</f>
        <v>1.5214835464164969</v>
      </c>
      <c r="H10" s="23">
        <f>MEDIAN(Table13313335373941434547[W.Returns])</f>
        <v>1.303396289575077</v>
      </c>
      <c r="I10" s="23">
        <f>_xlfn.STDEV.S(Table13313335373941434547[W.Returns])</f>
        <v>4.5927548947549015</v>
      </c>
    </row>
    <row r="11" spans="1:9" x14ac:dyDescent="0.25">
      <c r="A11" s="14">
        <v>43132</v>
      </c>
      <c r="B11" s="13">
        <v>-5.5737870564759202</v>
      </c>
      <c r="C11" s="13">
        <v>-1.3051317156678399</v>
      </c>
      <c r="D11" s="13">
        <v>-1.4008192038521601</v>
      </c>
      <c r="E11" s="23">
        <f>SUM(Table13313335373941434547[[#This Row],[Portfolio_10.GOOG]:[Portfolio_10.ÖRCL]])/3</f>
        <v>-2.7599126586653067</v>
      </c>
      <c r="F11" s="23">
        <f>SUM($E$3:E11)</f>
        <v>20.231520979103855</v>
      </c>
      <c r="G11" s="23">
        <f>AVERAGE(Table13313335373941434547[W.Returns])</f>
        <v>1.5214835464164969</v>
      </c>
      <c r="H11" s="23">
        <f>MEDIAN(Table13313335373941434547[W.Returns])</f>
        <v>1.303396289575077</v>
      </c>
      <c r="I11" s="23">
        <f>_xlfn.STDEV.S(Table13313335373941434547[W.Returns])</f>
        <v>4.5927548947549015</v>
      </c>
    </row>
    <row r="12" spans="1:9" x14ac:dyDescent="0.25">
      <c r="A12" s="14">
        <v>43160</v>
      </c>
      <c r="B12" s="13">
        <v>-6.6025130412410897</v>
      </c>
      <c r="C12" s="13">
        <v>-2.2088730894956701</v>
      </c>
      <c r="D12" s="13">
        <v>-9.7098850716030096</v>
      </c>
      <c r="E12" s="23">
        <f>SUM(Table13313335373941434547[[#This Row],[Portfolio_10.GOOG]:[Portfolio_10.ÖRCL]])/3</f>
        <v>-6.1737570674465898</v>
      </c>
      <c r="F12" s="23">
        <f>SUM($E$3:E12)</f>
        <v>14.057763911657265</v>
      </c>
      <c r="G12" s="23">
        <f>AVERAGE(Table13313335373941434547[W.Returns])</f>
        <v>1.5214835464164969</v>
      </c>
      <c r="H12" s="23">
        <f>MEDIAN(Table13313335373941434547[W.Returns])</f>
        <v>1.303396289575077</v>
      </c>
      <c r="I12" s="23">
        <f>_xlfn.STDEV.S(Table13313335373941434547[W.Returns])</f>
        <v>4.5927548947549015</v>
      </c>
    </row>
    <row r="13" spans="1:9" x14ac:dyDescent="0.25">
      <c r="A13" s="14">
        <v>43191</v>
      </c>
      <c r="B13" s="13">
        <v>3.4561209792799801</v>
      </c>
      <c r="C13" s="13">
        <v>4.4702543377973303</v>
      </c>
      <c r="D13" s="13">
        <v>0.109289979695291</v>
      </c>
      <c r="E13" s="23">
        <f>SUM(Table13313335373941434547[[#This Row],[Portfolio_10.GOOG]:[Portfolio_10.ÖRCL]])/3</f>
        <v>2.6785550989242002</v>
      </c>
      <c r="F13" s="23">
        <f>SUM($E$3:E13)</f>
        <v>16.736319010581465</v>
      </c>
      <c r="G13" s="23">
        <f>AVERAGE(Table13313335373941434547[W.Returns])</f>
        <v>1.5214835464164969</v>
      </c>
      <c r="H13" s="23">
        <f>MEDIAN(Table13313335373941434547[W.Returns])</f>
        <v>1.303396289575077</v>
      </c>
      <c r="I13" s="23">
        <f>_xlfn.STDEV.S(Table13313335373941434547[W.Returns])</f>
        <v>4.5927548947549015</v>
      </c>
    </row>
    <row r="15" spans="1:9" x14ac:dyDescent="0.25">
      <c r="A15" s="13" t="s">
        <v>31</v>
      </c>
      <c r="B15" s="13">
        <f>AVERAGE(Table13313335373941434547[Portfolio_10.GOOG])</f>
        <v>1.0575476793057212</v>
      </c>
      <c r="C15" s="13">
        <f>AVERAGE(Table13313335373941434547[Portfolio_10.MSFT])</f>
        <v>3.1597287649717249</v>
      </c>
      <c r="D15" s="13">
        <f>AVERAGE(Table13313335373941434547[Portfolio_10.ÖRCL])</f>
        <v>0.34717419497204466</v>
      </c>
    </row>
    <row r="16" spans="1:9" x14ac:dyDescent="0.25">
      <c r="A16" s="13" t="s">
        <v>32</v>
      </c>
      <c r="B16" s="13">
        <f>_xlfn.VAR.S(Table13313335373941434547[Portfolio_10.GOOG])</f>
        <v>30.079023624047785</v>
      </c>
      <c r="C16" s="13">
        <f>_xlfn.VAR.S(Table13313335373941434547[Portfolio_10.MSFT])</f>
        <v>21.997849081835437</v>
      </c>
      <c r="D16" s="13">
        <f>_xlfn.VAR.S(Table13313335373941434547[Portfolio_10.ÖRCL])</f>
        <v>35.603455790932429</v>
      </c>
    </row>
    <row r="18" spans="1:4" x14ac:dyDescent="0.25">
      <c r="A18" s="32" t="s">
        <v>33</v>
      </c>
      <c r="B18" s="32"/>
      <c r="C18" s="32"/>
      <c r="D18" s="32"/>
    </row>
    <row r="19" spans="1:4" x14ac:dyDescent="0.25">
      <c r="A19" s="16" t="s">
        <v>27</v>
      </c>
      <c r="B19" s="16" t="s">
        <v>28</v>
      </c>
      <c r="C19" s="16" t="s">
        <v>29</v>
      </c>
      <c r="D19" s="17" t="s">
        <v>30</v>
      </c>
    </row>
    <row r="20" spans="1:4" x14ac:dyDescent="0.25">
      <c r="A20" s="18">
        <v>42887</v>
      </c>
      <c r="B20" s="13">
        <f t="shared" ref="B20:B30" si="0">B3-$B$15</f>
        <v>-6.8749725774892712</v>
      </c>
      <c r="C20" s="13">
        <f t="shared" ref="C20:C30" si="1">C3-$C$15</f>
        <v>-3.8969775203702439</v>
      </c>
      <c r="D20" s="13">
        <f t="shared" ref="D20:D30" si="2">D3-$D$15</f>
        <v>10.117688327335255</v>
      </c>
    </row>
    <row r="21" spans="1:4" x14ac:dyDescent="0.25">
      <c r="A21" s="19">
        <v>42917</v>
      </c>
      <c r="B21" s="13">
        <f t="shared" si="0"/>
        <v>1.3381056477695086</v>
      </c>
      <c r="C21" s="13">
        <f t="shared" si="1"/>
        <v>2.309587977780565</v>
      </c>
      <c r="D21" s="13">
        <f t="shared" si="2"/>
        <v>-0.76601237881609574</v>
      </c>
    </row>
    <row r="22" spans="1:4" x14ac:dyDescent="0.25">
      <c r="A22" s="18">
        <v>42948</v>
      </c>
      <c r="B22" s="13">
        <f t="shared" si="0"/>
        <v>-0.10859367608164827</v>
      </c>
      <c r="C22" s="13">
        <f t="shared" si="1"/>
        <v>-0.31242208783528502</v>
      </c>
      <c r="D22" s="13">
        <f t="shared" si="2"/>
        <v>0.8341878029790053</v>
      </c>
    </row>
    <row r="23" spans="1:4" x14ac:dyDescent="0.25">
      <c r="A23" s="19">
        <v>42979</v>
      </c>
      <c r="B23" s="13">
        <f t="shared" si="0"/>
        <v>1.0482051064055888</v>
      </c>
      <c r="C23" s="13">
        <f t="shared" si="1"/>
        <v>-3.0034239854773701</v>
      </c>
      <c r="D23" s="13">
        <f t="shared" si="2"/>
        <v>-4.281225522361825</v>
      </c>
    </row>
    <row r="24" spans="1:4" x14ac:dyDescent="0.25">
      <c r="A24" s="18">
        <v>43009</v>
      </c>
      <c r="B24" s="13">
        <f t="shared" si="0"/>
        <v>4.9407247711682389</v>
      </c>
      <c r="C24" s="13">
        <f t="shared" si="1"/>
        <v>8.5062765101202746</v>
      </c>
      <c r="D24" s="13">
        <f t="shared" si="2"/>
        <v>4.9268841542917254</v>
      </c>
    </row>
    <row r="25" spans="1:4" x14ac:dyDescent="0.25">
      <c r="A25" s="19">
        <v>43040</v>
      </c>
      <c r="B25" s="13">
        <f t="shared" si="0"/>
        <v>-0.58835918292334233</v>
      </c>
      <c r="C25" s="13">
        <f t="shared" si="1"/>
        <v>-1.9695403904446349</v>
      </c>
      <c r="D25" s="13">
        <f t="shared" si="2"/>
        <v>-3.5819278379353245</v>
      </c>
    </row>
    <row r="26" spans="1:4" x14ac:dyDescent="0.25">
      <c r="A26" s="18">
        <v>43070</v>
      </c>
      <c r="B26" s="13">
        <f t="shared" si="0"/>
        <v>1.3890752890016389</v>
      </c>
      <c r="C26" s="13">
        <f t="shared" si="1"/>
        <v>-1.021676364228925</v>
      </c>
      <c r="D26" s="13">
        <f t="shared" si="2"/>
        <v>-3.9753941883599344</v>
      </c>
    </row>
    <row r="27" spans="1:4" x14ac:dyDescent="0.25">
      <c r="A27" s="19">
        <v>43101</v>
      </c>
      <c r="B27" s="13">
        <f t="shared" si="0"/>
        <v>10.74863677850348</v>
      </c>
      <c r="C27" s="13">
        <f t="shared" si="1"/>
        <v>7.9111126227369759</v>
      </c>
      <c r="D27" s="13">
        <f t="shared" si="2"/>
        <v>8.7687365235432058</v>
      </c>
    </row>
    <row r="28" spans="1:4" x14ac:dyDescent="0.25">
      <c r="A28" s="18">
        <v>43132</v>
      </c>
      <c r="B28" s="13">
        <f t="shared" si="0"/>
        <v>-6.6313347357816417</v>
      </c>
      <c r="C28" s="13">
        <f t="shared" si="1"/>
        <v>-4.4648604806395653</v>
      </c>
      <c r="D28" s="13">
        <f t="shared" si="2"/>
        <v>-1.7479933988242047</v>
      </c>
    </row>
    <row r="29" spans="1:4" x14ac:dyDescent="0.25">
      <c r="A29" s="19">
        <v>43160</v>
      </c>
      <c r="B29" s="13">
        <f t="shared" si="0"/>
        <v>-7.6600607205468112</v>
      </c>
      <c r="C29" s="13">
        <f t="shared" si="1"/>
        <v>-5.3686018544673946</v>
      </c>
      <c r="D29" s="13">
        <f t="shared" si="2"/>
        <v>-10.057059266575054</v>
      </c>
    </row>
    <row r="30" spans="1:4" x14ac:dyDescent="0.25">
      <c r="A30" s="18">
        <v>43191</v>
      </c>
      <c r="B30" s="13">
        <f t="shared" si="0"/>
        <v>2.3985732999742586</v>
      </c>
      <c r="C30" s="13">
        <f t="shared" si="1"/>
        <v>1.3105255728256053</v>
      </c>
      <c r="D30" s="13">
        <f t="shared" si="2"/>
        <v>-0.23788421527675366</v>
      </c>
    </row>
    <row r="33" spans="1:6" x14ac:dyDescent="0.25">
      <c r="B33" s="20" t="str">
        <f t="array" ref="B33:D33">B19:D19</f>
        <v>Portfolio_1.CSCO</v>
      </c>
      <c r="C33" s="20" t="str">
        <v>Portfolio_1.EBAY</v>
      </c>
      <c r="D33" s="20" t="str">
        <v>Portfolio_1.GOOG</v>
      </c>
    </row>
    <row r="34" spans="1:6" x14ac:dyDescent="0.25">
      <c r="A34" s="21" t="str">
        <f t="array" ref="A34:A36">TRANSPOSE(B19:D19)</f>
        <v>Portfolio_1.CSCO</v>
      </c>
      <c r="B34" s="22">
        <f t="array" ref="B34:D36">MMULT(TRANSPOSE(B20:D30),B20:D30)/(COUNT(A20:A30)-1)</f>
        <v>30.079023624047789</v>
      </c>
      <c r="C34" s="13">
        <v>22.744346018625297</v>
      </c>
      <c r="D34" s="13">
        <v>12.807628679441995</v>
      </c>
    </row>
    <row r="35" spans="1:6" x14ac:dyDescent="0.25">
      <c r="A35" s="21" t="str">
        <v>Portfolio_1.EBAY</v>
      </c>
      <c r="B35" s="13">
        <v>22.744346018625297</v>
      </c>
      <c r="C35" s="22">
        <v>21.997849081835437</v>
      </c>
      <c r="D35" s="13">
        <v>15.528149908352887</v>
      </c>
    </row>
    <row r="36" spans="1:6" x14ac:dyDescent="0.25">
      <c r="A36" s="21" t="str">
        <v>Portfolio_1.GOOG</v>
      </c>
      <c r="B36" s="13">
        <v>12.807628679441995</v>
      </c>
      <c r="C36" s="13">
        <v>15.528149908352887</v>
      </c>
      <c r="D36" s="22">
        <v>35.603455790932429</v>
      </c>
    </row>
    <row r="38" spans="1:6" x14ac:dyDescent="0.25">
      <c r="B38" s="20" t="s">
        <v>34</v>
      </c>
      <c r="E38" s="21" t="s">
        <v>14</v>
      </c>
      <c r="F38" s="13">
        <f t="array" ref="F38">MMULT(B15:D15,B39:B41)</f>
        <v>1.5214835464164969</v>
      </c>
    </row>
    <row r="39" spans="1:6" x14ac:dyDescent="0.25">
      <c r="A39" s="21" t="str">
        <f t="array" ref="A39:A41">A34:A36</f>
        <v>Portfolio_1.CSCO</v>
      </c>
      <c r="B39" s="13">
        <f>1/3</f>
        <v>0.33333333333333331</v>
      </c>
      <c r="E39" s="21" t="s">
        <v>35</v>
      </c>
      <c r="F39" s="13">
        <f t="array" ref="F39">MMULT(TRANSPOSE(B39:B41),MMULT(B34:D36,B39:B41))</f>
        <v>21.09339752329511</v>
      </c>
    </row>
    <row r="40" spans="1:6" x14ac:dyDescent="0.25">
      <c r="A40" s="21" t="str">
        <v>Portfolio_1.EBAY</v>
      </c>
      <c r="B40" s="13">
        <f t="shared" ref="B40:B41" si="3">1/3</f>
        <v>0.33333333333333331</v>
      </c>
      <c r="E40" s="21" t="s">
        <v>36</v>
      </c>
      <c r="F40" s="13">
        <f>SQRT(F39)</f>
        <v>4.5927548947549015</v>
      </c>
    </row>
    <row r="41" spans="1:6" x14ac:dyDescent="0.25">
      <c r="A41" s="21" t="str">
        <v>Portfolio_1.GOOG</v>
      </c>
      <c r="B41" s="13">
        <f t="shared" si="3"/>
        <v>0.33333333333333331</v>
      </c>
    </row>
  </sheetData>
  <mergeCells count="2">
    <mergeCell ref="A1:D1"/>
    <mergeCell ref="A18:D1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CSCO</vt:lpstr>
      <vt:lpstr>EBAY</vt:lpstr>
      <vt:lpstr>GOOG</vt:lpstr>
      <vt:lpstr>MSFT</vt:lpstr>
      <vt:lpstr>ORCL</vt:lpstr>
      <vt:lpstr>Data</vt:lpstr>
      <vt:lpstr>Portfolio_1</vt:lpstr>
      <vt:lpstr>Portfolio_2</vt:lpstr>
      <vt:lpstr>Portfolio_3</vt:lpstr>
      <vt:lpstr>Portfolio_4</vt:lpstr>
      <vt:lpstr>Portfolio_5</vt:lpstr>
      <vt:lpstr>Portfolio_6</vt:lpstr>
      <vt:lpstr>Portfolio_7</vt:lpstr>
      <vt:lpstr>Portfolio_8</vt:lpstr>
      <vt:lpstr>Portfolio_9</vt:lpstr>
      <vt:lpstr>Portfolio_10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Fisayo Michael Animashaun</dc:creator>
  <cp:lastModifiedBy>Fisayo Animashaun</cp:lastModifiedBy>
  <dcterms:created xsi:type="dcterms:W3CDTF">2018-04-25T07:21:57Z</dcterms:created>
  <dcterms:modified xsi:type="dcterms:W3CDTF">2018-04-30T02:18:18Z</dcterms:modified>
</cp:coreProperties>
</file>